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New folder/"/>
    </mc:Choice>
  </mc:AlternateContent>
  <xr:revisionPtr revIDLastSave="28" documentId="8_{7684A61E-D2B6-4F8D-B179-4D8F55414BE4}" xr6:coauthVersionLast="47" xr6:coauthVersionMax="47" xr10:uidLastSave="{79D1AD58-5CC5-46ED-8D64-74DA76686D54}"/>
  <bookViews>
    <workbookView xWindow="-108" yWindow="-108" windowWidth="23256" windowHeight="12576" tabRatio="843" firstSheet="2" activeTab="2" xr2:uid="{00000000-000D-0000-FFFF-FFFF00000000}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ept (2)_...dd5b15a0_2T6PUA" sheetId="8" state="hidden" r:id="rId8"/>
    <sheet name="OSR_Div 2_1PQ800A" sheetId="10" state="hidden" r:id="rId9"/>
    <sheet name="OSR_Div 1 (2...9b2bdc94_1Y8VZ4A" sheetId="11" state="hidden" r:id="rId10"/>
    <sheet name="OSR_Div 3_18723PH" sheetId="13" state="hidden" r:id="rId11"/>
    <sheet name="OSR_Div 1 (3...74ea2e91_1YANJVT" sheetId="14" state="hidden" r:id="rId12"/>
    <sheet name="OSR_300_IYZXI6" sheetId="16" state="hidden" r:id="rId13"/>
    <sheet name="OSR_Div 1 (4)...cdd6f638_NQSRHK" sheetId="17" state="hidden" r:id="rId14"/>
    <sheet name="OSR_300 &amp; 317_1C00ID4" sheetId="19" state="hidden" r:id="rId15"/>
    <sheet name="OSR_Div 1 (5)...14c61d9ac_RUIH7" sheetId="20" state="hidden" r:id="rId16"/>
    <sheet name="OSR_310_1CMTOSB" sheetId="22" state="hidden" r:id="rId17"/>
    <sheet name="OSR_Div 1 (6)...754b1b2a_ZV1FUK" sheetId="23" state="hidden" r:id="rId18"/>
    <sheet name="OSR_Div 1 (7)...77c4adfc_YECVQC" sheetId="24" state="hidden" r:id="rId19"/>
    <sheet name="OSR_308_UAWDAG" sheetId="26" state="hidden" r:id="rId20"/>
    <sheet name="OSR_Div 1 (8...54681dd8_1N56J6G" sheetId="27" state="hidden" r:id="rId21"/>
    <sheet name="OSR_331_10VKQAJ" sheetId="29" state="hidden" r:id="rId22"/>
    <sheet name="OSR_Div 1 (9)...81df0cf4_TBZUNU" sheetId="30" state="hidden" r:id="rId23"/>
    <sheet name="OSR_332_6NDVBW" sheetId="32" state="hidden" r:id="rId24"/>
    <sheet name="OSR_Div 1 (10...e834aaf2_4B2R3Z" sheetId="33" state="hidden" r:id="rId25"/>
    <sheet name="OSR_333_69UF5U" sheetId="35" state="hidden" r:id="rId26"/>
    <sheet name="OSR_Div 4_1740TMT" sheetId="37" state="hidden" r:id="rId27"/>
    <sheet name="OSR_Div 1 (1...42fef80a_1JUNUIZ" sheetId="38" state="hidden" r:id="rId28"/>
    <sheet name="OSR_310 &amp; 491_1NGRCS9" sheetId="40" state="hidden" r:id="rId29"/>
    <sheet name="OSR_Div 4 (2)...a8a8204b_XPPX5M" sheetId="41" state="hidden" r:id="rId30"/>
    <sheet name="OSR_491_9Z9JH5" sheetId="43" state="hidden" r:id="rId31"/>
    <sheet name="OSR_310 &amp; 491...c23f2d59_X1JXXU" sheetId="44" state="hidden" r:id="rId32"/>
    <sheet name="OSR_492_943FP1" sheetId="46" state="hidden" r:id="rId33"/>
    <sheet name="OSR_310 &amp; 49...76bf5af7_1A2901X" sheetId="47" state="hidden" r:id="rId34"/>
    <sheet name="OSR_Div 5_16NAZO2" sheetId="49" state="hidden" r:id="rId35"/>
    <sheet name="OSR_310 &amp; 49...7615ada9_1PJ8EDG" sheetId="50" state="hidden" r:id="rId36"/>
    <sheet name="OSR_Div 6_P37YY7" sheetId="52" state="hidden" r:id="rId37"/>
    <sheet name="OSR_Div 5 (2...bac05800_1LZIM8H" sheetId="53" state="hidden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2" r:id="rId51"/>
    <sheet name="308" sheetId="25" r:id="rId52"/>
    <sheet name="311" sheetId="65" r:id="rId53"/>
    <sheet name="324" sheetId="72" r:id="rId54"/>
    <sheet name="333" sheetId="34" r:id="rId55"/>
    <sheet name="307" sheetId="63" r:id="rId56"/>
    <sheet name="331" sheetId="28" r:id="rId57"/>
    <sheet name="315" sheetId="67" r:id="rId58"/>
    <sheet name="326" sheetId="74" r:id="rId59"/>
    <sheet name="332" sheetId="31" r:id="rId60"/>
    <sheet name="316" sheetId="68" r:id="rId61"/>
    <sheet name="Div 6" sheetId="51" r:id="rId62"/>
    <sheet name="317" sheetId="69" r:id="rId63"/>
    <sheet name="310" sheetId="21" r:id="rId64"/>
    <sheet name="309" sheetId="64" r:id="rId65"/>
    <sheet name="313" sheetId="66" r:id="rId66"/>
    <sheet name="321" sheetId="70" r:id="rId67"/>
    <sheet name="322" sheetId="71" r:id="rId68"/>
    <sheet name="325" sheetId="73" r:id="rId69"/>
    <sheet name="327" sheetId="75" r:id="rId70"/>
    <sheet name="Div 4" sheetId="36" r:id="rId71"/>
    <sheet name="310 &amp; 491" sheetId="39" r:id="rId72"/>
    <sheet name="491" sheetId="42" r:id="rId73"/>
    <sheet name="405" sheetId="76" r:id="rId74"/>
    <sheet name="406" sheetId="77" r:id="rId75"/>
    <sheet name="411" sheetId="78" r:id="rId76"/>
    <sheet name="412" sheetId="79" r:id="rId77"/>
    <sheet name="413" sheetId="80" r:id="rId78"/>
    <sheet name="414" sheetId="81" r:id="rId79"/>
    <sheet name="415" sheetId="82" r:id="rId80"/>
    <sheet name="418" sheetId="83" r:id="rId81"/>
    <sheet name="423" sheetId="84" r:id="rId82"/>
    <sheet name="424" sheetId="85" r:id="rId83"/>
    <sheet name="425" sheetId="86" r:id="rId84"/>
    <sheet name="455" sheetId="92" r:id="rId85"/>
    <sheet name="492" sheetId="45" r:id="rId86"/>
    <sheet name="430" sheetId="87" r:id="rId87"/>
    <sheet name="433" sheetId="88" r:id="rId88"/>
    <sheet name="435" sheetId="89" r:id="rId89"/>
    <sheet name="444" sheetId="90" r:id="rId90"/>
    <sheet name="450" sheetId="91" r:id="rId91"/>
    <sheet name="Div 5" sheetId="48" r:id="rId92"/>
    <sheet name="501" sheetId="93" r:id="rId93"/>
    <sheet name="Dept" sheetId="94" state="hidden" r:id="rId94"/>
    <sheet name="OSR_Dept_Y0WUKY" sheetId="95" state="hidden" r:id="rId95"/>
    <sheet name="OSR_Summary (...56e5d78f_5JEYZH" sheetId="96" state="hidden" r:id="rId96"/>
  </sheets>
  <definedNames>
    <definedName name="IFERROR">#NAME?</definedName>
    <definedName name="OSRRefD11_0x" localSheetId="48">'300'!$D$11:$M$11</definedName>
    <definedName name="OSRRefD11_0x" localSheetId="49">'300 &amp; 317'!$D$11:$M$11</definedName>
    <definedName name="OSRRefD11_0x" localSheetId="55">'307'!$D$11:$M$11</definedName>
    <definedName name="OSRRefD11_0x" localSheetId="51">'308'!$D$11:$M$11</definedName>
    <definedName name="OSRRefD11_0x" localSheetId="64">'309'!$D$11:$M$11</definedName>
    <definedName name="OSRRefD11_0x" localSheetId="63">'310'!$D$11:$M$11</definedName>
    <definedName name="OSRRefD11_0x" localSheetId="71">'310 &amp; 491'!$D$11:$M$11</definedName>
    <definedName name="OSRRefD11_0x" localSheetId="52">'311'!$D$11:$M$11</definedName>
    <definedName name="OSRRefD11_0x" localSheetId="57">'315'!$D$11:$M$11</definedName>
    <definedName name="OSRRefD11_0x" localSheetId="60">'316'!$D$11:$M$11</definedName>
    <definedName name="OSRRefD11_0x" localSheetId="62">'317'!$D$11:$M$11</definedName>
    <definedName name="OSRRefD11_0x" localSheetId="66">'321'!$D$11:$M$11</definedName>
    <definedName name="OSRRefD11_0x" localSheetId="53">'324'!$D$11:$M$11</definedName>
    <definedName name="OSRRefD11_0x" localSheetId="68">'325'!$D$11:$M$11</definedName>
    <definedName name="OSRRefD11_0x" localSheetId="58">'326'!$D$11:$M$11</definedName>
    <definedName name="OSRRefD11_0x" localSheetId="69">'327'!$D$11:$M$11</definedName>
    <definedName name="OSRRefD11_0x" localSheetId="56">'331'!$D$11:$M$11</definedName>
    <definedName name="OSRRefD11_0x" localSheetId="59">'332'!$D$11:$M$11</definedName>
    <definedName name="OSRRefD11_0x" localSheetId="54">'333'!$D$11:$M$11</definedName>
    <definedName name="OSRRefD11_0x" localSheetId="73">'405'!$D$11:$M$11</definedName>
    <definedName name="OSRRefD11_0x" localSheetId="79">'415'!$D$11:$M$11</definedName>
    <definedName name="OSRRefD11_0x" localSheetId="80">'418'!$D$11:$M$11</definedName>
    <definedName name="OSRRefD11_0x" localSheetId="83">'425'!$D$11:$M$11</definedName>
    <definedName name="OSRRefD11_0x" localSheetId="87">'433'!$D$11:$M$11</definedName>
    <definedName name="OSRRefD11_0x" localSheetId="88">'435'!$D$11:$M$11</definedName>
    <definedName name="OSRRefD11_0x" localSheetId="89">'444'!$D$11:$M$11</definedName>
    <definedName name="OSRRefD11_0x" localSheetId="90">'450'!$D$11:$M$11</definedName>
    <definedName name="OSRRefD11_0x" localSheetId="72">'491'!$D$11:$M$11</definedName>
    <definedName name="OSRRefD11_0x" localSheetId="85">'492'!$D$11:$M$11</definedName>
    <definedName name="OSRRefD11_0x" localSheetId="92">'501'!$D$11:$M$11</definedName>
    <definedName name="OSRRefD11_0x" localSheetId="47">'Div 3'!$D$11:$M$11</definedName>
    <definedName name="OSRRefD11_0x" localSheetId="70">'Div 4'!$D$11:$M$11</definedName>
    <definedName name="OSRRefD11_0x" localSheetId="91">'Div 5'!$D$11:$M$11</definedName>
    <definedName name="OSRRefD11_0x" localSheetId="61">'Div 6'!$D$11:$M$11</definedName>
    <definedName name="OSRRefD11_0x" localSheetId="2">Summary!$D$11:$M$11</definedName>
    <definedName name="OSRRefD11_10x" localSheetId="47">'Div 3'!$D$21:$M$21</definedName>
    <definedName name="OSRRefD11_10x" localSheetId="2">Summary!$D$21:$M$21</definedName>
    <definedName name="OSRRefD11_11x" localSheetId="2">Summary!$D$22:$M$22</definedName>
    <definedName name="OSRRefD11_12x" localSheetId="2">Summary!$D$23:$M$23</definedName>
    <definedName name="OSRRefD11_1x" localSheetId="48">'300'!$D$12:$M$12</definedName>
    <definedName name="OSRRefD11_1x" localSheetId="49">'300 &amp; 317'!$D$12:$M$12</definedName>
    <definedName name="OSRRefD11_1x" localSheetId="55">'307'!$D$12:$M$12</definedName>
    <definedName name="OSRRefD11_1x" localSheetId="51">'308'!$D$12:$M$12</definedName>
    <definedName name="OSRRefD11_1x" localSheetId="64">'309'!$D$12:$M$12</definedName>
    <definedName name="OSRRefD11_1x" localSheetId="63">'310'!$D$12:$M$12</definedName>
    <definedName name="OSRRefD11_1x" localSheetId="71">'310 &amp; 491'!$D$12:$M$12</definedName>
    <definedName name="OSRRefD11_1x" localSheetId="52">'311'!$D$12:$M$12</definedName>
    <definedName name="OSRRefD11_1x" localSheetId="57">'315'!$D$12:$M$12</definedName>
    <definedName name="OSRRefD11_1x" localSheetId="60">'316'!$D$12:$M$12</definedName>
    <definedName name="OSRRefD11_1x" localSheetId="62">'317'!$D$12:$M$12</definedName>
    <definedName name="OSRRefD11_1x" localSheetId="66">'321'!$D$12:$M$12</definedName>
    <definedName name="OSRRefD11_1x" localSheetId="53">'324'!$D$12:$M$12</definedName>
    <definedName name="OSRRefD11_1x" localSheetId="68">'325'!$D$12:$M$12</definedName>
    <definedName name="OSRRefD11_1x" localSheetId="58">'326'!$D$12:$M$12</definedName>
    <definedName name="OSRRefD11_1x" localSheetId="69">'327'!$D$12:$M$12</definedName>
    <definedName name="OSRRefD11_1x" localSheetId="56">'331'!$D$12:$M$12</definedName>
    <definedName name="OSRRefD11_1x" localSheetId="59">'332'!$D$12:$M$12</definedName>
    <definedName name="OSRRefD11_1x" localSheetId="54">'333'!$D$12:$M$12</definedName>
    <definedName name="OSRRefD11_1x" localSheetId="73">'405'!$D$12:$M$12</definedName>
    <definedName name="OSRRefD11_1x" localSheetId="79">'415'!$D$12:$M$12</definedName>
    <definedName name="OSRRefD11_1x" localSheetId="80">'418'!$D$12:$M$12</definedName>
    <definedName name="OSRRefD11_1x" localSheetId="87">'433'!$D$12:$M$12</definedName>
    <definedName name="OSRRefD11_1x" localSheetId="88">'435'!$D$12:$M$12</definedName>
    <definedName name="OSRRefD11_1x" localSheetId="89">'444'!$D$12:$M$12</definedName>
    <definedName name="OSRRefD11_1x" localSheetId="90">'450'!$D$12:$M$12</definedName>
    <definedName name="OSRRefD11_1x" localSheetId="72">'491'!$D$12:$M$12</definedName>
    <definedName name="OSRRefD11_1x" localSheetId="85">'492'!$D$12:$M$12</definedName>
    <definedName name="OSRRefD11_1x" localSheetId="47">'Div 3'!$D$12:$M$12</definedName>
    <definedName name="OSRRefD11_1x" localSheetId="70">'Div 4'!$D$12:$M$12</definedName>
    <definedName name="OSRRefD11_1x" localSheetId="61">'Div 6'!$D$12:$M$12</definedName>
    <definedName name="OSRRefD11_1x" localSheetId="2">Summary!$D$12:$M$12</definedName>
    <definedName name="OSRRefD11_2x" localSheetId="48">'300'!$D$13:$M$13</definedName>
    <definedName name="OSRRefD11_2x" localSheetId="49">'300 &amp; 317'!$D$13:$M$13</definedName>
    <definedName name="OSRRefD11_2x" localSheetId="55">'307'!$D$13:$M$13</definedName>
    <definedName name="OSRRefD11_2x" localSheetId="51">'308'!$D$13:$M$13</definedName>
    <definedName name="OSRRefD11_2x" localSheetId="64">'309'!$D$13:$M$13</definedName>
    <definedName name="OSRRefD11_2x" localSheetId="63">'310'!$D$13:$M$13</definedName>
    <definedName name="OSRRefD11_2x" localSheetId="71">'310 &amp; 491'!$D$13:$M$13</definedName>
    <definedName name="OSRRefD11_2x" localSheetId="52">'311'!$D$13:$M$13</definedName>
    <definedName name="OSRRefD11_2x" localSheetId="57">'315'!$D$13:$M$13</definedName>
    <definedName name="OSRRefD11_2x" localSheetId="60">'316'!$D$13:$M$13</definedName>
    <definedName name="OSRRefD11_2x" localSheetId="62">'317'!$D$13:$M$13</definedName>
    <definedName name="OSRRefD11_2x" localSheetId="58">'326'!$D$13:$M$13</definedName>
    <definedName name="OSRRefD11_2x" localSheetId="69">'327'!$D$13:$M$13</definedName>
    <definedName name="OSRRefD11_2x" localSheetId="56">'331'!$D$13:$M$13</definedName>
    <definedName name="OSRRefD11_2x" localSheetId="59">'332'!$D$13:$M$13</definedName>
    <definedName name="OSRRefD11_2x" localSheetId="54">'333'!$D$13:$M$13</definedName>
    <definedName name="OSRRefD11_2x" localSheetId="73">'405'!$D$13:$M$13</definedName>
    <definedName name="OSRRefD11_2x" localSheetId="79">'415'!$D$13:$M$13</definedName>
    <definedName name="OSRRefD11_2x" localSheetId="87">'433'!$D$13:$M$13</definedName>
    <definedName name="OSRRefD11_2x" localSheetId="89">'444'!$D$13:$M$13</definedName>
    <definedName name="OSRRefD11_2x" localSheetId="90">'450'!$D$13:$M$13</definedName>
    <definedName name="OSRRefD11_2x" localSheetId="72">'491'!$D$13:$M$13</definedName>
    <definedName name="OSRRefD11_2x" localSheetId="85">'492'!$D$13:$M$13</definedName>
    <definedName name="OSRRefD11_2x" localSheetId="47">'Div 3'!$D$13:$M$13</definedName>
    <definedName name="OSRRefD11_2x" localSheetId="70">'Div 4'!$D$13:$M$13</definedName>
    <definedName name="OSRRefD11_2x" localSheetId="61">'Div 6'!$D$13:$M$13</definedName>
    <definedName name="OSRRefD11_2x" localSheetId="2">Summary!$D$13:$M$13</definedName>
    <definedName name="OSRRefD11_3x" localSheetId="48">'300'!$D$14:$M$14</definedName>
    <definedName name="OSRRefD11_3x" localSheetId="49">'300 &amp; 317'!$D$14:$M$14</definedName>
    <definedName name="OSRRefD11_3x" localSheetId="55">'307'!$D$14:$M$14</definedName>
    <definedName name="OSRRefD11_3x" localSheetId="51">'308'!$D$14:$M$14</definedName>
    <definedName name="OSRRefD11_3x" localSheetId="64">'309'!$D$14:$M$14</definedName>
    <definedName name="OSRRefD11_3x" localSheetId="63">'310'!$D$14:$M$14</definedName>
    <definedName name="OSRRefD11_3x" localSheetId="71">'310 &amp; 491'!$D$14:$M$14</definedName>
    <definedName name="OSRRefD11_3x" localSheetId="52">'311'!$D$14:$M$14</definedName>
    <definedName name="OSRRefD11_3x" localSheetId="57">'315'!$D$14:$M$14</definedName>
    <definedName name="OSRRefD11_3x" localSheetId="60">'316'!$D$14:$M$14</definedName>
    <definedName name="OSRRefD11_3x" localSheetId="62">'317'!$D$14:$M$14</definedName>
    <definedName name="OSRRefD11_3x" localSheetId="58">'326'!$D$14:$M$14</definedName>
    <definedName name="OSRRefD11_3x" localSheetId="56">'331'!$D$14:$M$14</definedName>
    <definedName name="OSRRefD11_3x" localSheetId="59">'332'!$D$14:$M$14</definedName>
    <definedName name="OSRRefD11_3x" localSheetId="54">'333'!$D$14:$M$14</definedName>
    <definedName name="OSRRefD11_3x" localSheetId="73">'405'!$D$14:$M$14</definedName>
    <definedName name="OSRRefD11_3x" localSheetId="79">'415'!$D$14:$M$14</definedName>
    <definedName name="OSRRefD11_3x" localSheetId="87">'433'!$D$14:$M$14</definedName>
    <definedName name="OSRRefD11_3x" localSheetId="89">'444'!$D$14:$M$14</definedName>
    <definedName name="OSRRefD11_3x" localSheetId="90">'450'!$D$14:$M$14</definedName>
    <definedName name="OSRRefD11_3x" localSheetId="72">'491'!$D$14:$M$14</definedName>
    <definedName name="OSRRefD11_3x" localSheetId="85">'492'!$D$14:$M$14</definedName>
    <definedName name="OSRRefD11_3x" localSheetId="47">'Div 3'!$D$14:$M$14</definedName>
    <definedName name="OSRRefD11_3x" localSheetId="70">'Div 4'!$D$14:$M$14</definedName>
    <definedName name="OSRRefD11_3x" localSheetId="61">'Div 6'!$D$14:$M$14</definedName>
    <definedName name="OSRRefD11_3x" localSheetId="2">Summary!$D$14:$M$14</definedName>
    <definedName name="OSRRefD11_4x" localSheetId="48">'300'!$D$15:$M$15</definedName>
    <definedName name="OSRRefD11_4x" localSheetId="49">'300 &amp; 317'!$D$15:$M$15</definedName>
    <definedName name="OSRRefD11_4x" localSheetId="51">'308'!$D$15:$M$15</definedName>
    <definedName name="OSRRefD11_4x" localSheetId="63">'310'!$D$15:$M$15</definedName>
    <definedName name="OSRRefD11_4x" localSheetId="71">'310 &amp; 491'!$D$15:$M$15</definedName>
    <definedName name="OSRRefD11_4x" localSheetId="52">'311'!$D$15:$M$15</definedName>
    <definedName name="OSRRefD11_4x" localSheetId="57">'315'!$D$15:$M$15</definedName>
    <definedName name="OSRRefD11_4x" localSheetId="60">'316'!$D$15:$M$15</definedName>
    <definedName name="OSRRefD11_4x" localSheetId="62">'317'!$D$15:$M$15</definedName>
    <definedName name="OSRRefD11_4x" localSheetId="56">'331'!$D$15:$M$15</definedName>
    <definedName name="OSRRefD11_4x" localSheetId="59">'332'!$D$15:$M$15</definedName>
    <definedName name="OSRRefD11_4x" localSheetId="54">'333'!$D$15:$M$15</definedName>
    <definedName name="OSRRefD11_4x" localSheetId="72">'491'!$D$15:$M$15</definedName>
    <definedName name="OSRRefD11_4x" localSheetId="85">'492'!$D$15:$M$15</definedName>
    <definedName name="OSRRefD11_4x" localSheetId="47">'Div 3'!$D$15:$M$15</definedName>
    <definedName name="OSRRefD11_4x" localSheetId="70">'Div 4'!$D$15:$M$15</definedName>
    <definedName name="OSRRefD11_4x" localSheetId="61">'Div 6'!$D$15:$M$15</definedName>
    <definedName name="OSRRefD11_4x" localSheetId="2">Summary!$D$15:$M$15</definedName>
    <definedName name="OSRRefD11_5x" localSheetId="48">'300'!$D$16:$M$16</definedName>
    <definedName name="OSRRefD11_5x" localSheetId="49">'300 &amp; 317'!$D$16:$M$16</definedName>
    <definedName name="OSRRefD11_5x" localSheetId="63">'310'!$D$16:$M$16</definedName>
    <definedName name="OSRRefD11_5x" localSheetId="71">'310 &amp; 491'!$D$16:$M$16</definedName>
    <definedName name="OSRRefD11_5x" localSheetId="85">'492'!$D$16:$M$16</definedName>
    <definedName name="OSRRefD11_5x" localSheetId="47">'Div 3'!$D$16:$M$16</definedName>
    <definedName name="OSRRefD11_5x" localSheetId="70">'Div 4'!$D$16:$M$16</definedName>
    <definedName name="OSRRefD11_5x" localSheetId="2">Summary!$D$16:$M$16</definedName>
    <definedName name="OSRRefD11_6x" localSheetId="48">'300'!$D$17:$M$17</definedName>
    <definedName name="OSRRefD11_6x" localSheetId="49">'300 &amp; 317'!$D$17:$M$17</definedName>
    <definedName name="OSRRefD11_6x" localSheetId="47">'Div 3'!$D$17:$M$17</definedName>
    <definedName name="OSRRefD11_6x" localSheetId="70">'Div 4'!$D$17:$M$17</definedName>
    <definedName name="OSRRefD11_6x" localSheetId="2">Summary!$D$17:$M$17</definedName>
    <definedName name="OSRRefD11_7x" localSheetId="47">'Div 3'!$D$18:$M$18</definedName>
    <definedName name="OSRRefD11_7x" localSheetId="70">'Div 4'!$D$18:$M$18</definedName>
    <definedName name="OSRRefD11_7x" localSheetId="2">Summary!$D$18:$M$18</definedName>
    <definedName name="OSRRefD11_8x" localSheetId="47">'Div 3'!$D$19:$M$19</definedName>
    <definedName name="OSRRefD11_8x" localSheetId="2">Summary!$D$19:$M$19</definedName>
    <definedName name="OSRRefD11_9x" localSheetId="47">'Div 3'!$D$20:$M$20</definedName>
    <definedName name="OSRRefD11_9x" localSheetId="2">Summary!$D$20:$M$20</definedName>
    <definedName name="OSRRefD11x_0" localSheetId="48">'300'!$D$11:$D$17</definedName>
    <definedName name="OSRRefD11x_0" localSheetId="49">'300 &amp; 317'!$D$11:$D$17</definedName>
    <definedName name="OSRRefD11x_0" localSheetId="55">'307'!$D$11:$D$14</definedName>
    <definedName name="OSRRefD11x_0" localSheetId="51">'308'!$D$11:$D$15</definedName>
    <definedName name="OSRRefD11x_0" localSheetId="64">'309'!$D$11:$D$14</definedName>
    <definedName name="OSRRefD11x_0" localSheetId="63">'310'!$D$11:$D$16</definedName>
    <definedName name="OSRRefD11x_0" localSheetId="71">'310 &amp; 491'!$D$11:$D$16</definedName>
    <definedName name="OSRRefD11x_0" localSheetId="52">'311'!$D$11:$D$15</definedName>
    <definedName name="OSRRefD11x_0" localSheetId="57">'315'!$D$11:$D$15</definedName>
    <definedName name="OSRRefD11x_0" localSheetId="60">'316'!$D$11:$D$15</definedName>
    <definedName name="OSRRefD11x_0" localSheetId="62">'317'!$D$11:$D$15</definedName>
    <definedName name="OSRRefD11x_0" localSheetId="66">'321'!$D$11:$D$12</definedName>
    <definedName name="OSRRefD11x_0" localSheetId="53">'324'!$D$11:$D$12</definedName>
    <definedName name="OSRRefD11x_0" localSheetId="68">'325'!$D$11:$D$12</definedName>
    <definedName name="OSRRefD11x_0" localSheetId="58">'326'!$D$11:$D$14</definedName>
    <definedName name="OSRRefD11x_0" localSheetId="69">'327'!$D$11:$D$13</definedName>
    <definedName name="OSRRefD11x_0" localSheetId="56">'331'!$D$11:$D$15</definedName>
    <definedName name="OSRRefD11x_0" localSheetId="59">'332'!$D$11:$D$15</definedName>
    <definedName name="OSRRefD11x_0" localSheetId="54">'333'!$D$11:$D$15</definedName>
    <definedName name="OSRRefD11x_0" localSheetId="73">'405'!$D$11:$D$14</definedName>
    <definedName name="OSRRefD11x_0" localSheetId="79">'415'!$D$11:$D$14</definedName>
    <definedName name="OSRRefD11x_0" localSheetId="80">'418'!$D$11:$D$12</definedName>
    <definedName name="OSRRefD11x_0" localSheetId="83">'425'!$D$11</definedName>
    <definedName name="OSRRefD11x_0" localSheetId="87">'433'!$D$11:$D$14</definedName>
    <definedName name="OSRRefD11x_0" localSheetId="88">'435'!$D$11:$D$12</definedName>
    <definedName name="OSRRefD11x_0" localSheetId="89">'444'!$D$11:$D$14</definedName>
    <definedName name="OSRRefD11x_0" localSheetId="90">'450'!$D$11:$D$14</definedName>
    <definedName name="OSRRefD11x_0" localSheetId="72">'491'!$D$11:$D$15</definedName>
    <definedName name="OSRRefD11x_0" localSheetId="85">'492'!$D$11:$D$16</definedName>
    <definedName name="OSRRefD11x_0" localSheetId="92">'501'!$D$11</definedName>
    <definedName name="OSRRefD11x_0" localSheetId="47">'Div 3'!$D$11:$D$21</definedName>
    <definedName name="OSRRefD11x_0" localSheetId="70">'Div 4'!$D$11:$D$18</definedName>
    <definedName name="OSRRefD11x_0" localSheetId="91">'Div 5'!$D$11</definedName>
    <definedName name="OSRRefD11x_0" localSheetId="61">'Div 6'!$D$11:$D$15</definedName>
    <definedName name="OSRRefD11x_0" localSheetId="2">Summary!$D$11:$D$23</definedName>
    <definedName name="OSRRefD11x_1" localSheetId="48">'300'!$E$11:$E$17</definedName>
    <definedName name="OSRRefD11x_1" localSheetId="49">'300 &amp; 317'!$E$11:$E$17</definedName>
    <definedName name="OSRRefD11x_1" localSheetId="55">'307'!$E$11:$E$14</definedName>
    <definedName name="OSRRefD11x_1" localSheetId="51">'308'!$E$11:$E$15</definedName>
    <definedName name="OSRRefD11x_1" localSheetId="64">'309'!$E$11:$E$14</definedName>
    <definedName name="OSRRefD11x_1" localSheetId="63">'310'!$E$11:$E$16</definedName>
    <definedName name="OSRRefD11x_1" localSheetId="71">'310 &amp; 491'!$E$11:$E$16</definedName>
    <definedName name="OSRRefD11x_1" localSheetId="52">'311'!$E$11:$E$15</definedName>
    <definedName name="OSRRefD11x_1" localSheetId="57">'315'!$E$11:$E$15</definedName>
    <definedName name="OSRRefD11x_1" localSheetId="60">'316'!$E$11:$E$15</definedName>
    <definedName name="OSRRefD11x_1" localSheetId="62">'317'!$E$11:$E$15</definedName>
    <definedName name="OSRRefD11x_1" localSheetId="66">'321'!$E$11:$E$12</definedName>
    <definedName name="OSRRefD11x_1" localSheetId="53">'324'!$E$11:$E$12</definedName>
    <definedName name="OSRRefD11x_1" localSheetId="68">'325'!$E$11:$E$12</definedName>
    <definedName name="OSRRefD11x_1" localSheetId="58">'326'!$E$11:$E$14</definedName>
    <definedName name="OSRRefD11x_1" localSheetId="69">'327'!$E$11:$E$13</definedName>
    <definedName name="OSRRefD11x_1" localSheetId="56">'331'!$E$11:$E$15</definedName>
    <definedName name="OSRRefD11x_1" localSheetId="59">'332'!$E$11:$E$15</definedName>
    <definedName name="OSRRefD11x_1" localSheetId="54">'333'!$E$11:$E$15</definedName>
    <definedName name="OSRRefD11x_1" localSheetId="73">'405'!$E$11:$E$14</definedName>
    <definedName name="OSRRefD11x_1" localSheetId="79">'415'!$E$11:$E$14</definedName>
    <definedName name="OSRRefD11x_1" localSheetId="80">'418'!$E$11:$E$12</definedName>
    <definedName name="OSRRefD11x_1" localSheetId="83">'425'!$E$11</definedName>
    <definedName name="OSRRefD11x_1" localSheetId="87">'433'!$E$11:$E$14</definedName>
    <definedName name="OSRRefD11x_1" localSheetId="88">'435'!$E$11:$E$12</definedName>
    <definedName name="OSRRefD11x_1" localSheetId="89">'444'!$E$11:$E$14</definedName>
    <definedName name="OSRRefD11x_1" localSheetId="90">'450'!$E$11:$E$14</definedName>
    <definedName name="OSRRefD11x_1" localSheetId="72">'491'!$E$11:$E$15</definedName>
    <definedName name="OSRRefD11x_1" localSheetId="85">'492'!$E$11:$E$16</definedName>
    <definedName name="OSRRefD11x_1" localSheetId="92">'501'!$E$11</definedName>
    <definedName name="OSRRefD11x_1" localSheetId="47">'Div 3'!$E$11:$E$21</definedName>
    <definedName name="OSRRefD11x_1" localSheetId="70">'Div 4'!$E$11:$E$18</definedName>
    <definedName name="OSRRefD11x_1" localSheetId="91">'Div 5'!$E$11</definedName>
    <definedName name="OSRRefD11x_1" localSheetId="61">'Div 6'!$E$11:$E$15</definedName>
    <definedName name="OSRRefD11x_1" localSheetId="2">Summary!$E$11:$E$23</definedName>
    <definedName name="OSRRefD11x_2" localSheetId="48">'300'!$F$11:$F$17</definedName>
    <definedName name="OSRRefD11x_2" localSheetId="49">'300 &amp; 317'!$F$11:$F$17</definedName>
    <definedName name="OSRRefD11x_2" localSheetId="55">'307'!$F$11:$F$14</definedName>
    <definedName name="OSRRefD11x_2" localSheetId="51">'308'!$F$11:$F$15</definedName>
    <definedName name="OSRRefD11x_2" localSheetId="64">'309'!$F$11:$F$14</definedName>
    <definedName name="OSRRefD11x_2" localSheetId="63">'310'!$F$11:$F$16</definedName>
    <definedName name="OSRRefD11x_2" localSheetId="71">'310 &amp; 491'!$F$11:$F$16</definedName>
    <definedName name="OSRRefD11x_2" localSheetId="52">'311'!$F$11:$F$15</definedName>
    <definedName name="OSRRefD11x_2" localSheetId="57">'315'!$F$11:$F$15</definedName>
    <definedName name="OSRRefD11x_2" localSheetId="60">'316'!$F$11:$F$15</definedName>
    <definedName name="OSRRefD11x_2" localSheetId="62">'317'!$F$11:$F$15</definedName>
    <definedName name="OSRRefD11x_2" localSheetId="66">'321'!$F$11:$F$12</definedName>
    <definedName name="OSRRefD11x_2" localSheetId="53">'324'!$F$11:$F$12</definedName>
    <definedName name="OSRRefD11x_2" localSheetId="68">'325'!$F$11:$F$12</definedName>
    <definedName name="OSRRefD11x_2" localSheetId="58">'326'!$F$11:$F$14</definedName>
    <definedName name="OSRRefD11x_2" localSheetId="69">'327'!$F$11:$F$13</definedName>
    <definedName name="OSRRefD11x_2" localSheetId="56">'331'!$F$11:$F$15</definedName>
    <definedName name="OSRRefD11x_2" localSheetId="59">'332'!$F$11:$F$15</definedName>
    <definedName name="OSRRefD11x_2" localSheetId="54">'333'!$F$11:$F$15</definedName>
    <definedName name="OSRRefD11x_2" localSheetId="73">'405'!$F$11:$F$14</definedName>
    <definedName name="OSRRefD11x_2" localSheetId="79">'415'!$F$11:$F$14</definedName>
    <definedName name="OSRRefD11x_2" localSheetId="80">'418'!$F$11:$F$12</definedName>
    <definedName name="OSRRefD11x_2" localSheetId="83">'425'!$F$11</definedName>
    <definedName name="OSRRefD11x_2" localSheetId="87">'433'!$F$11:$F$14</definedName>
    <definedName name="OSRRefD11x_2" localSheetId="88">'435'!$F$11:$F$12</definedName>
    <definedName name="OSRRefD11x_2" localSheetId="89">'444'!$F$11:$F$14</definedName>
    <definedName name="OSRRefD11x_2" localSheetId="90">'450'!$F$11:$F$14</definedName>
    <definedName name="OSRRefD11x_2" localSheetId="72">'491'!$F$11:$F$15</definedName>
    <definedName name="OSRRefD11x_2" localSheetId="85">'492'!$F$11:$F$16</definedName>
    <definedName name="OSRRefD11x_2" localSheetId="92">'501'!$F$11</definedName>
    <definedName name="OSRRefD11x_2" localSheetId="47">'Div 3'!$F$11:$F$21</definedName>
    <definedName name="OSRRefD11x_2" localSheetId="70">'Div 4'!$F$11:$F$18</definedName>
    <definedName name="OSRRefD11x_2" localSheetId="91">'Div 5'!$F$11</definedName>
    <definedName name="OSRRefD11x_2" localSheetId="61">'Div 6'!$F$11:$F$15</definedName>
    <definedName name="OSRRefD11x_2" localSheetId="2">Summary!$F$11:$F$23</definedName>
    <definedName name="OSRRefD11x_3" localSheetId="48">'300'!$G$11:$G$17</definedName>
    <definedName name="OSRRefD11x_3" localSheetId="49">'300 &amp; 317'!$G$11:$G$17</definedName>
    <definedName name="OSRRefD11x_3" localSheetId="55">'307'!$G$11:$G$14</definedName>
    <definedName name="OSRRefD11x_3" localSheetId="51">'308'!$G$11:$G$15</definedName>
    <definedName name="OSRRefD11x_3" localSheetId="64">'309'!$G$11:$G$14</definedName>
    <definedName name="OSRRefD11x_3" localSheetId="63">'310'!$G$11:$G$16</definedName>
    <definedName name="OSRRefD11x_3" localSheetId="71">'310 &amp; 491'!$G$11:$G$16</definedName>
    <definedName name="OSRRefD11x_3" localSheetId="52">'311'!$G$11:$G$15</definedName>
    <definedName name="OSRRefD11x_3" localSheetId="57">'315'!$G$11:$G$15</definedName>
    <definedName name="OSRRefD11x_3" localSheetId="60">'316'!$G$11:$G$15</definedName>
    <definedName name="OSRRefD11x_3" localSheetId="62">'317'!$G$11:$G$15</definedName>
    <definedName name="OSRRefD11x_3" localSheetId="66">'321'!$G$11:$G$12</definedName>
    <definedName name="OSRRefD11x_3" localSheetId="53">'324'!$G$11:$G$12</definedName>
    <definedName name="OSRRefD11x_3" localSheetId="68">'325'!$G$11:$G$12</definedName>
    <definedName name="OSRRefD11x_3" localSheetId="58">'326'!$G$11:$G$14</definedName>
    <definedName name="OSRRefD11x_3" localSheetId="69">'327'!$G$11:$G$13</definedName>
    <definedName name="OSRRefD11x_3" localSheetId="56">'331'!$G$11:$G$15</definedName>
    <definedName name="OSRRefD11x_3" localSheetId="59">'332'!$G$11:$G$15</definedName>
    <definedName name="OSRRefD11x_3" localSheetId="54">'333'!$G$11:$G$15</definedName>
    <definedName name="OSRRefD11x_3" localSheetId="73">'405'!$G$11:$G$14</definedName>
    <definedName name="OSRRefD11x_3" localSheetId="79">'415'!$G$11:$G$14</definedName>
    <definedName name="OSRRefD11x_3" localSheetId="80">'418'!$G$11:$G$12</definedName>
    <definedName name="OSRRefD11x_3" localSheetId="83">'425'!$G$11</definedName>
    <definedName name="OSRRefD11x_3" localSheetId="87">'433'!$G$11:$G$14</definedName>
    <definedName name="OSRRefD11x_3" localSheetId="88">'435'!$G$11:$G$12</definedName>
    <definedName name="OSRRefD11x_3" localSheetId="89">'444'!$G$11:$G$14</definedName>
    <definedName name="OSRRefD11x_3" localSheetId="90">'450'!$G$11:$G$14</definedName>
    <definedName name="OSRRefD11x_3" localSheetId="72">'491'!$G$11:$G$15</definedName>
    <definedName name="OSRRefD11x_3" localSheetId="85">'492'!$G$11:$G$16</definedName>
    <definedName name="OSRRefD11x_3" localSheetId="92">'501'!$G$11</definedName>
    <definedName name="OSRRefD11x_3" localSheetId="47">'Div 3'!$G$11:$G$21</definedName>
    <definedName name="OSRRefD11x_3" localSheetId="70">'Div 4'!$G$11:$G$18</definedName>
    <definedName name="OSRRefD11x_3" localSheetId="91">'Div 5'!$G$11</definedName>
    <definedName name="OSRRefD11x_3" localSheetId="61">'Div 6'!$G$11:$G$15</definedName>
    <definedName name="OSRRefD11x_3" localSheetId="2">Summary!$G$11:$G$23</definedName>
    <definedName name="OSRRefD11x_4" localSheetId="48">'300'!$H$11:$H$17</definedName>
    <definedName name="OSRRefD11x_4" localSheetId="49">'300 &amp; 317'!$H$11:$H$17</definedName>
    <definedName name="OSRRefD11x_4" localSheetId="55">'307'!$H$11:$H$14</definedName>
    <definedName name="OSRRefD11x_4" localSheetId="51">'308'!$H$11:$H$15</definedName>
    <definedName name="OSRRefD11x_4" localSheetId="64">'309'!$H$11:$H$14</definedName>
    <definedName name="OSRRefD11x_4" localSheetId="63">'310'!$H$11:$H$16</definedName>
    <definedName name="OSRRefD11x_4" localSheetId="71">'310 &amp; 491'!$H$11:$H$16</definedName>
    <definedName name="OSRRefD11x_4" localSheetId="52">'311'!$H$11:$H$15</definedName>
    <definedName name="OSRRefD11x_4" localSheetId="57">'315'!$H$11:$H$15</definedName>
    <definedName name="OSRRefD11x_4" localSheetId="60">'316'!$H$11:$H$15</definedName>
    <definedName name="OSRRefD11x_4" localSheetId="62">'317'!$H$11:$H$15</definedName>
    <definedName name="OSRRefD11x_4" localSheetId="66">'321'!$H$11:$H$12</definedName>
    <definedName name="OSRRefD11x_4" localSheetId="53">'324'!$H$11:$H$12</definedName>
    <definedName name="OSRRefD11x_4" localSheetId="68">'325'!$H$11:$H$12</definedName>
    <definedName name="OSRRefD11x_4" localSheetId="58">'326'!$H$11:$H$14</definedName>
    <definedName name="OSRRefD11x_4" localSheetId="69">'327'!$H$11:$H$13</definedName>
    <definedName name="OSRRefD11x_4" localSheetId="56">'331'!$H$11:$H$15</definedName>
    <definedName name="OSRRefD11x_4" localSheetId="59">'332'!$H$11:$H$15</definedName>
    <definedName name="OSRRefD11x_4" localSheetId="54">'333'!$H$11:$H$15</definedName>
    <definedName name="OSRRefD11x_4" localSheetId="73">'405'!$H$11:$H$14</definedName>
    <definedName name="OSRRefD11x_4" localSheetId="79">'415'!$H$11:$H$14</definedName>
    <definedName name="OSRRefD11x_4" localSheetId="80">'418'!$H$11:$H$12</definedName>
    <definedName name="OSRRefD11x_4" localSheetId="83">'425'!$H$11</definedName>
    <definedName name="OSRRefD11x_4" localSheetId="87">'433'!$H$11:$H$14</definedName>
    <definedName name="OSRRefD11x_4" localSheetId="88">'435'!$H$11:$H$12</definedName>
    <definedName name="OSRRefD11x_4" localSheetId="89">'444'!$H$11:$H$14</definedName>
    <definedName name="OSRRefD11x_4" localSheetId="90">'450'!$H$11:$H$14</definedName>
    <definedName name="OSRRefD11x_4" localSheetId="72">'491'!$H$11:$H$15</definedName>
    <definedName name="OSRRefD11x_4" localSheetId="85">'492'!$H$11:$H$16</definedName>
    <definedName name="OSRRefD11x_4" localSheetId="92">'501'!$H$11</definedName>
    <definedName name="OSRRefD11x_4" localSheetId="47">'Div 3'!$H$11:$H$21</definedName>
    <definedName name="OSRRefD11x_4" localSheetId="70">'Div 4'!$H$11:$H$18</definedName>
    <definedName name="OSRRefD11x_4" localSheetId="91">'Div 5'!$H$11</definedName>
    <definedName name="OSRRefD11x_4" localSheetId="61">'Div 6'!$H$11:$H$15</definedName>
    <definedName name="OSRRefD11x_4" localSheetId="2">Summary!$H$11:$H$23</definedName>
    <definedName name="OSRRefD11x_5" localSheetId="48">'300'!$I$11:$I$17</definedName>
    <definedName name="OSRRefD11x_5" localSheetId="49">'300 &amp; 317'!$I$11:$I$17</definedName>
    <definedName name="OSRRefD11x_5" localSheetId="55">'307'!$I$11:$I$14</definedName>
    <definedName name="OSRRefD11x_5" localSheetId="51">'308'!$I$11:$I$15</definedName>
    <definedName name="OSRRefD11x_5" localSheetId="64">'309'!$I$11:$I$14</definedName>
    <definedName name="OSRRefD11x_5" localSheetId="63">'310'!$I$11:$I$16</definedName>
    <definedName name="OSRRefD11x_5" localSheetId="71">'310 &amp; 491'!$I$11:$I$16</definedName>
    <definedName name="OSRRefD11x_5" localSheetId="52">'311'!$I$11:$I$15</definedName>
    <definedName name="OSRRefD11x_5" localSheetId="57">'315'!$I$11:$I$15</definedName>
    <definedName name="OSRRefD11x_5" localSheetId="60">'316'!$I$11:$I$15</definedName>
    <definedName name="OSRRefD11x_5" localSheetId="62">'317'!$I$11:$I$15</definedName>
    <definedName name="OSRRefD11x_5" localSheetId="66">'321'!$I$11:$I$12</definedName>
    <definedName name="OSRRefD11x_5" localSheetId="53">'324'!$I$11:$I$12</definedName>
    <definedName name="OSRRefD11x_5" localSheetId="68">'325'!$I$11:$I$12</definedName>
    <definedName name="OSRRefD11x_5" localSheetId="58">'326'!$I$11:$I$14</definedName>
    <definedName name="OSRRefD11x_5" localSheetId="69">'327'!$I$11:$I$13</definedName>
    <definedName name="OSRRefD11x_5" localSheetId="56">'331'!$I$11:$I$15</definedName>
    <definedName name="OSRRefD11x_5" localSheetId="59">'332'!$I$11:$I$15</definedName>
    <definedName name="OSRRefD11x_5" localSheetId="54">'333'!$I$11:$I$15</definedName>
    <definedName name="OSRRefD11x_5" localSheetId="73">'405'!$I$11:$I$14</definedName>
    <definedName name="OSRRefD11x_5" localSheetId="79">'415'!$I$11:$I$14</definedName>
    <definedName name="OSRRefD11x_5" localSheetId="80">'418'!$I$11:$I$12</definedName>
    <definedName name="OSRRefD11x_5" localSheetId="83">'425'!$I$11</definedName>
    <definedName name="OSRRefD11x_5" localSheetId="87">'433'!$I$11:$I$14</definedName>
    <definedName name="OSRRefD11x_5" localSheetId="88">'435'!$I$11:$I$12</definedName>
    <definedName name="OSRRefD11x_5" localSheetId="89">'444'!$I$11:$I$14</definedName>
    <definedName name="OSRRefD11x_5" localSheetId="90">'450'!$I$11:$I$14</definedName>
    <definedName name="OSRRefD11x_5" localSheetId="72">'491'!$I$11:$I$15</definedName>
    <definedName name="OSRRefD11x_5" localSheetId="85">'492'!$I$11:$I$16</definedName>
    <definedName name="OSRRefD11x_5" localSheetId="92">'501'!$I$11</definedName>
    <definedName name="OSRRefD11x_5" localSheetId="47">'Div 3'!$I$11:$I$21</definedName>
    <definedName name="OSRRefD11x_5" localSheetId="70">'Div 4'!$I$11:$I$18</definedName>
    <definedName name="OSRRefD11x_5" localSheetId="91">'Div 5'!$I$11</definedName>
    <definedName name="OSRRefD11x_5" localSheetId="61">'Div 6'!$I$11:$I$15</definedName>
    <definedName name="OSRRefD11x_5" localSheetId="2">Summary!$I$11:$I$23</definedName>
    <definedName name="OSRRefD11x_6" localSheetId="48">'300'!$J$11:$J$17</definedName>
    <definedName name="OSRRefD11x_6" localSheetId="49">'300 &amp; 317'!$J$11:$J$17</definedName>
    <definedName name="OSRRefD11x_6" localSheetId="55">'307'!$J$11:$J$14</definedName>
    <definedName name="OSRRefD11x_6" localSheetId="51">'308'!$J$11:$J$15</definedName>
    <definedName name="OSRRefD11x_6" localSheetId="64">'309'!$J$11:$J$14</definedName>
    <definedName name="OSRRefD11x_6" localSheetId="63">'310'!$J$11:$J$16</definedName>
    <definedName name="OSRRefD11x_6" localSheetId="71">'310 &amp; 491'!$J$11:$J$16</definedName>
    <definedName name="OSRRefD11x_6" localSheetId="52">'311'!$J$11:$J$15</definedName>
    <definedName name="OSRRefD11x_6" localSheetId="57">'315'!$J$11:$J$15</definedName>
    <definedName name="OSRRefD11x_6" localSheetId="60">'316'!$J$11:$J$15</definedName>
    <definedName name="OSRRefD11x_6" localSheetId="62">'317'!$J$11:$J$15</definedName>
    <definedName name="OSRRefD11x_6" localSheetId="66">'321'!$J$11:$J$12</definedName>
    <definedName name="OSRRefD11x_6" localSheetId="53">'324'!$J$11:$J$12</definedName>
    <definedName name="OSRRefD11x_6" localSheetId="68">'325'!$J$11:$J$12</definedName>
    <definedName name="OSRRefD11x_6" localSheetId="58">'326'!$J$11:$J$14</definedName>
    <definedName name="OSRRefD11x_6" localSheetId="69">'327'!$J$11:$J$13</definedName>
    <definedName name="OSRRefD11x_6" localSheetId="56">'331'!$J$11:$J$15</definedName>
    <definedName name="OSRRefD11x_6" localSheetId="59">'332'!$J$11:$J$15</definedName>
    <definedName name="OSRRefD11x_6" localSheetId="54">'333'!$J$11:$J$15</definedName>
    <definedName name="OSRRefD11x_6" localSheetId="73">'405'!$J$11:$J$14</definedName>
    <definedName name="OSRRefD11x_6" localSheetId="79">'415'!$J$11:$J$14</definedName>
    <definedName name="OSRRefD11x_6" localSheetId="80">'418'!$J$11:$J$12</definedName>
    <definedName name="OSRRefD11x_6" localSheetId="83">'425'!$J$11</definedName>
    <definedName name="OSRRefD11x_6" localSheetId="87">'433'!$J$11:$J$14</definedName>
    <definedName name="OSRRefD11x_6" localSheetId="88">'435'!$J$11:$J$12</definedName>
    <definedName name="OSRRefD11x_6" localSheetId="89">'444'!$J$11:$J$14</definedName>
    <definedName name="OSRRefD11x_6" localSheetId="90">'450'!$J$11:$J$14</definedName>
    <definedName name="OSRRefD11x_6" localSheetId="72">'491'!$J$11:$J$15</definedName>
    <definedName name="OSRRefD11x_6" localSheetId="85">'492'!$J$11:$J$16</definedName>
    <definedName name="OSRRefD11x_6" localSheetId="92">'501'!$J$11</definedName>
    <definedName name="OSRRefD11x_6" localSheetId="47">'Div 3'!$J$11:$J$21</definedName>
    <definedName name="OSRRefD11x_6" localSheetId="70">'Div 4'!$J$11:$J$18</definedName>
    <definedName name="OSRRefD11x_6" localSheetId="91">'Div 5'!$J$11</definedName>
    <definedName name="OSRRefD11x_6" localSheetId="61">'Div 6'!$J$11:$J$15</definedName>
    <definedName name="OSRRefD11x_6" localSheetId="2">Summary!$J$11:$J$23</definedName>
    <definedName name="OSRRefD11x_7" localSheetId="48">'300'!$K$11:$K$17</definedName>
    <definedName name="OSRRefD11x_7" localSheetId="49">'300 &amp; 317'!$K$11:$K$17</definedName>
    <definedName name="OSRRefD11x_7" localSheetId="55">'307'!$K$11:$K$14</definedName>
    <definedName name="OSRRefD11x_7" localSheetId="51">'308'!$K$11:$K$15</definedName>
    <definedName name="OSRRefD11x_7" localSheetId="64">'309'!$K$11:$K$14</definedName>
    <definedName name="OSRRefD11x_7" localSheetId="63">'310'!$K$11:$K$16</definedName>
    <definedName name="OSRRefD11x_7" localSheetId="71">'310 &amp; 491'!$K$11:$K$16</definedName>
    <definedName name="OSRRefD11x_7" localSheetId="52">'311'!$K$11:$K$15</definedName>
    <definedName name="OSRRefD11x_7" localSheetId="57">'315'!$K$11:$K$15</definedName>
    <definedName name="OSRRefD11x_7" localSheetId="60">'316'!$K$11:$K$15</definedName>
    <definedName name="OSRRefD11x_7" localSheetId="62">'317'!$K$11:$K$15</definedName>
    <definedName name="OSRRefD11x_7" localSheetId="66">'321'!$K$11:$K$12</definedName>
    <definedName name="OSRRefD11x_7" localSheetId="53">'324'!$K$11:$K$12</definedName>
    <definedName name="OSRRefD11x_7" localSheetId="68">'325'!$K$11:$K$12</definedName>
    <definedName name="OSRRefD11x_7" localSheetId="58">'326'!$K$11:$K$14</definedName>
    <definedName name="OSRRefD11x_7" localSheetId="69">'327'!$K$11:$K$13</definedName>
    <definedName name="OSRRefD11x_7" localSheetId="56">'331'!$K$11:$K$15</definedName>
    <definedName name="OSRRefD11x_7" localSheetId="59">'332'!$K$11:$K$15</definedName>
    <definedName name="OSRRefD11x_7" localSheetId="54">'333'!$K$11:$K$15</definedName>
    <definedName name="OSRRefD11x_7" localSheetId="73">'405'!$K$11:$K$14</definedName>
    <definedName name="OSRRefD11x_7" localSheetId="79">'415'!$K$11:$K$14</definedName>
    <definedName name="OSRRefD11x_7" localSheetId="80">'418'!$K$11:$K$12</definedName>
    <definedName name="OSRRefD11x_7" localSheetId="83">'425'!$K$11</definedName>
    <definedName name="OSRRefD11x_7" localSheetId="87">'433'!$K$11:$K$14</definedName>
    <definedName name="OSRRefD11x_7" localSheetId="88">'435'!$K$11:$K$12</definedName>
    <definedName name="OSRRefD11x_7" localSheetId="89">'444'!$K$11:$K$14</definedName>
    <definedName name="OSRRefD11x_7" localSheetId="90">'450'!$K$11:$K$14</definedName>
    <definedName name="OSRRefD11x_7" localSheetId="72">'491'!$K$11:$K$15</definedName>
    <definedName name="OSRRefD11x_7" localSheetId="85">'492'!$K$11:$K$16</definedName>
    <definedName name="OSRRefD11x_7" localSheetId="92">'501'!$K$11</definedName>
    <definedName name="OSRRefD11x_7" localSheetId="47">'Div 3'!$K$11:$K$21</definedName>
    <definedName name="OSRRefD11x_7" localSheetId="70">'Div 4'!$K$11:$K$18</definedName>
    <definedName name="OSRRefD11x_7" localSheetId="91">'Div 5'!$K$11</definedName>
    <definedName name="OSRRefD11x_7" localSheetId="61">'Div 6'!$K$11:$K$15</definedName>
    <definedName name="OSRRefD11x_7" localSheetId="2">Summary!$K$11:$K$23</definedName>
    <definedName name="OSRRefD11x_8" localSheetId="48">'300'!$L$11:$L$17</definedName>
    <definedName name="OSRRefD11x_8" localSheetId="49">'300 &amp; 317'!$L$11:$L$17</definedName>
    <definedName name="OSRRefD11x_8" localSheetId="55">'307'!$L$11:$L$14</definedName>
    <definedName name="OSRRefD11x_8" localSheetId="51">'308'!$L$11:$L$15</definedName>
    <definedName name="OSRRefD11x_8" localSheetId="64">'309'!$L$11:$L$14</definedName>
    <definedName name="OSRRefD11x_8" localSheetId="63">'310'!$L$11:$L$16</definedName>
    <definedName name="OSRRefD11x_8" localSheetId="71">'310 &amp; 491'!$L$11:$L$16</definedName>
    <definedName name="OSRRefD11x_8" localSheetId="52">'311'!$L$11:$L$15</definedName>
    <definedName name="OSRRefD11x_8" localSheetId="57">'315'!$L$11:$L$15</definedName>
    <definedName name="OSRRefD11x_8" localSheetId="60">'316'!$L$11:$L$15</definedName>
    <definedName name="OSRRefD11x_8" localSheetId="62">'317'!$L$11:$L$15</definedName>
    <definedName name="OSRRefD11x_8" localSheetId="66">'321'!$L$11:$L$12</definedName>
    <definedName name="OSRRefD11x_8" localSheetId="53">'324'!$L$11:$L$12</definedName>
    <definedName name="OSRRefD11x_8" localSheetId="68">'325'!$L$11:$L$12</definedName>
    <definedName name="OSRRefD11x_8" localSheetId="58">'326'!$L$11:$L$14</definedName>
    <definedName name="OSRRefD11x_8" localSheetId="69">'327'!$L$11:$L$13</definedName>
    <definedName name="OSRRefD11x_8" localSheetId="56">'331'!$L$11:$L$15</definedName>
    <definedName name="OSRRefD11x_8" localSheetId="59">'332'!$L$11:$L$15</definedName>
    <definedName name="OSRRefD11x_8" localSheetId="54">'333'!$L$11:$L$15</definedName>
    <definedName name="OSRRefD11x_8" localSheetId="73">'405'!$L$11:$L$14</definedName>
    <definedName name="OSRRefD11x_8" localSheetId="79">'415'!$L$11:$L$14</definedName>
    <definedName name="OSRRefD11x_8" localSheetId="80">'418'!$L$11:$L$12</definedName>
    <definedName name="OSRRefD11x_8" localSheetId="83">'425'!$L$11</definedName>
    <definedName name="OSRRefD11x_8" localSheetId="87">'433'!$L$11:$L$14</definedName>
    <definedName name="OSRRefD11x_8" localSheetId="88">'435'!$L$11:$L$12</definedName>
    <definedName name="OSRRefD11x_8" localSheetId="89">'444'!$L$11:$L$14</definedName>
    <definedName name="OSRRefD11x_8" localSheetId="90">'450'!$L$11:$L$14</definedName>
    <definedName name="OSRRefD11x_8" localSheetId="72">'491'!$L$11:$L$15</definedName>
    <definedName name="OSRRefD11x_8" localSheetId="85">'492'!$L$11:$L$16</definedName>
    <definedName name="OSRRefD11x_8" localSheetId="92">'501'!$L$11</definedName>
    <definedName name="OSRRefD11x_8" localSheetId="47">'Div 3'!$L$11:$L$21</definedName>
    <definedName name="OSRRefD11x_8" localSheetId="70">'Div 4'!$L$11:$L$18</definedName>
    <definedName name="OSRRefD11x_8" localSheetId="91">'Div 5'!$L$11</definedName>
    <definedName name="OSRRefD11x_8" localSheetId="61">'Div 6'!$L$11:$L$15</definedName>
    <definedName name="OSRRefD11x_8" localSheetId="2">Summary!$L$11:$L$23</definedName>
    <definedName name="OSRRefD11x_9" localSheetId="48">'300'!$M$11:$M$17</definedName>
    <definedName name="OSRRefD11x_9" localSheetId="49">'300 &amp; 317'!$M$11:$M$17</definedName>
    <definedName name="OSRRefD11x_9" localSheetId="55">'307'!$M$11:$M$14</definedName>
    <definedName name="OSRRefD11x_9" localSheetId="51">'308'!$M$11:$M$15</definedName>
    <definedName name="OSRRefD11x_9" localSheetId="64">'309'!$M$11:$M$14</definedName>
    <definedName name="OSRRefD11x_9" localSheetId="63">'310'!$M$11:$M$16</definedName>
    <definedName name="OSRRefD11x_9" localSheetId="71">'310 &amp; 491'!$M$11:$M$16</definedName>
    <definedName name="OSRRefD11x_9" localSheetId="52">'311'!$M$11:$M$15</definedName>
    <definedName name="OSRRefD11x_9" localSheetId="57">'315'!$M$11:$M$15</definedName>
    <definedName name="OSRRefD11x_9" localSheetId="60">'316'!$M$11:$M$15</definedName>
    <definedName name="OSRRefD11x_9" localSheetId="62">'317'!$M$11:$M$15</definedName>
    <definedName name="OSRRefD11x_9" localSheetId="66">'321'!$M$11:$M$12</definedName>
    <definedName name="OSRRefD11x_9" localSheetId="53">'324'!$M$11:$M$12</definedName>
    <definedName name="OSRRefD11x_9" localSheetId="68">'325'!$M$11:$M$12</definedName>
    <definedName name="OSRRefD11x_9" localSheetId="58">'326'!$M$11:$M$14</definedName>
    <definedName name="OSRRefD11x_9" localSheetId="69">'327'!$M$11:$M$13</definedName>
    <definedName name="OSRRefD11x_9" localSheetId="56">'331'!$M$11:$M$15</definedName>
    <definedName name="OSRRefD11x_9" localSheetId="59">'332'!$M$11:$M$15</definedName>
    <definedName name="OSRRefD11x_9" localSheetId="54">'333'!$M$11:$M$15</definedName>
    <definedName name="OSRRefD11x_9" localSheetId="73">'405'!$M$11:$M$14</definedName>
    <definedName name="OSRRefD11x_9" localSheetId="79">'415'!$M$11:$M$14</definedName>
    <definedName name="OSRRefD11x_9" localSheetId="80">'418'!$M$11:$M$12</definedName>
    <definedName name="OSRRefD11x_9" localSheetId="83">'425'!$M$11</definedName>
    <definedName name="OSRRefD11x_9" localSheetId="87">'433'!$M$11:$M$14</definedName>
    <definedName name="OSRRefD11x_9" localSheetId="88">'435'!$M$11:$M$12</definedName>
    <definedName name="OSRRefD11x_9" localSheetId="89">'444'!$M$11:$M$14</definedName>
    <definedName name="OSRRefD11x_9" localSheetId="90">'450'!$M$11:$M$14</definedName>
    <definedName name="OSRRefD11x_9" localSheetId="72">'491'!$M$11:$M$15</definedName>
    <definedName name="OSRRefD11x_9" localSheetId="85">'492'!$M$11:$M$16</definedName>
    <definedName name="OSRRefD11x_9" localSheetId="92">'501'!$M$11</definedName>
    <definedName name="OSRRefD11x_9" localSheetId="47">'Div 3'!$M$11:$M$21</definedName>
    <definedName name="OSRRefD11x_9" localSheetId="70">'Div 4'!$M$11:$M$18</definedName>
    <definedName name="OSRRefD11x_9" localSheetId="91">'Div 5'!$M$11</definedName>
    <definedName name="OSRRefD11x_9" localSheetId="61">'Div 6'!$M$11:$M$15</definedName>
    <definedName name="OSRRefD11x_9" localSheetId="2">Summary!$M$11:$M$23</definedName>
    <definedName name="OSRRefD14_0x" localSheetId="48">'300'!$D$20:$M$20</definedName>
    <definedName name="OSRRefD14_0x" localSheetId="49">'300 &amp; 317'!$D$20:$M$20</definedName>
    <definedName name="OSRRefD14_0x" localSheetId="50">'301'!$D$13:$M$13</definedName>
    <definedName name="OSRRefD14_0x" localSheetId="55">'307'!$D$17:$M$17</definedName>
    <definedName name="OSRRefD14_0x" localSheetId="51">'308'!$D$18:$M$18</definedName>
    <definedName name="OSRRefD14_0x" localSheetId="64">'309'!$D$17:$M$17</definedName>
    <definedName name="OSRRefD14_0x" localSheetId="63">'310'!$D$19:$M$19</definedName>
    <definedName name="OSRRefD14_0x" localSheetId="71">'310 &amp; 491'!$D$19:$M$19</definedName>
    <definedName name="OSRRefD14_0x" localSheetId="52">'311'!$D$18:$M$18</definedName>
    <definedName name="OSRRefD14_0x" localSheetId="57">'315'!$D$18:$M$18</definedName>
    <definedName name="OSRRefD14_0x" localSheetId="60">'316'!$D$18:$M$18</definedName>
    <definedName name="OSRRefD14_0x" localSheetId="62">'317'!$D$18:$M$18</definedName>
    <definedName name="OSRRefD14_0x" localSheetId="66">'321'!$D$15:$M$15</definedName>
    <definedName name="OSRRefD14_0x" localSheetId="53">'324'!$D$15:$M$15</definedName>
    <definedName name="OSRRefD14_0x" localSheetId="68">'325'!$D$15:$M$15</definedName>
    <definedName name="OSRRefD14_0x" localSheetId="58">'326'!$D$17:$M$17</definedName>
    <definedName name="OSRRefD14_0x" localSheetId="69">'327'!$D$16:$M$16</definedName>
    <definedName name="OSRRefD14_0x" localSheetId="56">'331'!$D$18:$M$18</definedName>
    <definedName name="OSRRefD14_0x" localSheetId="59">'332'!$D$18:$M$18</definedName>
    <definedName name="OSRRefD14_0x" localSheetId="54">'333'!$D$18:$M$18</definedName>
    <definedName name="OSRRefD14_0x" localSheetId="73">'405'!$D$17:$M$17</definedName>
    <definedName name="OSRRefD14_0x" localSheetId="79">'415'!$D$17:$M$17</definedName>
    <definedName name="OSRRefD14_0x" localSheetId="80">'418'!$D$15:$M$15</definedName>
    <definedName name="OSRRefD14_0x" localSheetId="83">'425'!$D$14:$M$14</definedName>
    <definedName name="OSRRefD14_0x" localSheetId="87">'433'!$D$17:$M$17</definedName>
    <definedName name="OSRRefD14_0x" localSheetId="88">'435'!$D$15:$M$15</definedName>
    <definedName name="OSRRefD14_0x" localSheetId="89">'444'!$D$17:$M$17</definedName>
    <definedName name="OSRRefD14_0x" localSheetId="90">'450'!$D$17:$M$17</definedName>
    <definedName name="OSRRefD14_0x" localSheetId="72">'491'!$D$18:$M$18</definedName>
    <definedName name="OSRRefD14_0x" localSheetId="85">'492'!$D$19:$M$19</definedName>
    <definedName name="OSRRefD14_0x" localSheetId="47">'Div 3'!$D$24:$M$24</definedName>
    <definedName name="OSRRefD14_0x" localSheetId="70">'Div 4'!$D$21:$M$21</definedName>
    <definedName name="OSRRefD14_0x" localSheetId="61">'Div 6'!$D$18:$M$18</definedName>
    <definedName name="OSRRefD14_0x" localSheetId="2">Summary!$D$26:$M$26</definedName>
    <definedName name="OSRRefD14_10x" localSheetId="48">'300'!$D$30:$M$30</definedName>
    <definedName name="OSRRefD14_10x" localSheetId="49">'300 &amp; 317'!$D$30:$M$30</definedName>
    <definedName name="OSRRefD14_10x" localSheetId="57">'315'!$D$28:$M$28</definedName>
    <definedName name="OSRRefD14_10x" localSheetId="56">'331'!$D$28:$M$28</definedName>
    <definedName name="OSRRefD14_10x" localSheetId="54">'333'!$D$28:$M$28</definedName>
    <definedName name="OSRRefD14_10x" localSheetId="47">'Div 3'!$D$34:$M$34</definedName>
    <definedName name="OSRRefD14_10x" localSheetId="2">Summary!$D$36:$M$36</definedName>
    <definedName name="OSRRefD14_11x" localSheetId="48">'300'!$D$31:$M$31</definedName>
    <definedName name="OSRRefD14_11x" localSheetId="49">'300 &amp; 317'!$D$31:$M$31</definedName>
    <definedName name="OSRRefD14_11x" localSheetId="57">'315'!$D$29:$M$29</definedName>
    <definedName name="OSRRefD14_11x" localSheetId="56">'331'!$D$29:$M$29</definedName>
    <definedName name="OSRRefD14_11x" localSheetId="54">'333'!$D$29:$M$29</definedName>
    <definedName name="OSRRefD14_11x" localSheetId="47">'Div 3'!$D$35:$M$35</definedName>
    <definedName name="OSRRefD14_11x" localSheetId="2">Summary!$D$37:$M$37</definedName>
    <definedName name="OSRRefD14_12x" localSheetId="48">'300'!$D$32:$M$32</definedName>
    <definedName name="OSRRefD14_12x" localSheetId="49">'300 &amp; 317'!$D$32:$M$32</definedName>
    <definedName name="OSRRefD14_12x" localSheetId="57">'315'!$D$30:$M$30</definedName>
    <definedName name="OSRRefD14_12x" localSheetId="56">'331'!$D$30:$M$30</definedName>
    <definedName name="OSRRefD14_12x" localSheetId="54">'333'!$D$30:$M$30</definedName>
    <definedName name="OSRRefD14_12x" localSheetId="47">'Div 3'!$D$36:$M$36</definedName>
    <definedName name="OSRRefD14_12x" localSheetId="2">Summary!$D$38:$M$38</definedName>
    <definedName name="OSRRefD14_13x" localSheetId="48">'300'!$D$33:$M$33</definedName>
    <definedName name="OSRRefD14_13x" localSheetId="49">'300 &amp; 317'!$D$33:$M$33</definedName>
    <definedName name="OSRRefD14_13x" localSheetId="57">'315'!$D$31:$M$31</definedName>
    <definedName name="OSRRefD14_13x" localSheetId="56">'331'!$D$31:$M$31</definedName>
    <definedName name="OSRRefD14_13x" localSheetId="54">'333'!$D$31:$M$31</definedName>
    <definedName name="OSRRefD14_13x" localSheetId="47">'Div 3'!$D$37:$M$37</definedName>
    <definedName name="OSRRefD14_13x" localSheetId="2">Summary!$D$39:$M$39</definedName>
    <definedName name="OSRRefD14_14x" localSheetId="48">'300'!$D$34:$M$34</definedName>
    <definedName name="OSRRefD14_14x" localSheetId="49">'300 &amp; 317'!$D$34:$M$34</definedName>
    <definedName name="OSRRefD14_14x" localSheetId="57">'315'!$D$32:$M$32</definedName>
    <definedName name="OSRRefD14_14x" localSheetId="56">'331'!$D$32:$M$32</definedName>
    <definedName name="OSRRefD14_14x" localSheetId="54">'333'!$D$32:$M$32</definedName>
    <definedName name="OSRRefD14_14x" localSheetId="47">'Div 3'!$D$38:$M$38</definedName>
    <definedName name="OSRRefD14_14x" localSheetId="2">Summary!$D$40:$M$40</definedName>
    <definedName name="OSRRefD14_15x" localSheetId="48">'300'!$D$35:$M$35</definedName>
    <definedName name="OSRRefD14_15x" localSheetId="49">'300 &amp; 317'!$D$35:$M$35</definedName>
    <definedName name="OSRRefD14_15x" localSheetId="57">'315'!$D$33:$M$33</definedName>
    <definedName name="OSRRefD14_15x" localSheetId="56">'331'!$D$33:$M$33</definedName>
    <definedName name="OSRRefD14_15x" localSheetId="54">'333'!$D$33:$M$33</definedName>
    <definedName name="OSRRefD14_15x" localSheetId="47">'Div 3'!$D$39:$M$39</definedName>
    <definedName name="OSRRefD14_15x" localSheetId="2">Summary!$D$41:$M$41</definedName>
    <definedName name="OSRRefD14_16x" localSheetId="48">'300'!$D$36:$M$36</definedName>
    <definedName name="OSRRefD14_16x" localSheetId="49">'300 &amp; 317'!$D$36:$M$36</definedName>
    <definedName name="OSRRefD14_16x" localSheetId="57">'315'!$D$34:$M$34</definedName>
    <definedName name="OSRRefD14_16x" localSheetId="56">'331'!$D$34:$M$34</definedName>
    <definedName name="OSRRefD14_16x" localSheetId="54">'333'!$D$34:$M$34</definedName>
    <definedName name="OSRRefD14_16x" localSheetId="47">'Div 3'!$D$40:$M$40</definedName>
    <definedName name="OSRRefD14_16x" localSheetId="2">Summary!$D$42:$M$42</definedName>
    <definedName name="OSRRefD14_17x" localSheetId="48">'300'!$D$37:$M$37</definedName>
    <definedName name="OSRRefD14_17x" localSheetId="49">'300 &amp; 317'!$D$37:$M$37</definedName>
    <definedName name="OSRRefD14_17x" localSheetId="57">'315'!$D$35:$M$35</definedName>
    <definedName name="OSRRefD14_17x" localSheetId="56">'331'!$D$35:$M$35</definedName>
    <definedName name="OSRRefD14_17x" localSheetId="54">'333'!$D$35:$M$35</definedName>
    <definedName name="OSRRefD14_17x" localSheetId="47">'Div 3'!$D$41:$M$41</definedName>
    <definedName name="OSRRefD14_17x" localSheetId="2">Summary!$D$43:$M$43</definedName>
    <definedName name="OSRRefD14_18x" localSheetId="48">'300'!$D$38:$M$38</definedName>
    <definedName name="OSRRefD14_18x" localSheetId="49">'300 &amp; 317'!$D$38:$M$38</definedName>
    <definedName name="OSRRefD14_18x" localSheetId="57">'315'!$D$36:$M$36</definedName>
    <definedName name="OSRRefD14_18x" localSheetId="56">'331'!$D$36:$M$36</definedName>
    <definedName name="OSRRefD14_18x" localSheetId="54">'333'!$D$36:$M$36</definedName>
    <definedName name="OSRRefD14_18x" localSheetId="47">'Div 3'!$D$42:$M$42</definedName>
    <definedName name="OSRRefD14_18x" localSheetId="2">Summary!$D$44:$M$44</definedName>
    <definedName name="OSRRefD14_19x" localSheetId="48">'300'!$D$39:$M$39</definedName>
    <definedName name="OSRRefD14_19x" localSheetId="49">'300 &amp; 317'!$D$39:$M$39</definedName>
    <definedName name="OSRRefD14_19x" localSheetId="54">'333'!$D$37:$M$37</definedName>
    <definedName name="OSRRefD14_19x" localSheetId="47">'Div 3'!$D$43:$M$43</definedName>
    <definedName name="OSRRefD14_19x" localSheetId="2">Summary!$D$45:$M$45</definedName>
    <definedName name="OSRRefD14_1x" localSheetId="48">'300'!$D$21:$M$21</definedName>
    <definedName name="OSRRefD14_1x" localSheetId="49">'300 &amp; 317'!$D$21:$M$21</definedName>
    <definedName name="OSRRefD14_1x" localSheetId="55">'307'!$D$18:$M$18</definedName>
    <definedName name="OSRRefD14_1x" localSheetId="51">'308'!$D$19:$M$19</definedName>
    <definedName name="OSRRefD14_1x" localSheetId="64">'309'!$D$18:$M$18</definedName>
    <definedName name="OSRRefD14_1x" localSheetId="63">'310'!$D$20:$M$20</definedName>
    <definedName name="OSRRefD14_1x" localSheetId="71">'310 &amp; 491'!$D$20:$M$20</definedName>
    <definedName name="OSRRefD14_1x" localSheetId="52">'311'!$D$19:$M$19</definedName>
    <definedName name="OSRRefD14_1x" localSheetId="57">'315'!$D$19:$M$19</definedName>
    <definedName name="OSRRefD14_1x" localSheetId="60">'316'!$D$19:$M$19</definedName>
    <definedName name="OSRRefD14_1x" localSheetId="62">'317'!$D$19:$M$19</definedName>
    <definedName name="OSRRefD14_1x" localSheetId="66">'321'!$D$16:$M$16</definedName>
    <definedName name="OSRRefD14_1x" localSheetId="68">'325'!$D$16:$M$16</definedName>
    <definedName name="OSRRefD14_1x" localSheetId="58">'326'!$D$18:$M$18</definedName>
    <definedName name="OSRRefD14_1x" localSheetId="69">'327'!$D$17:$M$17</definedName>
    <definedName name="OSRRefD14_1x" localSheetId="56">'331'!$D$19:$M$19</definedName>
    <definedName name="OSRRefD14_1x" localSheetId="59">'332'!$D$19:$M$19</definedName>
    <definedName name="OSRRefD14_1x" localSheetId="54">'333'!$D$19:$M$19</definedName>
    <definedName name="OSRRefD14_1x" localSheetId="73">'405'!$D$18:$M$18</definedName>
    <definedName name="OSRRefD14_1x" localSheetId="79">'415'!$D$18:$M$18</definedName>
    <definedName name="OSRRefD14_1x" localSheetId="80">'418'!$D$16:$M$16</definedName>
    <definedName name="OSRRefD14_1x" localSheetId="87">'433'!$D$18:$M$18</definedName>
    <definedName name="OSRRefD14_1x" localSheetId="89">'444'!$D$18:$M$18</definedName>
    <definedName name="OSRRefD14_1x" localSheetId="90">'450'!$D$18:$M$18</definedName>
    <definedName name="OSRRefD14_1x" localSheetId="72">'491'!$D$19:$M$19</definedName>
    <definedName name="OSRRefD14_1x" localSheetId="85">'492'!$D$20:$M$20</definedName>
    <definedName name="OSRRefD14_1x" localSheetId="47">'Div 3'!$D$25:$M$25</definedName>
    <definedName name="OSRRefD14_1x" localSheetId="70">'Div 4'!$D$22:$M$22</definedName>
    <definedName name="OSRRefD14_1x" localSheetId="61">'Div 6'!$D$19:$M$19</definedName>
    <definedName name="OSRRefD14_1x" localSheetId="2">Summary!$D$27:$M$27</definedName>
    <definedName name="OSRRefD14_20x" localSheetId="48">'300'!$D$40:$M$40</definedName>
    <definedName name="OSRRefD14_20x" localSheetId="49">'300 &amp; 317'!$D$40:$M$40</definedName>
    <definedName name="OSRRefD14_20x" localSheetId="54">'333'!$D$38:$M$38</definedName>
    <definedName name="OSRRefD14_20x" localSheetId="47">'Div 3'!$D$44:$M$44</definedName>
    <definedName name="OSRRefD14_20x" localSheetId="2">Summary!$D$46:$M$46</definedName>
    <definedName name="OSRRefD14_21x" localSheetId="48">'300'!$D$41:$M$41</definedName>
    <definedName name="OSRRefD14_21x" localSheetId="49">'300 &amp; 317'!$D$41:$M$41</definedName>
    <definedName name="OSRRefD14_21x" localSheetId="47">'Div 3'!$D$45:$M$45</definedName>
    <definedName name="OSRRefD14_21x" localSheetId="2">Summary!$D$47:$M$47</definedName>
    <definedName name="OSRRefD14_22x" localSheetId="48">'300'!$D$42:$M$42</definedName>
    <definedName name="OSRRefD14_22x" localSheetId="49">'300 &amp; 317'!$D$42:$M$42</definedName>
    <definedName name="OSRRefD14_22x" localSheetId="47">'Div 3'!$D$46:$M$46</definedName>
    <definedName name="OSRRefD14_22x" localSheetId="2">Summary!$D$48:$M$48</definedName>
    <definedName name="OSRRefD14_23x" localSheetId="48">'300'!$D$43:$M$43</definedName>
    <definedName name="OSRRefD14_23x" localSheetId="49">'300 &amp; 317'!$D$43:$M$43</definedName>
    <definedName name="OSRRefD14_23x" localSheetId="47">'Div 3'!$D$47:$M$47</definedName>
    <definedName name="OSRRefD14_23x" localSheetId="2">Summary!$D$49:$M$49</definedName>
    <definedName name="OSRRefD14_24x" localSheetId="48">'300'!$D$44:$M$44</definedName>
    <definedName name="OSRRefD14_24x" localSheetId="49">'300 &amp; 317'!$D$44:$M$44</definedName>
    <definedName name="OSRRefD14_24x" localSheetId="47">'Div 3'!$D$48:$M$48</definedName>
    <definedName name="OSRRefD14_24x" localSheetId="2">Summary!$D$50:$M$50</definedName>
    <definedName name="OSRRefD14_25x" localSheetId="48">'300'!$D$45:$M$45</definedName>
    <definedName name="OSRRefD14_25x" localSheetId="49">'300 &amp; 317'!$D$45:$M$45</definedName>
    <definedName name="OSRRefD14_25x" localSheetId="47">'Div 3'!$D$49:$M$49</definedName>
    <definedName name="OSRRefD14_25x" localSheetId="2">Summary!$D$51:$M$51</definedName>
    <definedName name="OSRRefD14_26x" localSheetId="48">'300'!$D$46:$M$46</definedName>
    <definedName name="OSRRefD14_26x" localSheetId="49">'300 &amp; 317'!$D$46:$M$46</definedName>
    <definedName name="OSRRefD14_26x" localSheetId="47">'Div 3'!$D$50:$M$50</definedName>
    <definedName name="OSRRefD14_26x" localSheetId="2">Summary!$D$52:$M$52</definedName>
    <definedName name="OSRRefD14_27x" localSheetId="49">'300 &amp; 317'!$D$47:$M$47</definedName>
    <definedName name="OSRRefD14_27x" localSheetId="47">'Div 3'!$D$51:$M$51</definedName>
    <definedName name="OSRRefD14_27x" localSheetId="2">Summary!$D$53:$M$53</definedName>
    <definedName name="OSRRefD14_28x" localSheetId="49">'300 &amp; 317'!$D$48:$M$48</definedName>
    <definedName name="OSRRefD14_28x" localSheetId="47">'Div 3'!$D$52:$M$52</definedName>
    <definedName name="OSRRefD14_28x" localSheetId="2">Summary!$D$54:$M$54</definedName>
    <definedName name="OSRRefD14_29x" localSheetId="49">'300 &amp; 317'!$D$49:$M$49</definedName>
    <definedName name="OSRRefD14_29x" localSheetId="2">Summary!$D$55:$M$55</definedName>
    <definedName name="OSRRefD14_2x" localSheetId="48">'300'!$D$22:$M$22</definedName>
    <definedName name="OSRRefD14_2x" localSheetId="49">'300 &amp; 317'!$D$22:$M$22</definedName>
    <definedName name="OSRRefD14_2x" localSheetId="55">'307'!$D$19:$M$19</definedName>
    <definedName name="OSRRefD14_2x" localSheetId="51">'308'!$D$20:$M$20</definedName>
    <definedName name="OSRRefD14_2x" localSheetId="63">'310'!$D$21:$M$21</definedName>
    <definedName name="OSRRefD14_2x" localSheetId="71">'310 &amp; 491'!$D$21:$M$21</definedName>
    <definedName name="OSRRefD14_2x" localSheetId="52">'311'!$D$20:$M$20</definedName>
    <definedName name="OSRRefD14_2x" localSheetId="57">'315'!$D$20:$M$20</definedName>
    <definedName name="OSRRefD14_2x" localSheetId="62">'317'!$D$20:$M$20</definedName>
    <definedName name="OSRRefD14_2x" localSheetId="68">'325'!$D$17:$M$17</definedName>
    <definedName name="OSRRefD14_2x" localSheetId="58">'326'!$D$19:$M$19</definedName>
    <definedName name="OSRRefD14_2x" localSheetId="69">'327'!$D$18:$M$18</definedName>
    <definedName name="OSRRefD14_2x" localSheetId="56">'331'!$D$20:$M$20</definedName>
    <definedName name="OSRRefD14_2x" localSheetId="54">'333'!$D$20:$M$20</definedName>
    <definedName name="OSRRefD14_2x" localSheetId="73">'405'!$D$19:$M$19</definedName>
    <definedName name="OSRRefD14_2x" localSheetId="79">'415'!$D$19:$M$19</definedName>
    <definedName name="OSRRefD14_2x" localSheetId="87">'433'!$D$19:$M$19</definedName>
    <definedName name="OSRRefD14_2x" localSheetId="89">'444'!$D$19:$M$19</definedName>
    <definedName name="OSRRefD14_2x" localSheetId="90">'450'!$D$19:$M$19</definedName>
    <definedName name="OSRRefD14_2x" localSheetId="72">'491'!$D$20:$M$20</definedName>
    <definedName name="OSRRefD14_2x" localSheetId="85">'492'!$D$21:$M$21</definedName>
    <definedName name="OSRRefD14_2x" localSheetId="47">'Div 3'!$D$26:$M$26</definedName>
    <definedName name="OSRRefD14_2x" localSheetId="70">'Div 4'!$D$23:$M$23</definedName>
    <definedName name="OSRRefD14_2x" localSheetId="61">'Div 6'!$D$20:$M$20</definedName>
    <definedName name="OSRRefD14_2x" localSheetId="2">Summary!$D$28:$M$28</definedName>
    <definedName name="OSRRefD14_30x" localSheetId="49">'300 &amp; 317'!$D$50:$M$50</definedName>
    <definedName name="OSRRefD14_30x" localSheetId="2">Summary!$D$56:$M$56</definedName>
    <definedName name="OSRRefD14_31x" localSheetId="49">'300 &amp; 317'!$D$51:$M$51</definedName>
    <definedName name="OSRRefD14_31x" localSheetId="2">Summary!$D$57:$M$57</definedName>
    <definedName name="OSRRefD14_32x" localSheetId="49">'300 &amp; 317'!$D$52:$M$52</definedName>
    <definedName name="OSRRefD14_32x" localSheetId="2">Summary!$D$58:$M$58</definedName>
    <definedName name="OSRRefD14_33x" localSheetId="2">Summary!$D$59:$M$59</definedName>
    <definedName name="OSRRefD14_34x" localSheetId="2">Summary!$D$60:$M$60</definedName>
    <definedName name="OSRRefD14_3x" localSheetId="48">'300'!$D$23:$M$23</definedName>
    <definedName name="OSRRefD14_3x" localSheetId="49">'300 &amp; 317'!$D$23:$M$23</definedName>
    <definedName name="OSRRefD14_3x" localSheetId="55">'307'!$D$20:$M$20</definedName>
    <definedName name="OSRRefD14_3x" localSheetId="51">'308'!$D$21:$M$21</definedName>
    <definedName name="OSRRefD14_3x" localSheetId="52">'311'!$D$21:$M$21</definedName>
    <definedName name="OSRRefD14_3x" localSheetId="57">'315'!$D$21:$M$21</definedName>
    <definedName name="OSRRefD14_3x" localSheetId="62">'317'!$D$21:$M$21</definedName>
    <definedName name="OSRRefD14_3x" localSheetId="58">'326'!$D$20:$M$20</definedName>
    <definedName name="OSRRefD14_3x" localSheetId="56">'331'!$D$21:$M$21</definedName>
    <definedName name="OSRRefD14_3x" localSheetId="54">'333'!$D$21:$M$21</definedName>
    <definedName name="OSRRefD14_3x" localSheetId="47">'Div 3'!$D$27:$M$27</definedName>
    <definedName name="OSRRefD14_3x" localSheetId="61">'Div 6'!$D$21:$M$21</definedName>
    <definedName name="OSRRefD14_3x" localSheetId="2">Summary!$D$29:$M$29</definedName>
    <definedName name="OSRRefD14_4x" localSheetId="48">'300'!$D$24:$M$24</definedName>
    <definedName name="OSRRefD14_4x" localSheetId="49">'300 &amp; 317'!$D$24:$M$24</definedName>
    <definedName name="OSRRefD14_4x" localSheetId="55">'307'!$D$21:$M$21</definedName>
    <definedName name="OSRRefD14_4x" localSheetId="51">'308'!$D$22:$M$22</definedName>
    <definedName name="OSRRefD14_4x" localSheetId="52">'311'!$D$22:$M$22</definedName>
    <definedName name="OSRRefD14_4x" localSheetId="57">'315'!$D$22:$M$22</definedName>
    <definedName name="OSRRefD14_4x" localSheetId="62">'317'!$D$22:$M$22</definedName>
    <definedName name="OSRRefD14_4x" localSheetId="56">'331'!$D$22:$M$22</definedName>
    <definedName name="OSRRefD14_4x" localSheetId="54">'333'!$D$22:$M$22</definedName>
    <definedName name="OSRRefD14_4x" localSheetId="47">'Div 3'!$D$28:$M$28</definedName>
    <definedName name="OSRRefD14_4x" localSheetId="61">'Div 6'!$D$22:$M$22</definedName>
    <definedName name="OSRRefD14_4x" localSheetId="2">Summary!$D$30:$M$30</definedName>
    <definedName name="OSRRefD14_5x" localSheetId="48">'300'!$D$25:$M$25</definedName>
    <definedName name="OSRRefD14_5x" localSheetId="49">'300 &amp; 317'!$D$25:$M$25</definedName>
    <definedName name="OSRRefD14_5x" localSheetId="55">'307'!$D$22:$M$22</definedName>
    <definedName name="OSRRefD14_5x" localSheetId="51">'308'!$D$23:$M$23</definedName>
    <definedName name="OSRRefD14_5x" localSheetId="52">'311'!$D$23:$M$23</definedName>
    <definedName name="OSRRefD14_5x" localSheetId="57">'315'!$D$23:$M$23</definedName>
    <definedName name="OSRRefD14_5x" localSheetId="62">'317'!$D$23:$M$23</definedName>
    <definedName name="OSRRefD14_5x" localSheetId="56">'331'!$D$23:$M$23</definedName>
    <definedName name="OSRRefD14_5x" localSheetId="54">'333'!$D$23:$M$23</definedName>
    <definedName name="OSRRefD14_5x" localSheetId="47">'Div 3'!$D$29:$M$29</definedName>
    <definedName name="OSRRefD14_5x" localSheetId="61">'Div 6'!$D$23:$M$23</definedName>
    <definedName name="OSRRefD14_5x" localSheetId="2">Summary!$D$31:$M$31</definedName>
    <definedName name="OSRRefD14_6x" localSheetId="48">'300'!$D$26:$M$26</definedName>
    <definedName name="OSRRefD14_6x" localSheetId="49">'300 &amp; 317'!$D$26:$M$26</definedName>
    <definedName name="OSRRefD14_6x" localSheetId="55">'307'!$D$23:$M$23</definedName>
    <definedName name="OSRRefD14_6x" localSheetId="51">'308'!$D$24:$M$24</definedName>
    <definedName name="OSRRefD14_6x" localSheetId="52">'311'!$D$24:$M$24</definedName>
    <definedName name="OSRRefD14_6x" localSheetId="57">'315'!$D$24:$M$24</definedName>
    <definedName name="OSRRefD14_6x" localSheetId="62">'317'!$D$24:$M$24</definedName>
    <definedName name="OSRRefD14_6x" localSheetId="56">'331'!$D$24:$M$24</definedName>
    <definedName name="OSRRefD14_6x" localSheetId="54">'333'!$D$24:$M$24</definedName>
    <definedName name="OSRRefD14_6x" localSheetId="47">'Div 3'!$D$30:$M$30</definedName>
    <definedName name="OSRRefD14_6x" localSheetId="61">'Div 6'!$D$24:$M$24</definedName>
    <definedName name="OSRRefD14_6x" localSheetId="2">Summary!$D$32:$M$32</definedName>
    <definedName name="OSRRefD14_7x" localSheetId="48">'300'!$D$27:$M$27</definedName>
    <definedName name="OSRRefD14_7x" localSheetId="49">'300 &amp; 317'!$D$27:$M$27</definedName>
    <definedName name="OSRRefD14_7x" localSheetId="55">'307'!$D$24:$M$24</definedName>
    <definedName name="OSRRefD14_7x" localSheetId="51">'308'!$D$25:$M$25</definedName>
    <definedName name="OSRRefD14_7x" localSheetId="52">'311'!$D$25:$M$25</definedName>
    <definedName name="OSRRefD14_7x" localSheetId="57">'315'!$D$25:$M$25</definedName>
    <definedName name="OSRRefD14_7x" localSheetId="62">'317'!$D$25:$M$25</definedName>
    <definedName name="OSRRefD14_7x" localSheetId="56">'331'!$D$25:$M$25</definedName>
    <definedName name="OSRRefD14_7x" localSheetId="54">'333'!$D$25:$M$25</definedName>
    <definedName name="OSRRefD14_7x" localSheetId="47">'Div 3'!$D$31:$M$31</definedName>
    <definedName name="OSRRefD14_7x" localSheetId="61">'Div 6'!$D$25:$M$25</definedName>
    <definedName name="OSRRefD14_7x" localSheetId="2">Summary!$D$33:$M$33</definedName>
    <definedName name="OSRRefD14_8x" localSheetId="48">'300'!$D$28:$M$28</definedName>
    <definedName name="OSRRefD14_8x" localSheetId="49">'300 &amp; 317'!$D$28:$M$28</definedName>
    <definedName name="OSRRefD14_8x" localSheetId="55">'307'!$D$25:$M$25</definedName>
    <definedName name="OSRRefD14_8x" localSheetId="51">'308'!$D$26:$M$26</definedName>
    <definedName name="OSRRefD14_8x" localSheetId="52">'311'!$D$26:$M$26</definedName>
    <definedName name="OSRRefD14_8x" localSheetId="57">'315'!$D$26:$M$26</definedName>
    <definedName name="OSRRefD14_8x" localSheetId="62">'317'!$D$26:$M$26</definedName>
    <definedName name="OSRRefD14_8x" localSheetId="56">'331'!$D$26:$M$26</definedName>
    <definedName name="OSRRefD14_8x" localSheetId="54">'333'!$D$26:$M$26</definedName>
    <definedName name="OSRRefD14_8x" localSheetId="47">'Div 3'!$D$32:$M$32</definedName>
    <definedName name="OSRRefD14_8x" localSheetId="61">'Div 6'!$D$26:$M$26</definedName>
    <definedName name="OSRRefD14_8x" localSheetId="2">Summary!$D$34:$M$34</definedName>
    <definedName name="OSRRefD14_9x" localSheetId="48">'300'!$D$29:$M$29</definedName>
    <definedName name="OSRRefD14_9x" localSheetId="49">'300 &amp; 317'!$D$29:$M$29</definedName>
    <definedName name="OSRRefD14_9x" localSheetId="55">'307'!$D$26:$M$26</definedName>
    <definedName name="OSRRefD14_9x" localSheetId="51">'308'!$D$27:$M$27</definedName>
    <definedName name="OSRRefD14_9x" localSheetId="52">'311'!$D$27:$M$27</definedName>
    <definedName name="OSRRefD14_9x" localSheetId="57">'315'!$D$27:$M$27</definedName>
    <definedName name="OSRRefD14_9x" localSheetId="62">'317'!$D$27:$M$27</definedName>
    <definedName name="OSRRefD14_9x" localSheetId="56">'331'!$D$27:$M$27</definedName>
    <definedName name="OSRRefD14_9x" localSheetId="54">'333'!$D$27:$M$27</definedName>
    <definedName name="OSRRefD14_9x" localSheetId="47">'Div 3'!$D$33:$M$33</definedName>
    <definedName name="OSRRefD14_9x" localSheetId="61">'Div 6'!$D$27:$M$27</definedName>
    <definedName name="OSRRefD14_9x" localSheetId="2">Summary!$D$35:$M$35</definedName>
    <definedName name="OSRRefD14x_0" localSheetId="48">'300'!$D$20:$D$46</definedName>
    <definedName name="OSRRefD14x_0" localSheetId="49">'300 &amp; 317'!$D$20:$D$52</definedName>
    <definedName name="OSRRefD14x_0" localSheetId="50">'301'!$D$13</definedName>
    <definedName name="OSRRefD14x_0" localSheetId="55">'307'!$D$17:$D$26</definedName>
    <definedName name="OSRRefD14x_0" localSheetId="51">'308'!$D$18:$D$27</definedName>
    <definedName name="OSRRefD14x_0" localSheetId="64">'309'!$D$17:$D$18</definedName>
    <definedName name="OSRRefD14x_0" localSheetId="63">'310'!$D$19:$D$21</definedName>
    <definedName name="OSRRefD14x_0" localSheetId="71">'310 &amp; 491'!$D$19:$D$21</definedName>
    <definedName name="OSRRefD14x_0" localSheetId="52">'311'!$D$18:$D$27</definedName>
    <definedName name="OSRRefD14x_0" localSheetId="57">'315'!$D$18:$D$36</definedName>
    <definedName name="OSRRefD14x_0" localSheetId="60">'316'!$D$18:$D$19</definedName>
    <definedName name="OSRRefD14x_0" localSheetId="62">'317'!$D$18:$D$27</definedName>
    <definedName name="OSRRefD14x_0" localSheetId="66">'321'!$D$15:$D$16</definedName>
    <definedName name="OSRRefD14x_0" localSheetId="53">'324'!$D$15</definedName>
    <definedName name="OSRRefD14x_0" localSheetId="68">'325'!$D$15:$D$17</definedName>
    <definedName name="OSRRefD14x_0" localSheetId="58">'326'!$D$17:$D$20</definedName>
    <definedName name="OSRRefD14x_0" localSheetId="69">'327'!$D$16:$D$18</definedName>
    <definedName name="OSRRefD14x_0" localSheetId="56">'331'!$D$18:$D$36</definedName>
    <definedName name="OSRRefD14x_0" localSheetId="59">'332'!$D$18:$D$19</definedName>
    <definedName name="OSRRefD14x_0" localSheetId="54">'333'!$D$18:$D$38</definedName>
    <definedName name="OSRRefD14x_0" localSheetId="73">'405'!$D$17:$D$19</definedName>
    <definedName name="OSRRefD14x_0" localSheetId="79">'415'!$D$17:$D$19</definedName>
    <definedName name="OSRRefD14x_0" localSheetId="80">'418'!$D$15:$D$16</definedName>
    <definedName name="OSRRefD14x_0" localSheetId="83">'425'!$D$14</definedName>
    <definedName name="OSRRefD14x_0" localSheetId="87">'433'!$D$17:$D$19</definedName>
    <definedName name="OSRRefD14x_0" localSheetId="88">'435'!$D$15</definedName>
    <definedName name="OSRRefD14x_0" localSheetId="89">'444'!$D$17:$D$19</definedName>
    <definedName name="OSRRefD14x_0" localSheetId="90">'450'!$D$17:$D$19</definedName>
    <definedName name="OSRRefD14x_0" localSheetId="72">'491'!$D$18:$D$20</definedName>
    <definedName name="OSRRefD14x_0" localSheetId="85">'492'!$D$19:$D$21</definedName>
    <definedName name="OSRRefD14x_0" localSheetId="47">'Div 3'!$D$24:$D$52</definedName>
    <definedName name="OSRRefD14x_0" localSheetId="70">'Div 4'!$D$21:$D$23</definedName>
    <definedName name="OSRRefD14x_0" localSheetId="61">'Div 6'!$D$18:$D$27</definedName>
    <definedName name="OSRRefD14x_0" localSheetId="2">Summary!$D$26:$D$60</definedName>
    <definedName name="OSRRefD14x_1" localSheetId="48">'300'!$E$20:$E$46</definedName>
    <definedName name="OSRRefD14x_1" localSheetId="49">'300 &amp; 317'!$E$20:$E$52</definedName>
    <definedName name="OSRRefD14x_1" localSheetId="50">'301'!$E$13</definedName>
    <definedName name="OSRRefD14x_1" localSheetId="55">'307'!$E$17:$E$26</definedName>
    <definedName name="OSRRefD14x_1" localSheetId="51">'308'!$E$18:$E$27</definedName>
    <definedName name="OSRRefD14x_1" localSheetId="64">'309'!$E$17:$E$18</definedName>
    <definedName name="OSRRefD14x_1" localSheetId="63">'310'!$E$19:$E$21</definedName>
    <definedName name="OSRRefD14x_1" localSheetId="71">'310 &amp; 491'!$E$19:$E$21</definedName>
    <definedName name="OSRRefD14x_1" localSheetId="52">'311'!$E$18:$E$27</definedName>
    <definedName name="OSRRefD14x_1" localSheetId="57">'315'!$E$18:$E$36</definedName>
    <definedName name="OSRRefD14x_1" localSheetId="60">'316'!$E$18:$E$19</definedName>
    <definedName name="OSRRefD14x_1" localSheetId="62">'317'!$E$18:$E$27</definedName>
    <definedName name="OSRRefD14x_1" localSheetId="66">'321'!$E$15:$E$16</definedName>
    <definedName name="OSRRefD14x_1" localSheetId="53">'324'!$E$15</definedName>
    <definedName name="OSRRefD14x_1" localSheetId="68">'325'!$E$15:$E$17</definedName>
    <definedName name="OSRRefD14x_1" localSheetId="58">'326'!$E$17:$E$20</definedName>
    <definedName name="OSRRefD14x_1" localSheetId="69">'327'!$E$16:$E$18</definedName>
    <definedName name="OSRRefD14x_1" localSheetId="56">'331'!$E$18:$E$36</definedName>
    <definedName name="OSRRefD14x_1" localSheetId="59">'332'!$E$18:$E$19</definedName>
    <definedName name="OSRRefD14x_1" localSheetId="54">'333'!$E$18:$E$38</definedName>
    <definedName name="OSRRefD14x_1" localSheetId="73">'405'!$E$17:$E$19</definedName>
    <definedName name="OSRRefD14x_1" localSheetId="79">'415'!$E$17:$E$19</definedName>
    <definedName name="OSRRefD14x_1" localSheetId="80">'418'!$E$15:$E$16</definedName>
    <definedName name="OSRRefD14x_1" localSheetId="83">'425'!$E$14</definedName>
    <definedName name="OSRRefD14x_1" localSheetId="87">'433'!$E$17:$E$19</definedName>
    <definedName name="OSRRefD14x_1" localSheetId="88">'435'!$E$15</definedName>
    <definedName name="OSRRefD14x_1" localSheetId="89">'444'!$E$17:$E$19</definedName>
    <definedName name="OSRRefD14x_1" localSheetId="90">'450'!$E$17:$E$19</definedName>
    <definedName name="OSRRefD14x_1" localSheetId="72">'491'!$E$18:$E$20</definedName>
    <definedName name="OSRRefD14x_1" localSheetId="85">'492'!$E$19:$E$21</definedName>
    <definedName name="OSRRefD14x_1" localSheetId="47">'Div 3'!$E$24:$E$52</definedName>
    <definedName name="OSRRefD14x_1" localSheetId="70">'Div 4'!$E$21:$E$23</definedName>
    <definedName name="OSRRefD14x_1" localSheetId="61">'Div 6'!$E$18:$E$27</definedName>
    <definedName name="OSRRefD14x_1" localSheetId="2">Summary!$E$26:$E$60</definedName>
    <definedName name="OSRRefD14x_2" localSheetId="48">'300'!$F$20:$F$46</definedName>
    <definedName name="OSRRefD14x_2" localSheetId="49">'300 &amp; 317'!$F$20:$F$52</definedName>
    <definedName name="OSRRefD14x_2" localSheetId="50">'301'!$F$13</definedName>
    <definedName name="OSRRefD14x_2" localSheetId="55">'307'!$F$17:$F$26</definedName>
    <definedName name="OSRRefD14x_2" localSheetId="51">'308'!$F$18:$F$27</definedName>
    <definedName name="OSRRefD14x_2" localSheetId="64">'309'!$F$17:$F$18</definedName>
    <definedName name="OSRRefD14x_2" localSheetId="63">'310'!$F$19:$F$21</definedName>
    <definedName name="OSRRefD14x_2" localSheetId="71">'310 &amp; 491'!$F$19:$F$21</definedName>
    <definedName name="OSRRefD14x_2" localSheetId="52">'311'!$F$18:$F$27</definedName>
    <definedName name="OSRRefD14x_2" localSheetId="57">'315'!$F$18:$F$36</definedName>
    <definedName name="OSRRefD14x_2" localSheetId="60">'316'!$F$18:$F$19</definedName>
    <definedName name="OSRRefD14x_2" localSheetId="62">'317'!$F$18:$F$27</definedName>
    <definedName name="OSRRefD14x_2" localSheetId="66">'321'!$F$15:$F$16</definedName>
    <definedName name="OSRRefD14x_2" localSheetId="53">'324'!$F$15</definedName>
    <definedName name="OSRRefD14x_2" localSheetId="68">'325'!$F$15:$F$17</definedName>
    <definedName name="OSRRefD14x_2" localSheetId="58">'326'!$F$17:$F$20</definedName>
    <definedName name="OSRRefD14x_2" localSheetId="69">'327'!$F$16:$F$18</definedName>
    <definedName name="OSRRefD14x_2" localSheetId="56">'331'!$F$18:$F$36</definedName>
    <definedName name="OSRRefD14x_2" localSheetId="59">'332'!$F$18:$F$19</definedName>
    <definedName name="OSRRefD14x_2" localSheetId="54">'333'!$F$18:$F$38</definedName>
    <definedName name="OSRRefD14x_2" localSheetId="73">'405'!$F$17:$F$19</definedName>
    <definedName name="OSRRefD14x_2" localSheetId="79">'415'!$F$17:$F$19</definedName>
    <definedName name="OSRRefD14x_2" localSheetId="80">'418'!$F$15:$F$16</definedName>
    <definedName name="OSRRefD14x_2" localSheetId="83">'425'!$F$14</definedName>
    <definedName name="OSRRefD14x_2" localSheetId="87">'433'!$F$17:$F$19</definedName>
    <definedName name="OSRRefD14x_2" localSheetId="88">'435'!$F$15</definedName>
    <definedName name="OSRRefD14x_2" localSheetId="89">'444'!$F$17:$F$19</definedName>
    <definedName name="OSRRefD14x_2" localSheetId="90">'450'!$F$17:$F$19</definedName>
    <definedName name="OSRRefD14x_2" localSheetId="72">'491'!$F$18:$F$20</definedName>
    <definedName name="OSRRefD14x_2" localSheetId="85">'492'!$F$19:$F$21</definedName>
    <definedName name="OSRRefD14x_2" localSheetId="47">'Div 3'!$F$24:$F$52</definedName>
    <definedName name="OSRRefD14x_2" localSheetId="70">'Div 4'!$F$21:$F$23</definedName>
    <definedName name="OSRRefD14x_2" localSheetId="61">'Div 6'!$F$18:$F$27</definedName>
    <definedName name="OSRRefD14x_2" localSheetId="2">Summary!$F$26:$F$60</definedName>
    <definedName name="OSRRefD14x_3" localSheetId="48">'300'!$G$20:$G$46</definedName>
    <definedName name="OSRRefD14x_3" localSheetId="49">'300 &amp; 317'!$G$20:$G$52</definedName>
    <definedName name="OSRRefD14x_3" localSheetId="50">'301'!$G$13</definedName>
    <definedName name="OSRRefD14x_3" localSheetId="55">'307'!$G$17:$G$26</definedName>
    <definedName name="OSRRefD14x_3" localSheetId="51">'308'!$G$18:$G$27</definedName>
    <definedName name="OSRRefD14x_3" localSheetId="64">'309'!$G$17:$G$18</definedName>
    <definedName name="OSRRefD14x_3" localSheetId="63">'310'!$G$19:$G$21</definedName>
    <definedName name="OSRRefD14x_3" localSheetId="71">'310 &amp; 491'!$G$19:$G$21</definedName>
    <definedName name="OSRRefD14x_3" localSheetId="52">'311'!$G$18:$G$27</definedName>
    <definedName name="OSRRefD14x_3" localSheetId="57">'315'!$G$18:$G$36</definedName>
    <definedName name="OSRRefD14x_3" localSheetId="60">'316'!$G$18:$G$19</definedName>
    <definedName name="OSRRefD14x_3" localSheetId="62">'317'!$G$18:$G$27</definedName>
    <definedName name="OSRRefD14x_3" localSheetId="66">'321'!$G$15:$G$16</definedName>
    <definedName name="OSRRefD14x_3" localSheetId="53">'324'!$G$15</definedName>
    <definedName name="OSRRefD14x_3" localSheetId="68">'325'!$G$15:$G$17</definedName>
    <definedName name="OSRRefD14x_3" localSheetId="58">'326'!$G$17:$G$20</definedName>
    <definedName name="OSRRefD14x_3" localSheetId="69">'327'!$G$16:$G$18</definedName>
    <definedName name="OSRRefD14x_3" localSheetId="56">'331'!$G$18:$G$36</definedName>
    <definedName name="OSRRefD14x_3" localSheetId="59">'332'!$G$18:$G$19</definedName>
    <definedName name="OSRRefD14x_3" localSheetId="54">'333'!$G$18:$G$38</definedName>
    <definedName name="OSRRefD14x_3" localSheetId="73">'405'!$G$17:$G$19</definedName>
    <definedName name="OSRRefD14x_3" localSheetId="79">'415'!$G$17:$G$19</definedName>
    <definedName name="OSRRefD14x_3" localSheetId="80">'418'!$G$15:$G$16</definedName>
    <definedName name="OSRRefD14x_3" localSheetId="83">'425'!$G$14</definedName>
    <definedName name="OSRRefD14x_3" localSheetId="87">'433'!$G$17:$G$19</definedName>
    <definedName name="OSRRefD14x_3" localSheetId="88">'435'!$G$15</definedName>
    <definedName name="OSRRefD14x_3" localSheetId="89">'444'!$G$17:$G$19</definedName>
    <definedName name="OSRRefD14x_3" localSheetId="90">'450'!$G$17:$G$19</definedName>
    <definedName name="OSRRefD14x_3" localSheetId="72">'491'!$G$18:$G$20</definedName>
    <definedName name="OSRRefD14x_3" localSheetId="85">'492'!$G$19:$G$21</definedName>
    <definedName name="OSRRefD14x_3" localSheetId="47">'Div 3'!$G$24:$G$52</definedName>
    <definedName name="OSRRefD14x_3" localSheetId="70">'Div 4'!$G$21:$G$23</definedName>
    <definedName name="OSRRefD14x_3" localSheetId="61">'Div 6'!$G$18:$G$27</definedName>
    <definedName name="OSRRefD14x_3" localSheetId="2">Summary!$G$26:$G$60</definedName>
    <definedName name="OSRRefD14x_4" localSheetId="48">'300'!$H$20:$H$46</definedName>
    <definedName name="OSRRefD14x_4" localSheetId="49">'300 &amp; 317'!$H$20:$H$52</definedName>
    <definedName name="OSRRefD14x_4" localSheetId="50">'301'!$H$13</definedName>
    <definedName name="OSRRefD14x_4" localSheetId="55">'307'!$H$17:$H$26</definedName>
    <definedName name="OSRRefD14x_4" localSheetId="51">'308'!$H$18:$H$27</definedName>
    <definedName name="OSRRefD14x_4" localSheetId="64">'309'!$H$17:$H$18</definedName>
    <definedName name="OSRRefD14x_4" localSheetId="63">'310'!$H$19:$H$21</definedName>
    <definedName name="OSRRefD14x_4" localSheetId="71">'310 &amp; 491'!$H$19:$H$21</definedName>
    <definedName name="OSRRefD14x_4" localSheetId="52">'311'!$H$18:$H$27</definedName>
    <definedName name="OSRRefD14x_4" localSheetId="57">'315'!$H$18:$H$36</definedName>
    <definedName name="OSRRefD14x_4" localSheetId="60">'316'!$H$18:$H$19</definedName>
    <definedName name="OSRRefD14x_4" localSheetId="62">'317'!$H$18:$H$27</definedName>
    <definedName name="OSRRefD14x_4" localSheetId="66">'321'!$H$15:$H$16</definedName>
    <definedName name="OSRRefD14x_4" localSheetId="53">'324'!$H$15</definedName>
    <definedName name="OSRRefD14x_4" localSheetId="68">'325'!$H$15:$H$17</definedName>
    <definedName name="OSRRefD14x_4" localSheetId="58">'326'!$H$17:$H$20</definedName>
    <definedName name="OSRRefD14x_4" localSheetId="69">'327'!$H$16:$H$18</definedName>
    <definedName name="OSRRefD14x_4" localSheetId="56">'331'!$H$18:$H$36</definedName>
    <definedName name="OSRRefD14x_4" localSheetId="59">'332'!$H$18:$H$19</definedName>
    <definedName name="OSRRefD14x_4" localSheetId="54">'333'!$H$18:$H$38</definedName>
    <definedName name="OSRRefD14x_4" localSheetId="73">'405'!$H$17:$H$19</definedName>
    <definedName name="OSRRefD14x_4" localSheetId="79">'415'!$H$17:$H$19</definedName>
    <definedName name="OSRRefD14x_4" localSheetId="80">'418'!$H$15:$H$16</definedName>
    <definedName name="OSRRefD14x_4" localSheetId="83">'425'!$H$14</definedName>
    <definedName name="OSRRefD14x_4" localSheetId="87">'433'!$H$17:$H$19</definedName>
    <definedName name="OSRRefD14x_4" localSheetId="88">'435'!$H$15</definedName>
    <definedName name="OSRRefD14x_4" localSheetId="89">'444'!$H$17:$H$19</definedName>
    <definedName name="OSRRefD14x_4" localSheetId="90">'450'!$H$17:$H$19</definedName>
    <definedName name="OSRRefD14x_4" localSheetId="72">'491'!$H$18:$H$20</definedName>
    <definedName name="OSRRefD14x_4" localSheetId="85">'492'!$H$19:$H$21</definedName>
    <definedName name="OSRRefD14x_4" localSheetId="47">'Div 3'!$H$24:$H$52</definedName>
    <definedName name="OSRRefD14x_4" localSheetId="70">'Div 4'!$H$21:$H$23</definedName>
    <definedName name="OSRRefD14x_4" localSheetId="61">'Div 6'!$H$18:$H$27</definedName>
    <definedName name="OSRRefD14x_4" localSheetId="2">Summary!$H$26:$H$60</definedName>
    <definedName name="OSRRefD14x_5" localSheetId="48">'300'!$I$20:$I$46</definedName>
    <definedName name="OSRRefD14x_5" localSheetId="49">'300 &amp; 317'!$I$20:$I$52</definedName>
    <definedName name="OSRRefD14x_5" localSheetId="50">'301'!$I$13</definedName>
    <definedName name="OSRRefD14x_5" localSheetId="55">'307'!$I$17:$I$26</definedName>
    <definedName name="OSRRefD14x_5" localSheetId="51">'308'!$I$18:$I$27</definedName>
    <definedName name="OSRRefD14x_5" localSheetId="64">'309'!$I$17:$I$18</definedName>
    <definedName name="OSRRefD14x_5" localSheetId="63">'310'!$I$19:$I$21</definedName>
    <definedName name="OSRRefD14x_5" localSheetId="71">'310 &amp; 491'!$I$19:$I$21</definedName>
    <definedName name="OSRRefD14x_5" localSheetId="52">'311'!$I$18:$I$27</definedName>
    <definedName name="OSRRefD14x_5" localSheetId="57">'315'!$I$18:$I$36</definedName>
    <definedName name="OSRRefD14x_5" localSheetId="60">'316'!$I$18:$I$19</definedName>
    <definedName name="OSRRefD14x_5" localSheetId="62">'317'!$I$18:$I$27</definedName>
    <definedName name="OSRRefD14x_5" localSheetId="66">'321'!$I$15:$I$16</definedName>
    <definedName name="OSRRefD14x_5" localSheetId="53">'324'!$I$15</definedName>
    <definedName name="OSRRefD14x_5" localSheetId="68">'325'!$I$15:$I$17</definedName>
    <definedName name="OSRRefD14x_5" localSheetId="58">'326'!$I$17:$I$20</definedName>
    <definedName name="OSRRefD14x_5" localSheetId="69">'327'!$I$16:$I$18</definedName>
    <definedName name="OSRRefD14x_5" localSheetId="56">'331'!$I$18:$I$36</definedName>
    <definedName name="OSRRefD14x_5" localSheetId="59">'332'!$I$18:$I$19</definedName>
    <definedName name="OSRRefD14x_5" localSheetId="54">'333'!$I$18:$I$38</definedName>
    <definedName name="OSRRefD14x_5" localSheetId="73">'405'!$I$17:$I$19</definedName>
    <definedName name="OSRRefD14x_5" localSheetId="79">'415'!$I$17:$I$19</definedName>
    <definedName name="OSRRefD14x_5" localSheetId="80">'418'!$I$15:$I$16</definedName>
    <definedName name="OSRRefD14x_5" localSheetId="83">'425'!$I$14</definedName>
    <definedName name="OSRRefD14x_5" localSheetId="87">'433'!$I$17:$I$19</definedName>
    <definedName name="OSRRefD14x_5" localSheetId="88">'435'!$I$15</definedName>
    <definedName name="OSRRefD14x_5" localSheetId="89">'444'!$I$17:$I$19</definedName>
    <definedName name="OSRRefD14x_5" localSheetId="90">'450'!$I$17:$I$19</definedName>
    <definedName name="OSRRefD14x_5" localSheetId="72">'491'!$I$18:$I$20</definedName>
    <definedName name="OSRRefD14x_5" localSheetId="85">'492'!$I$19:$I$21</definedName>
    <definedName name="OSRRefD14x_5" localSheetId="47">'Div 3'!$I$24:$I$52</definedName>
    <definedName name="OSRRefD14x_5" localSheetId="70">'Div 4'!$I$21:$I$23</definedName>
    <definedName name="OSRRefD14x_5" localSheetId="61">'Div 6'!$I$18:$I$27</definedName>
    <definedName name="OSRRefD14x_5" localSheetId="2">Summary!$I$26:$I$60</definedName>
    <definedName name="OSRRefD14x_6" localSheetId="48">'300'!$J$20:$J$46</definedName>
    <definedName name="OSRRefD14x_6" localSheetId="49">'300 &amp; 317'!$J$20:$J$52</definedName>
    <definedName name="OSRRefD14x_6" localSheetId="50">'301'!$J$13</definedName>
    <definedName name="OSRRefD14x_6" localSheetId="55">'307'!$J$17:$J$26</definedName>
    <definedName name="OSRRefD14x_6" localSheetId="51">'308'!$J$18:$J$27</definedName>
    <definedName name="OSRRefD14x_6" localSheetId="64">'309'!$J$17:$J$18</definedName>
    <definedName name="OSRRefD14x_6" localSheetId="63">'310'!$J$19:$J$21</definedName>
    <definedName name="OSRRefD14x_6" localSheetId="71">'310 &amp; 491'!$J$19:$J$21</definedName>
    <definedName name="OSRRefD14x_6" localSheetId="52">'311'!$J$18:$J$27</definedName>
    <definedName name="OSRRefD14x_6" localSheetId="57">'315'!$J$18:$J$36</definedName>
    <definedName name="OSRRefD14x_6" localSheetId="60">'316'!$J$18:$J$19</definedName>
    <definedName name="OSRRefD14x_6" localSheetId="62">'317'!$J$18:$J$27</definedName>
    <definedName name="OSRRefD14x_6" localSheetId="66">'321'!$J$15:$J$16</definedName>
    <definedName name="OSRRefD14x_6" localSheetId="53">'324'!$J$15</definedName>
    <definedName name="OSRRefD14x_6" localSheetId="68">'325'!$J$15:$J$17</definedName>
    <definedName name="OSRRefD14x_6" localSheetId="58">'326'!$J$17:$J$20</definedName>
    <definedName name="OSRRefD14x_6" localSheetId="69">'327'!$J$16:$J$18</definedName>
    <definedName name="OSRRefD14x_6" localSheetId="56">'331'!$J$18:$J$36</definedName>
    <definedName name="OSRRefD14x_6" localSheetId="59">'332'!$J$18:$J$19</definedName>
    <definedName name="OSRRefD14x_6" localSheetId="54">'333'!$J$18:$J$38</definedName>
    <definedName name="OSRRefD14x_6" localSheetId="73">'405'!$J$17:$J$19</definedName>
    <definedName name="OSRRefD14x_6" localSheetId="79">'415'!$J$17:$J$19</definedName>
    <definedName name="OSRRefD14x_6" localSheetId="80">'418'!$J$15:$J$16</definedName>
    <definedName name="OSRRefD14x_6" localSheetId="83">'425'!$J$14</definedName>
    <definedName name="OSRRefD14x_6" localSheetId="87">'433'!$J$17:$J$19</definedName>
    <definedName name="OSRRefD14x_6" localSheetId="88">'435'!$J$15</definedName>
    <definedName name="OSRRefD14x_6" localSheetId="89">'444'!$J$17:$J$19</definedName>
    <definedName name="OSRRefD14x_6" localSheetId="90">'450'!$J$17:$J$19</definedName>
    <definedName name="OSRRefD14x_6" localSheetId="72">'491'!$J$18:$J$20</definedName>
    <definedName name="OSRRefD14x_6" localSheetId="85">'492'!$J$19:$J$21</definedName>
    <definedName name="OSRRefD14x_6" localSheetId="47">'Div 3'!$J$24:$J$52</definedName>
    <definedName name="OSRRefD14x_6" localSheetId="70">'Div 4'!$J$21:$J$23</definedName>
    <definedName name="OSRRefD14x_6" localSheetId="61">'Div 6'!$J$18:$J$27</definedName>
    <definedName name="OSRRefD14x_6" localSheetId="2">Summary!$J$26:$J$60</definedName>
    <definedName name="OSRRefD14x_7" localSheetId="48">'300'!$K$20:$K$46</definedName>
    <definedName name="OSRRefD14x_7" localSheetId="49">'300 &amp; 317'!$K$20:$K$52</definedName>
    <definedName name="OSRRefD14x_7" localSheetId="50">'301'!$K$13</definedName>
    <definedName name="OSRRefD14x_7" localSheetId="55">'307'!$K$17:$K$26</definedName>
    <definedName name="OSRRefD14x_7" localSheetId="51">'308'!$K$18:$K$27</definedName>
    <definedName name="OSRRefD14x_7" localSheetId="64">'309'!$K$17:$K$18</definedName>
    <definedName name="OSRRefD14x_7" localSheetId="63">'310'!$K$19:$K$21</definedName>
    <definedName name="OSRRefD14x_7" localSheetId="71">'310 &amp; 491'!$K$19:$K$21</definedName>
    <definedName name="OSRRefD14x_7" localSheetId="52">'311'!$K$18:$K$27</definedName>
    <definedName name="OSRRefD14x_7" localSheetId="57">'315'!$K$18:$K$36</definedName>
    <definedName name="OSRRefD14x_7" localSheetId="60">'316'!$K$18:$K$19</definedName>
    <definedName name="OSRRefD14x_7" localSheetId="62">'317'!$K$18:$K$27</definedName>
    <definedName name="OSRRefD14x_7" localSheetId="66">'321'!$K$15:$K$16</definedName>
    <definedName name="OSRRefD14x_7" localSheetId="53">'324'!$K$15</definedName>
    <definedName name="OSRRefD14x_7" localSheetId="68">'325'!$K$15:$K$17</definedName>
    <definedName name="OSRRefD14x_7" localSheetId="58">'326'!$K$17:$K$20</definedName>
    <definedName name="OSRRefD14x_7" localSheetId="69">'327'!$K$16:$K$18</definedName>
    <definedName name="OSRRefD14x_7" localSheetId="56">'331'!$K$18:$K$36</definedName>
    <definedName name="OSRRefD14x_7" localSheetId="59">'332'!$K$18:$K$19</definedName>
    <definedName name="OSRRefD14x_7" localSheetId="54">'333'!$K$18:$K$38</definedName>
    <definedName name="OSRRefD14x_7" localSheetId="73">'405'!$K$17:$K$19</definedName>
    <definedName name="OSRRefD14x_7" localSheetId="79">'415'!$K$17:$K$19</definedName>
    <definedName name="OSRRefD14x_7" localSheetId="80">'418'!$K$15:$K$16</definedName>
    <definedName name="OSRRefD14x_7" localSheetId="83">'425'!$K$14</definedName>
    <definedName name="OSRRefD14x_7" localSheetId="87">'433'!$K$17:$K$19</definedName>
    <definedName name="OSRRefD14x_7" localSheetId="88">'435'!$K$15</definedName>
    <definedName name="OSRRefD14x_7" localSheetId="89">'444'!$K$17:$K$19</definedName>
    <definedName name="OSRRefD14x_7" localSheetId="90">'450'!$K$17:$K$19</definedName>
    <definedName name="OSRRefD14x_7" localSheetId="72">'491'!$K$18:$K$20</definedName>
    <definedName name="OSRRefD14x_7" localSheetId="85">'492'!$K$19:$K$21</definedName>
    <definedName name="OSRRefD14x_7" localSheetId="47">'Div 3'!$K$24:$K$52</definedName>
    <definedName name="OSRRefD14x_7" localSheetId="70">'Div 4'!$K$21:$K$23</definedName>
    <definedName name="OSRRefD14x_7" localSheetId="61">'Div 6'!$K$18:$K$27</definedName>
    <definedName name="OSRRefD14x_7" localSheetId="2">Summary!$K$26:$K$60</definedName>
    <definedName name="OSRRefD14x_8" localSheetId="48">'300'!$L$20:$L$46</definedName>
    <definedName name="OSRRefD14x_8" localSheetId="49">'300 &amp; 317'!$L$20:$L$52</definedName>
    <definedName name="OSRRefD14x_8" localSheetId="50">'301'!$L$13</definedName>
    <definedName name="OSRRefD14x_8" localSheetId="55">'307'!$L$17:$L$26</definedName>
    <definedName name="OSRRefD14x_8" localSheetId="51">'308'!$L$18:$L$27</definedName>
    <definedName name="OSRRefD14x_8" localSheetId="64">'309'!$L$17:$L$18</definedName>
    <definedName name="OSRRefD14x_8" localSheetId="63">'310'!$L$19:$L$21</definedName>
    <definedName name="OSRRefD14x_8" localSheetId="71">'310 &amp; 491'!$L$19:$L$21</definedName>
    <definedName name="OSRRefD14x_8" localSheetId="52">'311'!$L$18:$L$27</definedName>
    <definedName name="OSRRefD14x_8" localSheetId="57">'315'!$L$18:$L$36</definedName>
    <definedName name="OSRRefD14x_8" localSheetId="60">'316'!$L$18:$L$19</definedName>
    <definedName name="OSRRefD14x_8" localSheetId="62">'317'!$L$18:$L$27</definedName>
    <definedName name="OSRRefD14x_8" localSheetId="66">'321'!$L$15:$L$16</definedName>
    <definedName name="OSRRefD14x_8" localSheetId="53">'324'!$L$15</definedName>
    <definedName name="OSRRefD14x_8" localSheetId="68">'325'!$L$15:$L$17</definedName>
    <definedName name="OSRRefD14x_8" localSheetId="58">'326'!$L$17:$L$20</definedName>
    <definedName name="OSRRefD14x_8" localSheetId="69">'327'!$L$16:$L$18</definedName>
    <definedName name="OSRRefD14x_8" localSheetId="56">'331'!$L$18:$L$36</definedName>
    <definedName name="OSRRefD14x_8" localSheetId="59">'332'!$L$18:$L$19</definedName>
    <definedName name="OSRRefD14x_8" localSheetId="54">'333'!$L$18:$L$38</definedName>
    <definedName name="OSRRefD14x_8" localSheetId="73">'405'!$L$17:$L$19</definedName>
    <definedName name="OSRRefD14x_8" localSheetId="79">'415'!$L$17:$L$19</definedName>
    <definedName name="OSRRefD14x_8" localSheetId="80">'418'!$L$15:$L$16</definedName>
    <definedName name="OSRRefD14x_8" localSheetId="83">'425'!$L$14</definedName>
    <definedName name="OSRRefD14x_8" localSheetId="87">'433'!$L$17:$L$19</definedName>
    <definedName name="OSRRefD14x_8" localSheetId="88">'435'!$L$15</definedName>
    <definedName name="OSRRefD14x_8" localSheetId="89">'444'!$L$17:$L$19</definedName>
    <definedName name="OSRRefD14x_8" localSheetId="90">'450'!$L$17:$L$19</definedName>
    <definedName name="OSRRefD14x_8" localSheetId="72">'491'!$L$18:$L$20</definedName>
    <definedName name="OSRRefD14x_8" localSheetId="85">'492'!$L$19:$L$21</definedName>
    <definedName name="OSRRefD14x_8" localSheetId="47">'Div 3'!$L$24:$L$52</definedName>
    <definedName name="OSRRefD14x_8" localSheetId="70">'Div 4'!$L$21:$L$23</definedName>
    <definedName name="OSRRefD14x_8" localSheetId="61">'Div 6'!$L$18:$L$27</definedName>
    <definedName name="OSRRefD14x_8" localSheetId="2">Summary!$L$26:$L$60</definedName>
    <definedName name="OSRRefD14x_9" localSheetId="48">'300'!$M$20:$M$46</definedName>
    <definedName name="OSRRefD14x_9" localSheetId="49">'300 &amp; 317'!$M$20:$M$52</definedName>
    <definedName name="OSRRefD14x_9" localSheetId="50">'301'!$M$13</definedName>
    <definedName name="OSRRefD14x_9" localSheetId="55">'307'!$M$17:$M$26</definedName>
    <definedName name="OSRRefD14x_9" localSheetId="51">'308'!$M$18:$M$27</definedName>
    <definedName name="OSRRefD14x_9" localSheetId="64">'309'!$M$17:$M$18</definedName>
    <definedName name="OSRRefD14x_9" localSheetId="63">'310'!$M$19:$M$21</definedName>
    <definedName name="OSRRefD14x_9" localSheetId="71">'310 &amp; 491'!$M$19:$M$21</definedName>
    <definedName name="OSRRefD14x_9" localSheetId="52">'311'!$M$18:$M$27</definedName>
    <definedName name="OSRRefD14x_9" localSheetId="57">'315'!$M$18:$M$36</definedName>
    <definedName name="OSRRefD14x_9" localSheetId="60">'316'!$M$18:$M$19</definedName>
    <definedName name="OSRRefD14x_9" localSheetId="62">'317'!$M$18:$M$27</definedName>
    <definedName name="OSRRefD14x_9" localSheetId="66">'321'!$M$15:$M$16</definedName>
    <definedName name="OSRRefD14x_9" localSheetId="53">'324'!$M$15</definedName>
    <definedName name="OSRRefD14x_9" localSheetId="68">'325'!$M$15:$M$17</definedName>
    <definedName name="OSRRefD14x_9" localSheetId="58">'326'!$M$17:$M$20</definedName>
    <definedName name="OSRRefD14x_9" localSheetId="69">'327'!$M$16:$M$18</definedName>
    <definedName name="OSRRefD14x_9" localSheetId="56">'331'!$M$18:$M$36</definedName>
    <definedName name="OSRRefD14x_9" localSheetId="59">'332'!$M$18:$M$19</definedName>
    <definedName name="OSRRefD14x_9" localSheetId="54">'333'!$M$18:$M$38</definedName>
    <definedName name="OSRRefD14x_9" localSheetId="73">'405'!$M$17:$M$19</definedName>
    <definedName name="OSRRefD14x_9" localSheetId="79">'415'!$M$17:$M$19</definedName>
    <definedName name="OSRRefD14x_9" localSheetId="80">'418'!$M$15:$M$16</definedName>
    <definedName name="OSRRefD14x_9" localSheetId="83">'425'!$M$14</definedName>
    <definedName name="OSRRefD14x_9" localSheetId="87">'433'!$M$17:$M$19</definedName>
    <definedName name="OSRRefD14x_9" localSheetId="88">'435'!$M$15</definedName>
    <definedName name="OSRRefD14x_9" localSheetId="89">'444'!$M$17:$M$19</definedName>
    <definedName name="OSRRefD14x_9" localSheetId="90">'450'!$M$17:$M$19</definedName>
    <definedName name="OSRRefD14x_9" localSheetId="72">'491'!$M$18:$M$20</definedName>
    <definedName name="OSRRefD14x_9" localSheetId="85">'492'!$M$19:$M$21</definedName>
    <definedName name="OSRRefD14x_9" localSheetId="47">'Div 3'!$M$24:$M$52</definedName>
    <definedName name="OSRRefD14x_9" localSheetId="70">'Div 4'!$M$21:$M$23</definedName>
    <definedName name="OSRRefD14x_9" localSheetId="61">'Div 6'!$M$18:$M$27</definedName>
    <definedName name="OSRRefD14x_9" localSheetId="2">Summary!$M$26:$M$60</definedName>
    <definedName name="OSRRefD20_0x" localSheetId="40">'200'!$D$18:$M$18</definedName>
    <definedName name="OSRRefD20_0x" localSheetId="41">'201'!$D$18:$M$18</definedName>
    <definedName name="OSRRefD20_0x" localSheetId="42">'202'!$D$18:$M$18</definedName>
    <definedName name="OSRRefD20_0x" localSheetId="43">'203'!$D$18:$M$18</definedName>
    <definedName name="OSRRefD20_0x" localSheetId="44">'204'!$D$18:$M$18</definedName>
    <definedName name="OSRRefD20_0x" localSheetId="45">'205'!$D$18:$M$18</definedName>
    <definedName name="OSRRefD20_0x" localSheetId="46">'206'!$D$18:$M$18</definedName>
    <definedName name="OSRRefD20_0x" localSheetId="48">'300'!$D$52:$M$52</definedName>
    <definedName name="OSRRefD20_0x" localSheetId="49">'300 &amp; 317'!$D$58:$M$58</definedName>
    <definedName name="OSRRefD20_0x" localSheetId="50">'301'!$D$19:$M$19</definedName>
    <definedName name="OSRRefD20_0x" localSheetId="55">'307'!$D$32:$M$32</definedName>
    <definedName name="OSRRefD20_0x" localSheetId="51">'308'!$D$33:$M$33</definedName>
    <definedName name="OSRRefD20_0x" localSheetId="64">'309'!$D$24:$M$24</definedName>
    <definedName name="OSRRefD20_0x" localSheetId="63">'310'!$D$27:$M$27</definedName>
    <definedName name="OSRRefD20_0x" localSheetId="71">'310 &amp; 491'!$D$27:$M$27</definedName>
    <definedName name="OSRRefD20_0x" localSheetId="52">'311'!$D$33:$M$33</definedName>
    <definedName name="OSRRefD20_0x" localSheetId="65">'313'!$D$18:$M$18</definedName>
    <definedName name="OSRRefD20_0x" localSheetId="57">'315'!$D$42:$M$42</definedName>
    <definedName name="OSRRefD20_0x" localSheetId="60">'316'!$D$25:$M$25</definedName>
    <definedName name="OSRRefD20_0x" localSheetId="62">'317'!$D$33:$M$33</definedName>
    <definedName name="OSRRefD20_0x" localSheetId="66">'321'!$D$22:$M$22</definedName>
    <definedName name="OSRRefD20_0x" localSheetId="67">'322'!$D$18:$M$18</definedName>
    <definedName name="OSRRefD20_0x" localSheetId="68">'325'!$D$23:$M$23</definedName>
    <definedName name="OSRRefD20_0x" localSheetId="58">'326'!$D$26:$M$26</definedName>
    <definedName name="OSRRefD20_0x" localSheetId="69">'327'!$D$24:$M$24</definedName>
    <definedName name="OSRRefD20_0x" localSheetId="56">'331'!$D$42:$M$42</definedName>
    <definedName name="OSRRefD20_0x" localSheetId="59">'332'!$D$25:$M$25</definedName>
    <definedName name="OSRRefD20_0x" localSheetId="54">'333'!$D$44:$M$44</definedName>
    <definedName name="OSRRefD20_0x" localSheetId="73">'405'!$D$25:$M$25</definedName>
    <definedName name="OSRRefD20_0x" localSheetId="74">'406'!$D$18:$M$18</definedName>
    <definedName name="OSRRefD20_0x" localSheetId="75">'411'!$D$18:$M$18</definedName>
    <definedName name="OSRRefD20_0x" localSheetId="76">'412'!$D$18:$M$18</definedName>
    <definedName name="OSRRefD20_0x" localSheetId="77">'413'!$D$18:$M$18</definedName>
    <definedName name="OSRRefD20_0x" localSheetId="78">'414'!$D$18:$M$18</definedName>
    <definedName name="OSRRefD20_0x" localSheetId="79">'415'!$D$25:$M$25</definedName>
    <definedName name="OSRRefD20_0x" localSheetId="80">'418'!$D$22:$M$22</definedName>
    <definedName name="OSRRefD20_0x" localSheetId="81">'423'!$D$18:$M$18</definedName>
    <definedName name="OSRRefD20_0x" localSheetId="82">'424'!$D$18:$M$18</definedName>
    <definedName name="OSRRefD20_0x" localSheetId="83">'425'!$D$20:$M$20</definedName>
    <definedName name="OSRRefD20_0x" localSheetId="86">'430'!$D$18:$M$18</definedName>
    <definedName name="OSRRefD20_0x" localSheetId="87">'433'!$D$25:$M$25</definedName>
    <definedName name="OSRRefD20_0x" localSheetId="88">'435'!$D$21:$M$21</definedName>
    <definedName name="OSRRefD20_0x" localSheetId="89">'444'!$D$25:$M$25</definedName>
    <definedName name="OSRRefD20_0x" localSheetId="90">'450'!$D$25:$M$25</definedName>
    <definedName name="OSRRefD20_0x" localSheetId="72">'491'!$D$26:$M$26</definedName>
    <definedName name="OSRRefD20_0x" localSheetId="85">'492'!$D$27:$M$27</definedName>
    <definedName name="OSRRefD20_0x" localSheetId="92">'501'!$D$19:$M$19</definedName>
    <definedName name="OSRRefD20_0x" localSheetId="39">'Div 2'!$D$18:$M$18</definedName>
    <definedName name="OSRRefD20_0x" localSheetId="47">'Div 3'!$D$58:$M$58</definedName>
    <definedName name="OSRRefD20_0x" localSheetId="70">'Div 4'!$D$29:$M$29</definedName>
    <definedName name="OSRRefD20_0x" localSheetId="91">'Div 5'!$D$19:$M$19</definedName>
    <definedName name="OSRRefD20_0x" localSheetId="61">'Div 6'!$D$33:$M$33</definedName>
    <definedName name="OSRRefD20_0x" localSheetId="2">Summary!$D$66:$M$66</definedName>
    <definedName name="OSRRefD20_10x" localSheetId="41">'201'!$D$57:$M$57</definedName>
    <definedName name="OSRRefD20_10x" localSheetId="42">'202'!$D$58:$M$58</definedName>
    <definedName name="OSRRefD20_10x" localSheetId="43">'203'!$D$59:$M$59</definedName>
    <definedName name="OSRRefD20_10x" localSheetId="48">'300'!$D$92:$M$92</definedName>
    <definedName name="OSRRefD20_10x" localSheetId="49">'300 &amp; 317'!$D$98:$M$98</definedName>
    <definedName name="OSRRefD20_10x" localSheetId="50">'301'!$D$59:$M$59</definedName>
    <definedName name="OSRRefD20_10x" localSheetId="55">'307'!$D$70:$M$70</definedName>
    <definedName name="OSRRefD20_10x" localSheetId="51">'308'!$D$74:$M$74</definedName>
    <definedName name="OSRRefD20_10x" localSheetId="64">'309'!$D$48:$M$48</definedName>
    <definedName name="OSRRefD20_10x" localSheetId="63">'310'!$D$66:$M$66</definedName>
    <definedName name="OSRRefD20_10x" localSheetId="71">'310 &amp; 491'!$D$66:$M$66</definedName>
    <definedName name="OSRRefD20_10x" localSheetId="52">'311'!$D$74:$M$74</definedName>
    <definedName name="OSRRefD20_10x" localSheetId="57">'315'!$D$80:$M$80</definedName>
    <definedName name="OSRRefD20_10x" localSheetId="60">'316'!$D$64:$M$64</definedName>
    <definedName name="OSRRefD20_10x" localSheetId="62">'317'!$D$72:$M$72</definedName>
    <definedName name="OSRRefD20_10x" localSheetId="66">'321'!$D$64:$M$64</definedName>
    <definedName name="OSRRefD20_10x" localSheetId="68">'325'!$D$61:$M$61</definedName>
    <definedName name="OSRRefD20_10x" localSheetId="58">'326'!$D$63:$M$63</definedName>
    <definedName name="OSRRefD20_10x" localSheetId="56">'331'!$D$80:$M$80</definedName>
    <definedName name="OSRRefD20_10x" localSheetId="59">'332'!$D$64:$M$64</definedName>
    <definedName name="OSRRefD20_10x" localSheetId="54">'333'!$D$82:$M$82</definedName>
    <definedName name="OSRRefD20_10x" localSheetId="73">'405'!$D$64:$M$64</definedName>
    <definedName name="OSRRefD20_10x" localSheetId="75">'411'!$D$59:$M$59</definedName>
    <definedName name="OSRRefD20_10x" localSheetId="79">'415'!$D$64:$M$64</definedName>
    <definedName name="OSRRefD20_10x" localSheetId="80">'418'!$D$63:$M$63</definedName>
    <definedName name="OSRRefD20_10x" localSheetId="87">'433'!$D$63:$M$63</definedName>
    <definedName name="OSRRefD20_10x" localSheetId="89">'444'!$D$63:$M$63</definedName>
    <definedName name="OSRRefD20_10x" localSheetId="90">'450'!$D$63:$M$63</definedName>
    <definedName name="OSRRefD20_10x" localSheetId="72">'491'!$D$65:$M$65</definedName>
    <definedName name="OSRRefD20_10x" localSheetId="85">'492'!$D$65:$M$65</definedName>
    <definedName name="OSRRefD20_10x" localSheetId="92">'501'!$D$60:$M$60</definedName>
    <definedName name="OSRRefD20_10x" localSheetId="39">'Div 2'!$D$58:$M$58</definedName>
    <definedName name="OSRRefD20_10x" localSheetId="47">'Div 3'!$D$98:$M$98</definedName>
    <definedName name="OSRRefD20_10x" localSheetId="70">'Div 4'!$D$68:$M$68</definedName>
    <definedName name="OSRRefD20_10x" localSheetId="91">'Div 5'!$D$60:$M$60</definedName>
    <definedName name="OSRRefD20_10x" localSheetId="61">'Div 6'!$D$72:$M$72</definedName>
    <definedName name="OSRRefD20_10x" localSheetId="2">Summary!$D$106:$M$106</definedName>
    <definedName name="OSRRefD20_11x" localSheetId="41">'201'!$D$60:$M$60</definedName>
    <definedName name="OSRRefD20_11x" localSheetId="42">'202'!$D$60:$M$60</definedName>
    <definedName name="OSRRefD20_11x" localSheetId="43">'203'!$D$62:$M$62</definedName>
    <definedName name="OSRRefD20_11x" localSheetId="48">'300'!$D$95:$M$95</definedName>
    <definedName name="OSRRefD20_11x" localSheetId="49">'300 &amp; 317'!$D$101:$M$101</definedName>
    <definedName name="OSRRefD20_11x" localSheetId="50">'301'!$D$61:$M$61</definedName>
    <definedName name="OSRRefD20_11x" localSheetId="55">'307'!$D$73:$M$73</definedName>
    <definedName name="OSRRefD20_11x" localSheetId="51">'308'!$D$77:$M$77</definedName>
    <definedName name="OSRRefD20_11x" localSheetId="64">'309'!$D$51:$M$51</definedName>
    <definedName name="OSRRefD20_11x" localSheetId="63">'310'!$D$68:$M$68</definedName>
    <definedName name="OSRRefD20_11x" localSheetId="71">'310 &amp; 491'!$D$68:$M$68</definedName>
    <definedName name="OSRRefD20_11x" localSheetId="52">'311'!$D$77:$M$77</definedName>
    <definedName name="OSRRefD20_11x" localSheetId="57">'315'!$D$82:$M$82</definedName>
    <definedName name="OSRRefD20_11x" localSheetId="60">'316'!$D$70:$M$70</definedName>
    <definedName name="OSRRefD20_11x" localSheetId="66">'321'!$D$69:$M$69</definedName>
    <definedName name="OSRRefD20_11x" localSheetId="68">'325'!$D$63:$M$63</definedName>
    <definedName name="OSRRefD20_11x" localSheetId="58">'326'!$D$65:$M$65</definedName>
    <definedName name="OSRRefD20_11x" localSheetId="56">'331'!$D$82:$M$82</definedName>
    <definedName name="OSRRefD20_11x" localSheetId="59">'332'!$D$70:$M$70</definedName>
    <definedName name="OSRRefD20_11x" localSheetId="54">'333'!$D$84:$M$84</definedName>
    <definedName name="OSRRefD20_11x" localSheetId="73">'405'!$D$68:$M$68</definedName>
    <definedName name="OSRRefD20_11x" localSheetId="75">'411'!$D$61:$M$61</definedName>
    <definedName name="OSRRefD20_11x" localSheetId="79">'415'!$D$66:$M$66</definedName>
    <definedName name="OSRRefD20_11x" localSheetId="80">'418'!$D$65:$M$65</definedName>
    <definedName name="OSRRefD20_11x" localSheetId="87">'433'!$D$65:$M$65</definedName>
    <definedName name="OSRRefD20_11x" localSheetId="89">'444'!$D$65:$M$65</definedName>
    <definedName name="OSRRefD20_11x" localSheetId="90">'450'!$D$65:$M$65</definedName>
    <definedName name="OSRRefD20_11x" localSheetId="72">'491'!$D$67:$M$67</definedName>
    <definedName name="OSRRefD20_11x" localSheetId="85">'492'!$D$67:$M$67</definedName>
    <definedName name="OSRRefD20_11x" localSheetId="92">'501'!$D$62:$M$62</definedName>
    <definedName name="OSRRefD20_11x" localSheetId="39">'Div 2'!$D$60:$M$60</definedName>
    <definedName name="OSRRefD20_11x" localSheetId="47">'Div 3'!$D$101:$M$101</definedName>
    <definedName name="OSRRefD20_11x" localSheetId="70">'Div 4'!$D$70:$M$70</definedName>
    <definedName name="OSRRefD20_11x" localSheetId="91">'Div 5'!$D$62:$M$62</definedName>
    <definedName name="OSRRefD20_11x" localSheetId="2">Summary!$D$109:$M$109</definedName>
    <definedName name="OSRRefD20_12x" localSheetId="41">'201'!$D$62:$M$62</definedName>
    <definedName name="OSRRefD20_12x" localSheetId="42">'202'!$D$62:$M$62</definedName>
    <definedName name="OSRRefD20_12x" localSheetId="43">'203'!$D$67:$M$67</definedName>
    <definedName name="OSRRefD20_12x" localSheetId="48">'300'!$D$97:$M$97</definedName>
    <definedName name="OSRRefD20_12x" localSheetId="49">'300 &amp; 317'!$D$103:$M$103</definedName>
    <definedName name="OSRRefD20_12x" localSheetId="50">'301'!$D$63:$M$63</definedName>
    <definedName name="OSRRefD20_12x" localSheetId="55">'307'!$D$75:$M$75</definedName>
    <definedName name="OSRRefD20_12x" localSheetId="51">'308'!$D$80:$M$80</definedName>
    <definedName name="OSRRefD20_12x" localSheetId="64">'309'!$D$53:$M$53</definedName>
    <definedName name="OSRRefD20_12x" localSheetId="63">'310'!$D$71:$M$71</definedName>
    <definedName name="OSRRefD20_12x" localSheetId="71">'310 &amp; 491'!$D$70:$M$70</definedName>
    <definedName name="OSRRefD20_12x" localSheetId="52">'311'!$D$80:$M$80</definedName>
    <definedName name="OSRRefD20_12x" localSheetId="57">'315'!$D$84:$M$84</definedName>
    <definedName name="OSRRefD20_12x" localSheetId="66">'321'!$D$71:$M$71</definedName>
    <definedName name="OSRRefD20_12x" localSheetId="68">'325'!$D$66:$M$66</definedName>
    <definedName name="OSRRefD20_12x" localSheetId="58">'326'!$D$68:$M$68</definedName>
    <definedName name="OSRRefD20_12x" localSheetId="56">'331'!$D$84:$M$84</definedName>
    <definedName name="OSRRefD20_12x" localSheetId="54">'333'!$D$86:$M$86</definedName>
    <definedName name="OSRRefD20_12x" localSheetId="73">'405'!$D$70:$M$70</definedName>
    <definedName name="OSRRefD20_12x" localSheetId="75">'411'!$D$64:$M$64</definedName>
    <definedName name="OSRRefD20_12x" localSheetId="79">'415'!$D$69:$M$69</definedName>
    <definedName name="OSRRefD20_12x" localSheetId="80">'418'!$D$72:$M$72</definedName>
    <definedName name="OSRRefD20_12x" localSheetId="87">'433'!$D$69:$M$69</definedName>
    <definedName name="OSRRefD20_12x" localSheetId="89">'444'!$D$68:$M$68</definedName>
    <definedName name="OSRRefD20_12x" localSheetId="90">'450'!$D$68:$M$68</definedName>
    <definedName name="OSRRefD20_12x" localSheetId="72">'491'!$D$69:$M$69</definedName>
    <definedName name="OSRRefD20_12x" localSheetId="85">'492'!$D$69:$M$69</definedName>
    <definedName name="OSRRefD20_12x" localSheetId="92">'501'!$D$66:$M$66</definedName>
    <definedName name="OSRRefD20_12x" localSheetId="39">'Div 2'!$D$62:$M$62</definedName>
    <definedName name="OSRRefD20_12x" localSheetId="47">'Div 3'!$D$103:$M$103</definedName>
    <definedName name="OSRRefD20_12x" localSheetId="70">'Div 4'!$D$72:$M$72</definedName>
    <definedName name="OSRRefD20_12x" localSheetId="91">'Div 5'!$D$66:$M$66</definedName>
    <definedName name="OSRRefD20_12x" localSheetId="2">Summary!$D$111:$M$111</definedName>
    <definedName name="OSRRefD20_13x" localSheetId="41">'201'!$D$65:$M$65</definedName>
    <definedName name="OSRRefD20_13x" localSheetId="43">'203'!$D$69:$M$69</definedName>
    <definedName name="OSRRefD20_13x" localSheetId="48">'300'!$D$99:$M$99</definedName>
    <definedName name="OSRRefD20_13x" localSheetId="49">'300 &amp; 317'!$D$105:$M$105</definedName>
    <definedName name="OSRRefD20_13x" localSheetId="50">'301'!$D$65:$M$65</definedName>
    <definedName name="OSRRefD20_13x" localSheetId="55">'307'!$D$80:$M$80</definedName>
    <definedName name="OSRRefD20_13x" localSheetId="51">'308'!$D$83:$M$83</definedName>
    <definedName name="OSRRefD20_13x" localSheetId="63">'310'!$D$74:$M$74</definedName>
    <definedName name="OSRRefD20_13x" localSheetId="71">'310 &amp; 491'!$D$74:$M$74</definedName>
    <definedName name="OSRRefD20_13x" localSheetId="52">'311'!$D$83:$M$83</definedName>
    <definedName name="OSRRefD20_13x" localSheetId="57">'315'!$D$87:$M$87</definedName>
    <definedName name="OSRRefD20_13x" localSheetId="68">'325'!$D$70:$M$70</definedName>
    <definedName name="OSRRefD20_13x" localSheetId="58">'326'!$D$71:$M$71</definedName>
    <definedName name="OSRRefD20_13x" localSheetId="56">'331'!$D$86:$M$86</definedName>
    <definedName name="OSRRefD20_13x" localSheetId="54">'333'!$D$88:$M$88</definedName>
    <definedName name="OSRRefD20_13x" localSheetId="73">'405'!$D$80:$M$80</definedName>
    <definedName name="OSRRefD20_13x" localSheetId="75">'411'!$D$66:$M$66</definedName>
    <definedName name="OSRRefD20_13x" localSheetId="79">'415'!$D$74:$M$74</definedName>
    <definedName name="OSRRefD20_13x" localSheetId="80">'418'!$D$75:$M$75</definedName>
    <definedName name="OSRRefD20_13x" localSheetId="87">'433'!$D$74:$M$74</definedName>
    <definedName name="OSRRefD20_13x" localSheetId="89">'444'!$D$73:$M$73</definedName>
    <definedName name="OSRRefD20_13x" localSheetId="90">'450'!$D$73:$M$73</definedName>
    <definedName name="OSRRefD20_13x" localSheetId="72">'491'!$D$73:$M$73</definedName>
    <definedName name="OSRRefD20_13x" localSheetId="85">'492'!$D$73:$M$73</definedName>
    <definedName name="OSRRefD20_13x" localSheetId="92">'501'!$D$68:$M$68</definedName>
    <definedName name="OSRRefD20_13x" localSheetId="39">'Div 2'!$D$67:$M$67</definedName>
    <definedName name="OSRRefD20_13x" localSheetId="47">'Div 3'!$D$105:$M$105</definedName>
    <definedName name="OSRRefD20_13x" localSheetId="70">'Div 4'!$D$74:$M$74</definedName>
    <definedName name="OSRRefD20_13x" localSheetId="91">'Div 5'!$D$68:$M$68</definedName>
    <definedName name="OSRRefD20_13x" localSheetId="2">Summary!$D$113:$M$113</definedName>
    <definedName name="OSRRefD20_14x" localSheetId="41">'201'!$D$67:$M$67</definedName>
    <definedName name="OSRRefD20_14x" localSheetId="48">'300'!$D$101:$M$101</definedName>
    <definedName name="OSRRefD20_14x" localSheetId="49">'300 &amp; 317'!$D$107:$M$107</definedName>
    <definedName name="OSRRefD20_14x" localSheetId="50">'301'!$D$67:$M$67</definedName>
    <definedName name="OSRRefD20_14x" localSheetId="63">'310'!$D$78:$M$78</definedName>
    <definedName name="OSRRefD20_14x" localSheetId="71">'310 &amp; 491'!$D$77:$M$77</definedName>
    <definedName name="OSRRefD20_14x" localSheetId="57">'315'!$D$91:$M$91</definedName>
    <definedName name="OSRRefD20_14x" localSheetId="68">'325'!$D$77:$M$77</definedName>
    <definedName name="OSRRefD20_14x" localSheetId="58">'326'!$D$74:$M$74</definedName>
    <definedName name="OSRRefD20_14x" localSheetId="56">'331'!$D$88:$M$88</definedName>
    <definedName name="OSRRefD20_14x" localSheetId="54">'333'!$D$90:$M$90</definedName>
    <definedName name="OSRRefD20_14x" localSheetId="73">'405'!$D$82:$M$82</definedName>
    <definedName name="OSRRefD20_14x" localSheetId="75">'411'!$D$69:$M$69</definedName>
    <definedName name="OSRRefD20_14x" localSheetId="79">'415'!$D$76:$M$76</definedName>
    <definedName name="OSRRefD20_14x" localSheetId="80">'418'!$D$77:$M$77</definedName>
    <definedName name="OSRRefD20_14x" localSheetId="87">'433'!$D$83:$M$83</definedName>
    <definedName name="OSRRefD20_14x" localSheetId="89">'444'!$D$83:$M$83</definedName>
    <definedName name="OSRRefD20_14x" localSheetId="90">'450'!$D$81:$M$81</definedName>
    <definedName name="OSRRefD20_14x" localSheetId="72">'491'!$D$75:$M$75</definedName>
    <definedName name="OSRRefD20_14x" localSheetId="85">'492'!$D$78:$M$78</definedName>
    <definedName name="OSRRefD20_14x" localSheetId="39">'Div 2'!$D$72:$M$72</definedName>
    <definedName name="OSRRefD20_14x" localSheetId="47">'Div 3'!$D$107:$M$107</definedName>
    <definedName name="OSRRefD20_14x" localSheetId="70">'Div 4'!$D$76:$M$76</definedName>
    <definedName name="OSRRefD20_14x" localSheetId="2">Summary!$D$115:$M$115</definedName>
    <definedName name="OSRRefD20_15x" localSheetId="48">'300'!$D$103:$M$103</definedName>
    <definedName name="OSRRefD20_15x" localSheetId="49">'300 &amp; 317'!$D$109:$M$109</definedName>
    <definedName name="OSRRefD20_15x" localSheetId="50">'301'!$D$69:$M$69</definedName>
    <definedName name="OSRRefD20_15x" localSheetId="63">'310'!$D$85:$M$85</definedName>
    <definedName name="OSRRefD20_15x" localSheetId="71">'310 &amp; 491'!$D$83:$M$83</definedName>
    <definedName name="OSRRefD20_15x" localSheetId="57">'315'!$D$94:$M$94</definedName>
    <definedName name="OSRRefD20_15x" localSheetId="68">'325'!$D$80:$M$80</definedName>
    <definedName name="OSRRefD20_15x" localSheetId="58">'326'!$D$78:$M$78</definedName>
    <definedName name="OSRRefD20_15x" localSheetId="56">'331'!$D$91:$M$91</definedName>
    <definedName name="OSRRefD20_15x" localSheetId="54">'333'!$D$93:$M$93</definedName>
    <definedName name="OSRRefD20_15x" localSheetId="73">'405'!$D$84:$M$84</definedName>
    <definedName name="OSRRefD20_15x" localSheetId="79">'415'!$D$83:$M$83</definedName>
    <definedName name="OSRRefD20_15x" localSheetId="87">'433'!$D$85:$M$85</definedName>
    <definedName name="OSRRefD20_15x" localSheetId="89">'444'!$D$85:$M$85</definedName>
    <definedName name="OSRRefD20_15x" localSheetId="90">'450'!$D$83:$M$83</definedName>
    <definedName name="OSRRefD20_15x" localSheetId="72">'491'!$D$81:$M$81</definedName>
    <definedName name="OSRRefD20_15x" localSheetId="85">'492'!$D$88:$M$88</definedName>
    <definedName name="OSRRefD20_15x" localSheetId="39">'Div 2'!$D$75:$M$75</definedName>
    <definedName name="OSRRefD20_15x" localSheetId="47">'Div 3'!$D$109:$M$109</definedName>
    <definedName name="OSRRefD20_15x" localSheetId="70">'Div 4'!$D$80:$M$80</definedName>
    <definedName name="OSRRefD20_15x" localSheetId="2">Summary!$D$117:$M$117</definedName>
    <definedName name="OSRRefD20_16x" localSheetId="48">'300'!$D$105:$M$105</definedName>
    <definedName name="OSRRefD20_16x" localSheetId="49">'300 &amp; 317'!$D$111:$M$111</definedName>
    <definedName name="OSRRefD20_16x" localSheetId="50">'301'!$D$74:$M$74</definedName>
    <definedName name="OSRRefD20_16x" localSheetId="63">'310'!$D$88:$M$88</definedName>
    <definedName name="OSRRefD20_16x" localSheetId="71">'310 &amp; 491'!$D$85:$M$85</definedName>
    <definedName name="OSRRefD20_16x" localSheetId="57">'315'!$D$99:$M$99</definedName>
    <definedName name="OSRRefD20_16x" localSheetId="68">'325'!$D$82:$M$82</definedName>
    <definedName name="OSRRefD20_16x" localSheetId="58">'326'!$D$80:$M$80</definedName>
    <definedName name="OSRRefD20_16x" localSheetId="56">'331'!$D$95:$M$95</definedName>
    <definedName name="OSRRefD20_16x" localSheetId="54">'333'!$D$97:$M$97</definedName>
    <definedName name="OSRRefD20_16x" localSheetId="79">'415'!$D$86:$M$86</definedName>
    <definedName name="OSRRefD20_16x" localSheetId="90">'450'!$D$85:$M$85</definedName>
    <definedName name="OSRRefD20_16x" localSheetId="72">'491'!$D$83:$M$83</definedName>
    <definedName name="OSRRefD20_16x" localSheetId="85">'492'!$D$91:$M$91</definedName>
    <definedName name="OSRRefD20_16x" localSheetId="39">'Div 2'!$D$78:$M$78</definedName>
    <definedName name="OSRRefD20_16x" localSheetId="47">'Div 3'!$D$111:$M$111</definedName>
    <definedName name="OSRRefD20_16x" localSheetId="70">'Div 4'!$D$82:$M$82</definedName>
    <definedName name="OSRRefD20_16x" localSheetId="2">Summary!$D$119:$M$119</definedName>
    <definedName name="OSRRefD20_17x" localSheetId="48">'300'!$D$110:$M$110</definedName>
    <definedName name="OSRRefD20_17x" localSheetId="49">'300 &amp; 317'!$D$116:$M$116</definedName>
    <definedName name="OSRRefD20_17x" localSheetId="50">'301'!$D$77:$M$77</definedName>
    <definedName name="OSRRefD20_17x" localSheetId="63">'310'!$D$90:$M$90</definedName>
    <definedName name="OSRRefD20_17x" localSheetId="71">'310 &amp; 491'!$D$95:$M$95</definedName>
    <definedName name="OSRRefD20_17x" localSheetId="57">'315'!$D$101:$M$101</definedName>
    <definedName name="OSRRefD20_17x" localSheetId="58">'326'!$D$83:$M$83</definedName>
    <definedName name="OSRRefD20_17x" localSheetId="56">'331'!$D$98:$M$98</definedName>
    <definedName name="OSRRefD20_17x" localSheetId="54">'333'!$D$101:$M$101</definedName>
    <definedName name="OSRRefD20_17x" localSheetId="79">'415'!$D$88:$M$88</definedName>
    <definedName name="OSRRefD20_17x" localSheetId="72">'491'!$D$93:$M$93</definedName>
    <definedName name="OSRRefD20_17x" localSheetId="85">'492'!$D$93:$M$93</definedName>
    <definedName name="OSRRefD20_17x" localSheetId="39">'Div 2'!$D$84:$M$84</definedName>
    <definedName name="OSRRefD20_17x" localSheetId="47">'Div 3'!$D$113:$M$113</definedName>
    <definedName name="OSRRefD20_17x" localSheetId="70">'Div 4'!$D$88:$M$88</definedName>
    <definedName name="OSRRefD20_17x" localSheetId="2">Summary!$D$121:$M$121</definedName>
    <definedName name="OSRRefD20_18x" localSheetId="48">'300'!$D$115:$M$115</definedName>
    <definedName name="OSRRefD20_18x" localSheetId="49">'300 &amp; 317'!$D$121:$M$121</definedName>
    <definedName name="OSRRefD20_18x" localSheetId="50">'301'!$D$79:$M$79</definedName>
    <definedName name="OSRRefD20_18x" localSheetId="71">'310 &amp; 491'!$D$98:$M$98</definedName>
    <definedName name="OSRRefD20_18x" localSheetId="57">'315'!$D$103:$M$103</definedName>
    <definedName name="OSRRefD20_18x" localSheetId="56">'331'!$D$101:$M$101</definedName>
    <definedName name="OSRRefD20_18x" localSheetId="54">'333'!$D$104:$M$104</definedName>
    <definedName name="OSRRefD20_18x" localSheetId="72">'491'!$D$96:$M$96</definedName>
    <definedName name="OSRRefD20_18x" localSheetId="39">'Div 2'!$D$87:$M$87</definedName>
    <definedName name="OSRRefD20_18x" localSheetId="47">'Div 3'!$D$118:$M$118</definedName>
    <definedName name="OSRRefD20_18x" localSheetId="70">'Div 4'!$D$90:$M$90</definedName>
    <definedName name="OSRRefD20_18x" localSheetId="2">Summary!$D$123:$M$123</definedName>
    <definedName name="OSRRefD20_19x" localSheetId="48">'300'!$D$119:$M$119</definedName>
    <definedName name="OSRRefD20_19x" localSheetId="49">'300 &amp; 317'!$D$125:$M$125</definedName>
    <definedName name="OSRRefD20_19x" localSheetId="50">'301'!$D$86:$M$86</definedName>
    <definedName name="OSRRefD20_19x" localSheetId="71">'310 &amp; 491'!$D$100:$M$100</definedName>
    <definedName name="OSRRefD20_19x" localSheetId="56">'331'!$D$107:$M$107</definedName>
    <definedName name="OSRRefD20_19x" localSheetId="54">'333'!$D$111:$M$111</definedName>
    <definedName name="OSRRefD20_19x" localSheetId="72">'491'!$D$98:$M$98</definedName>
    <definedName name="OSRRefD20_19x" localSheetId="39">'Div 2'!$D$89:$M$89</definedName>
    <definedName name="OSRRefD20_19x" localSheetId="47">'Div 3'!$D$123:$M$123</definedName>
    <definedName name="OSRRefD20_19x" localSheetId="70">'Div 4'!$D$101:$M$101</definedName>
    <definedName name="OSRRefD20_19x" localSheetId="2">Summary!$D$128:$M$128</definedName>
    <definedName name="OSRRefD20_1x" localSheetId="40">'200'!$D$20:$M$20</definedName>
    <definedName name="OSRRefD20_1x" localSheetId="41">'201'!$D$28:$M$28</definedName>
    <definedName name="OSRRefD20_1x" localSheetId="42">'202'!$D$28:$M$28</definedName>
    <definedName name="OSRRefD20_1x" localSheetId="43">'203'!$D$29:$M$29</definedName>
    <definedName name="OSRRefD20_1x" localSheetId="44">'204'!$D$28:$M$28</definedName>
    <definedName name="OSRRefD20_1x" localSheetId="45">'205'!$D$28:$M$28</definedName>
    <definedName name="OSRRefD20_1x" localSheetId="46">'206'!$D$28:$M$28</definedName>
    <definedName name="OSRRefD20_1x" localSheetId="48">'300'!$D$63:$M$63</definedName>
    <definedName name="OSRRefD20_1x" localSheetId="49">'300 &amp; 317'!$D$69:$M$69</definedName>
    <definedName name="OSRRefD20_1x" localSheetId="50">'301'!$D$30:$M$30</definedName>
    <definedName name="OSRRefD20_1x" localSheetId="55">'307'!$D$42:$M$42</definedName>
    <definedName name="OSRRefD20_1x" localSheetId="51">'308'!$D$44:$M$44</definedName>
    <definedName name="OSRRefD20_1x" localSheetId="64">'309'!$D$27:$M$27</definedName>
    <definedName name="OSRRefD20_1x" localSheetId="63">'310'!$D$38:$M$38</definedName>
    <definedName name="OSRRefD20_1x" localSheetId="71">'310 &amp; 491'!$D$38:$M$38</definedName>
    <definedName name="OSRRefD20_1x" localSheetId="52">'311'!$D$44:$M$44</definedName>
    <definedName name="OSRRefD20_1x" localSheetId="65">'313'!$D$20:$M$20</definedName>
    <definedName name="OSRRefD20_1x" localSheetId="57">'315'!$D$52:$M$52</definedName>
    <definedName name="OSRRefD20_1x" localSheetId="60">'316'!$D$35:$M$35</definedName>
    <definedName name="OSRRefD20_1x" localSheetId="62">'317'!$D$44:$M$44</definedName>
    <definedName name="OSRRefD20_1x" localSheetId="66">'321'!$D$33:$M$33</definedName>
    <definedName name="OSRRefD20_1x" localSheetId="68">'325'!$D$33:$M$33</definedName>
    <definedName name="OSRRefD20_1x" localSheetId="58">'326'!$D$36:$M$36</definedName>
    <definedName name="OSRRefD20_1x" localSheetId="69">'327'!$D$26:$M$26</definedName>
    <definedName name="OSRRefD20_1x" localSheetId="56">'331'!$D$52:$M$52</definedName>
    <definedName name="OSRRefD20_1x" localSheetId="59">'332'!$D$35:$M$35</definedName>
    <definedName name="OSRRefD20_1x" localSheetId="54">'333'!$D$54:$M$54</definedName>
    <definedName name="OSRRefD20_1x" localSheetId="73">'405'!$D$35:$M$35</definedName>
    <definedName name="OSRRefD20_1x" localSheetId="75">'411'!$D$28:$M$28</definedName>
    <definedName name="OSRRefD20_1x" localSheetId="76">'412'!$D$20:$M$20</definedName>
    <definedName name="OSRRefD20_1x" localSheetId="77">'413'!$D$20:$M$20</definedName>
    <definedName name="OSRRefD20_1x" localSheetId="78">'414'!$D$20:$M$20</definedName>
    <definedName name="OSRRefD20_1x" localSheetId="79">'415'!$D$36:$M$36</definedName>
    <definedName name="OSRRefD20_1x" localSheetId="80">'418'!$D$32:$M$32</definedName>
    <definedName name="OSRRefD20_1x" localSheetId="81">'423'!$D$27:$M$27</definedName>
    <definedName name="OSRRefD20_1x" localSheetId="82">'424'!$D$20:$M$20</definedName>
    <definedName name="OSRRefD20_1x" localSheetId="83">'425'!$D$22:$M$22</definedName>
    <definedName name="OSRRefD20_1x" localSheetId="86">'430'!$D$28:$M$28</definedName>
    <definedName name="OSRRefD20_1x" localSheetId="87">'433'!$D$36:$M$36</definedName>
    <definedName name="OSRRefD20_1x" localSheetId="88">'435'!$D$24:$M$24</definedName>
    <definedName name="OSRRefD20_1x" localSheetId="89">'444'!$D$36:$M$36</definedName>
    <definedName name="OSRRefD20_1x" localSheetId="90">'450'!$D$36:$M$36</definedName>
    <definedName name="OSRRefD20_1x" localSheetId="72">'491'!$D$37:$M$37</definedName>
    <definedName name="OSRRefD20_1x" localSheetId="85">'492'!$D$38:$M$38</definedName>
    <definedName name="OSRRefD20_1x" localSheetId="92">'501'!$D$30:$M$30</definedName>
    <definedName name="OSRRefD20_1x" localSheetId="39">'Div 2'!$D$30:$M$30</definedName>
    <definedName name="OSRRefD20_1x" localSheetId="47">'Div 3'!$D$69:$M$69</definedName>
    <definedName name="OSRRefD20_1x" localSheetId="70">'Div 4'!$D$40:$M$40</definedName>
    <definedName name="OSRRefD20_1x" localSheetId="91">'Div 5'!$D$30:$M$30</definedName>
    <definedName name="OSRRefD20_1x" localSheetId="61">'Div 6'!$D$44:$M$44</definedName>
    <definedName name="OSRRefD20_1x" localSheetId="2">Summary!$D$77:$M$77</definedName>
    <definedName name="OSRRefD20_20x" localSheetId="48">'300'!$D$122:$M$122</definedName>
    <definedName name="OSRRefD20_20x" localSheetId="49">'300 &amp; 317'!$D$128:$M$128</definedName>
    <definedName name="OSRRefD20_20x" localSheetId="50">'301'!$D$88:$M$88</definedName>
    <definedName name="OSRRefD20_20x" localSheetId="71">'310 &amp; 491'!$D$103:$M$103</definedName>
    <definedName name="OSRRefD20_20x" localSheetId="56">'331'!$D$109:$M$109</definedName>
    <definedName name="OSRRefD20_20x" localSheetId="54">'333'!$D$113:$M$113</definedName>
    <definedName name="OSRRefD20_20x" localSheetId="72">'491'!$D$101:$M$101</definedName>
    <definedName name="OSRRefD20_20x" localSheetId="47">'Div 3'!$D$128:$M$128</definedName>
    <definedName name="OSRRefD20_20x" localSheetId="70">'Div 4'!$D$104:$M$104</definedName>
    <definedName name="OSRRefD20_20x" localSheetId="2">Summary!$D$133:$M$133</definedName>
    <definedName name="OSRRefD20_21x" localSheetId="48">'300'!$D$130:$M$130</definedName>
    <definedName name="OSRRefD20_21x" localSheetId="49">'300 &amp; 317'!$D$136:$M$136</definedName>
    <definedName name="OSRRefD20_21x" localSheetId="50">'301'!$D$90:$M$90</definedName>
    <definedName name="OSRRefD20_21x" localSheetId="56">'331'!$D$111:$M$111</definedName>
    <definedName name="OSRRefD20_21x" localSheetId="54">'333'!$D$115:$M$115</definedName>
    <definedName name="OSRRefD20_21x" localSheetId="47">'Div 3'!$D$131:$M$131</definedName>
    <definedName name="OSRRefD20_21x" localSheetId="70">'Div 4'!$D$106:$M$106</definedName>
    <definedName name="OSRRefD20_21x" localSheetId="2">Summary!$D$139:$M$139</definedName>
    <definedName name="OSRRefD20_22x" localSheetId="48">'300'!$D$133:$M$133</definedName>
    <definedName name="OSRRefD20_22x" localSheetId="49">'300 &amp; 317'!$D$139:$M$139</definedName>
    <definedName name="OSRRefD20_22x" localSheetId="50">'301'!$D$93:$M$93</definedName>
    <definedName name="OSRRefD20_22x" localSheetId="56">'331'!$D$114:$M$114</definedName>
    <definedName name="OSRRefD20_22x" localSheetId="54">'333'!$D$118:$M$118</definedName>
    <definedName name="OSRRefD20_22x" localSheetId="47">'Div 3'!$D$139:$M$139</definedName>
    <definedName name="OSRRefD20_22x" localSheetId="70">'Div 4'!$D$109:$M$109</definedName>
    <definedName name="OSRRefD20_22x" localSheetId="2">Summary!$D$142:$M$142</definedName>
    <definedName name="OSRRefD20_23x" localSheetId="48">'300'!$D$135:$M$135</definedName>
    <definedName name="OSRRefD20_23x" localSheetId="49">'300 &amp; 317'!$D$141:$M$141</definedName>
    <definedName name="OSRRefD20_23x" localSheetId="47">'Div 3'!$D$142:$M$142</definedName>
    <definedName name="OSRRefD20_23x" localSheetId="2">Summary!$D$153:$M$153</definedName>
    <definedName name="OSRRefD20_24x" localSheetId="48">'300'!$D$139:$M$139</definedName>
    <definedName name="OSRRefD20_24x" localSheetId="49">'300 &amp; 317'!$D$145:$M$145</definedName>
    <definedName name="OSRRefD20_24x" localSheetId="47">'Div 3'!$D$144:$M$144</definedName>
    <definedName name="OSRRefD20_24x" localSheetId="2">Summary!$D$156:$M$156</definedName>
    <definedName name="OSRRefD20_25x" localSheetId="47">'Div 3'!$D$148:$M$148</definedName>
    <definedName name="OSRRefD20_25x" localSheetId="2">Summary!$D$158:$M$158</definedName>
    <definedName name="OSRRefD20_26x" localSheetId="2">Summary!$D$162:$M$162</definedName>
    <definedName name="OSRRefD20_2x" localSheetId="40">'200'!$D$22:$M$22</definedName>
    <definedName name="OSRRefD20_2x" localSheetId="41">'201'!$D$39:$M$39</definedName>
    <definedName name="OSRRefD20_2x" localSheetId="42">'202'!$D$39:$M$39</definedName>
    <definedName name="OSRRefD20_2x" localSheetId="43">'203'!$D$40:$M$40</definedName>
    <definedName name="OSRRefD20_2x" localSheetId="44">'204'!$D$39:$M$39</definedName>
    <definedName name="OSRRefD20_2x" localSheetId="45">'205'!$D$39:$M$39</definedName>
    <definedName name="OSRRefD20_2x" localSheetId="46">'206'!$D$39:$M$39</definedName>
    <definedName name="OSRRefD20_2x" localSheetId="48">'300'!$D$74:$M$74</definedName>
    <definedName name="OSRRefD20_2x" localSheetId="49">'300 &amp; 317'!$D$80:$M$80</definedName>
    <definedName name="OSRRefD20_2x" localSheetId="50">'301'!$D$41:$M$41</definedName>
    <definedName name="OSRRefD20_2x" localSheetId="55">'307'!$D$53:$M$53</definedName>
    <definedName name="OSRRefD20_2x" localSheetId="51">'308'!$D$55:$M$55</definedName>
    <definedName name="OSRRefD20_2x" localSheetId="64">'309'!$D$30:$M$30</definedName>
    <definedName name="OSRRefD20_2x" localSheetId="63">'310'!$D$49:$M$49</definedName>
    <definedName name="OSRRefD20_2x" localSheetId="71">'310 &amp; 491'!$D$49:$M$49</definedName>
    <definedName name="OSRRefD20_2x" localSheetId="52">'311'!$D$55:$M$55</definedName>
    <definedName name="OSRRefD20_2x" localSheetId="65">'313'!$D$22:$M$22</definedName>
    <definedName name="OSRRefD20_2x" localSheetId="57">'315'!$D$63:$M$63</definedName>
    <definedName name="OSRRefD20_2x" localSheetId="60">'316'!$D$46:$M$46</definedName>
    <definedName name="OSRRefD20_2x" localSheetId="62">'317'!$D$55:$M$55</definedName>
    <definedName name="OSRRefD20_2x" localSheetId="66">'321'!$D$44:$M$44</definedName>
    <definedName name="OSRRefD20_2x" localSheetId="68">'325'!$D$44:$M$44</definedName>
    <definedName name="OSRRefD20_2x" localSheetId="58">'326'!$D$47:$M$47</definedName>
    <definedName name="OSRRefD20_2x" localSheetId="56">'331'!$D$63:$M$63</definedName>
    <definedName name="OSRRefD20_2x" localSheetId="59">'332'!$D$46:$M$46</definedName>
    <definedName name="OSRRefD20_2x" localSheetId="54">'333'!$D$65:$M$65</definedName>
    <definedName name="OSRRefD20_2x" localSheetId="73">'405'!$D$46:$M$46</definedName>
    <definedName name="OSRRefD20_2x" localSheetId="75">'411'!$D$39:$M$39</definedName>
    <definedName name="OSRRefD20_2x" localSheetId="76">'412'!$D$22:$M$22</definedName>
    <definedName name="OSRRefD20_2x" localSheetId="79">'415'!$D$47:$M$47</definedName>
    <definedName name="OSRRefD20_2x" localSheetId="80">'418'!$D$43:$M$43</definedName>
    <definedName name="OSRRefD20_2x" localSheetId="81">'423'!$D$38:$M$38</definedName>
    <definedName name="OSRRefD20_2x" localSheetId="83">'425'!$D$24:$M$24</definedName>
    <definedName name="OSRRefD20_2x" localSheetId="86">'430'!$D$39:$M$39</definedName>
    <definedName name="OSRRefD20_2x" localSheetId="87">'433'!$D$47:$M$47</definedName>
    <definedName name="OSRRefD20_2x" localSheetId="88">'435'!$D$26:$M$26</definedName>
    <definedName name="OSRRefD20_2x" localSheetId="89">'444'!$D$47:$M$47</definedName>
    <definedName name="OSRRefD20_2x" localSheetId="90">'450'!$D$47:$M$47</definedName>
    <definedName name="OSRRefD20_2x" localSheetId="72">'491'!$D$48:$M$48</definedName>
    <definedName name="OSRRefD20_2x" localSheetId="85">'492'!$D$49:$M$49</definedName>
    <definedName name="OSRRefD20_2x" localSheetId="92">'501'!$D$41:$M$41</definedName>
    <definedName name="OSRRefD20_2x" localSheetId="39">'Div 2'!$D$41:$M$41</definedName>
    <definedName name="OSRRefD20_2x" localSheetId="47">'Div 3'!$D$80:$M$80</definedName>
    <definedName name="OSRRefD20_2x" localSheetId="70">'Div 4'!$D$51:$M$51</definedName>
    <definedName name="OSRRefD20_2x" localSheetId="91">'Div 5'!$D$41:$M$41</definedName>
    <definedName name="OSRRefD20_2x" localSheetId="61">'Div 6'!$D$55:$M$55</definedName>
    <definedName name="OSRRefD20_2x" localSheetId="2">Summary!$D$88:$M$88</definedName>
    <definedName name="OSRRefD20_3x" localSheetId="40">'200'!$D$24:$M$24</definedName>
    <definedName name="OSRRefD20_3x" localSheetId="41">'201'!$D$41:$M$41</definedName>
    <definedName name="OSRRefD20_3x" localSheetId="42">'202'!$D$41:$M$41</definedName>
    <definedName name="OSRRefD20_3x" localSheetId="43">'203'!$D$42:$M$42</definedName>
    <definedName name="OSRRefD20_3x" localSheetId="44">'204'!$D$42:$M$42</definedName>
    <definedName name="OSRRefD20_3x" localSheetId="45">'205'!$D$41:$M$41</definedName>
    <definedName name="OSRRefD20_3x" localSheetId="46">'206'!$D$41:$M$41</definedName>
    <definedName name="OSRRefD20_3x" localSheetId="48">'300'!$D$76:$M$76</definedName>
    <definedName name="OSRRefD20_3x" localSheetId="49">'300 &amp; 317'!$D$82:$M$82</definedName>
    <definedName name="OSRRefD20_3x" localSheetId="50">'301'!$D$43:$M$43</definedName>
    <definedName name="OSRRefD20_3x" localSheetId="55">'307'!$D$55:$M$55</definedName>
    <definedName name="OSRRefD20_3x" localSheetId="51">'308'!$D$57:$M$57</definedName>
    <definedName name="OSRRefD20_3x" localSheetId="64">'309'!$D$32:$M$32</definedName>
    <definedName name="OSRRefD20_3x" localSheetId="63">'310'!$D$51:$M$51</definedName>
    <definedName name="OSRRefD20_3x" localSheetId="71">'310 &amp; 491'!$D$51:$M$51</definedName>
    <definedName name="OSRRefD20_3x" localSheetId="52">'311'!$D$57:$M$57</definedName>
    <definedName name="OSRRefD20_3x" localSheetId="57">'315'!$D$65:$M$65</definedName>
    <definedName name="OSRRefD20_3x" localSheetId="60">'316'!$D$48:$M$48</definedName>
    <definedName name="OSRRefD20_3x" localSheetId="62">'317'!$D$57:$M$57</definedName>
    <definedName name="OSRRefD20_3x" localSheetId="66">'321'!$D$46:$M$46</definedName>
    <definedName name="OSRRefD20_3x" localSheetId="68">'325'!$D$46:$M$46</definedName>
    <definedName name="OSRRefD20_3x" localSheetId="58">'326'!$D$49:$M$49</definedName>
    <definedName name="OSRRefD20_3x" localSheetId="56">'331'!$D$65:$M$65</definedName>
    <definedName name="OSRRefD20_3x" localSheetId="59">'332'!$D$48:$M$48</definedName>
    <definedName name="OSRRefD20_3x" localSheetId="54">'333'!$D$67:$M$67</definedName>
    <definedName name="OSRRefD20_3x" localSheetId="73">'405'!$D$48:$M$48</definedName>
    <definedName name="OSRRefD20_3x" localSheetId="75">'411'!$D$41:$M$41</definedName>
    <definedName name="OSRRefD20_3x" localSheetId="76">'412'!$D$24:$M$24</definedName>
    <definedName name="OSRRefD20_3x" localSheetId="79">'415'!$D$49:$M$49</definedName>
    <definedName name="OSRRefD20_3x" localSheetId="80">'418'!$D$45:$M$45</definedName>
    <definedName name="OSRRefD20_3x" localSheetId="81">'423'!$D$40:$M$40</definedName>
    <definedName name="OSRRefD20_3x" localSheetId="83">'425'!$D$26:$M$26</definedName>
    <definedName name="OSRRefD20_3x" localSheetId="86">'430'!$D$41:$M$41</definedName>
    <definedName name="OSRRefD20_3x" localSheetId="87">'433'!$D$49:$M$49</definedName>
    <definedName name="OSRRefD20_3x" localSheetId="88">'435'!$D$28:$M$28</definedName>
    <definedName name="OSRRefD20_3x" localSheetId="89">'444'!$D$49:$M$49</definedName>
    <definedName name="OSRRefD20_3x" localSheetId="90">'450'!$D$49:$M$49</definedName>
    <definedName name="OSRRefD20_3x" localSheetId="72">'491'!$D$50:$M$50</definedName>
    <definedName name="OSRRefD20_3x" localSheetId="85">'492'!$D$51:$M$51</definedName>
    <definedName name="OSRRefD20_3x" localSheetId="92">'501'!$D$43:$M$43</definedName>
    <definedName name="OSRRefD20_3x" localSheetId="39">'Div 2'!$D$43:$M$43</definedName>
    <definedName name="OSRRefD20_3x" localSheetId="47">'Div 3'!$D$82:$M$82</definedName>
    <definedName name="OSRRefD20_3x" localSheetId="70">'Div 4'!$D$53:$M$53</definedName>
    <definedName name="OSRRefD20_3x" localSheetId="91">'Div 5'!$D$43:$M$43</definedName>
    <definedName name="OSRRefD20_3x" localSheetId="61">'Div 6'!$D$57:$M$57</definedName>
    <definedName name="OSRRefD20_3x" localSheetId="2">Summary!$D$90:$M$90</definedName>
    <definedName name="OSRRefD20_4x" localSheetId="41">'201'!$D$43:$M$43</definedName>
    <definedName name="OSRRefD20_4x" localSheetId="42">'202'!$D$43:$M$43</definedName>
    <definedName name="OSRRefD20_4x" localSheetId="43">'203'!$D$44:$M$44</definedName>
    <definedName name="OSRRefD20_4x" localSheetId="44">'204'!$D$44:$M$44</definedName>
    <definedName name="OSRRefD20_4x" localSheetId="45">'205'!$D$43:$M$43</definedName>
    <definedName name="OSRRefD20_4x" localSheetId="46">'206'!$D$44:$M$44</definedName>
    <definedName name="OSRRefD20_4x" localSheetId="48">'300'!$D$78:$M$78</definedName>
    <definedName name="OSRRefD20_4x" localSheetId="49">'300 &amp; 317'!$D$84:$M$84</definedName>
    <definedName name="OSRRefD20_4x" localSheetId="50">'301'!$D$45:$M$45</definedName>
    <definedName name="OSRRefD20_4x" localSheetId="55">'307'!$D$57:$M$57</definedName>
    <definedName name="OSRRefD20_4x" localSheetId="51">'308'!$D$59:$M$59</definedName>
    <definedName name="OSRRefD20_4x" localSheetId="64">'309'!$D$34:$M$34</definedName>
    <definedName name="OSRRefD20_4x" localSheetId="63">'310'!$D$53:$M$53</definedName>
    <definedName name="OSRRefD20_4x" localSheetId="71">'310 &amp; 491'!$D$53:$M$53</definedName>
    <definedName name="OSRRefD20_4x" localSheetId="52">'311'!$D$59:$M$59</definedName>
    <definedName name="OSRRefD20_4x" localSheetId="57">'315'!$D$67:$M$67</definedName>
    <definedName name="OSRRefD20_4x" localSheetId="60">'316'!$D$50:$M$50</definedName>
    <definedName name="OSRRefD20_4x" localSheetId="62">'317'!$D$59:$M$59</definedName>
    <definedName name="OSRRefD20_4x" localSheetId="66">'321'!$D$48:$M$48</definedName>
    <definedName name="OSRRefD20_4x" localSheetId="68">'325'!$D$48:$M$48</definedName>
    <definedName name="OSRRefD20_4x" localSheetId="58">'326'!$D$51:$M$51</definedName>
    <definedName name="OSRRefD20_4x" localSheetId="56">'331'!$D$67:$M$67</definedName>
    <definedName name="OSRRefD20_4x" localSheetId="59">'332'!$D$50:$M$50</definedName>
    <definedName name="OSRRefD20_4x" localSheetId="54">'333'!$D$69:$M$69</definedName>
    <definedName name="OSRRefD20_4x" localSheetId="73">'405'!$D$50:$M$50</definedName>
    <definedName name="OSRRefD20_4x" localSheetId="75">'411'!$D$44:$M$44</definedName>
    <definedName name="OSRRefD20_4x" localSheetId="79">'415'!$D$51:$M$51</definedName>
    <definedName name="OSRRefD20_4x" localSheetId="80">'418'!$D$47:$M$47</definedName>
    <definedName name="OSRRefD20_4x" localSheetId="81">'423'!$D$42:$M$42</definedName>
    <definedName name="OSRRefD20_4x" localSheetId="83">'425'!$D$28:$M$28</definedName>
    <definedName name="OSRRefD20_4x" localSheetId="86">'430'!$D$43:$M$43</definedName>
    <definedName name="OSRRefD20_4x" localSheetId="87">'433'!$D$51:$M$51</definedName>
    <definedName name="OSRRefD20_4x" localSheetId="88">'435'!$D$30:$M$30</definedName>
    <definedName name="OSRRefD20_4x" localSheetId="89">'444'!$D$51:$M$51</definedName>
    <definedName name="OSRRefD20_4x" localSheetId="90">'450'!$D$51:$M$51</definedName>
    <definedName name="OSRRefD20_4x" localSheetId="72">'491'!$D$52:$M$52</definedName>
    <definedName name="OSRRefD20_4x" localSheetId="85">'492'!$D$53:$M$53</definedName>
    <definedName name="OSRRefD20_4x" localSheetId="92">'501'!$D$45:$M$45</definedName>
    <definedName name="OSRRefD20_4x" localSheetId="39">'Div 2'!$D$45:$M$45</definedName>
    <definedName name="OSRRefD20_4x" localSheetId="47">'Div 3'!$D$84:$M$84</definedName>
    <definedName name="OSRRefD20_4x" localSheetId="70">'Div 4'!$D$55:$M$55</definedName>
    <definedName name="OSRRefD20_4x" localSheetId="91">'Div 5'!$D$45:$M$45</definedName>
    <definedName name="OSRRefD20_4x" localSheetId="61">'Div 6'!$D$59:$M$59</definedName>
    <definedName name="OSRRefD20_4x" localSheetId="2">Summary!$D$92:$M$92</definedName>
    <definedName name="OSRRefD20_5x" localSheetId="41">'201'!$D$45:$M$45</definedName>
    <definedName name="OSRRefD20_5x" localSheetId="42">'202'!$D$45:$M$45</definedName>
    <definedName name="OSRRefD20_5x" localSheetId="43">'203'!$D$46:$M$46</definedName>
    <definedName name="OSRRefD20_5x" localSheetId="44">'204'!$D$49:$M$49</definedName>
    <definedName name="OSRRefD20_5x" localSheetId="45">'205'!$D$46:$M$46</definedName>
    <definedName name="OSRRefD20_5x" localSheetId="46">'206'!$D$46:$M$46</definedName>
    <definedName name="OSRRefD20_5x" localSheetId="48">'300'!$D$80:$M$80</definedName>
    <definedName name="OSRRefD20_5x" localSheetId="49">'300 &amp; 317'!$D$86:$M$86</definedName>
    <definedName name="OSRRefD20_5x" localSheetId="50">'301'!$D$47:$M$47</definedName>
    <definedName name="OSRRefD20_5x" localSheetId="55">'307'!$D$59:$M$59</definedName>
    <definedName name="OSRRefD20_5x" localSheetId="51">'308'!$D$61:$M$61</definedName>
    <definedName name="OSRRefD20_5x" localSheetId="64">'309'!$D$36:$M$36</definedName>
    <definedName name="OSRRefD20_5x" localSheetId="63">'310'!$D$55:$M$55</definedName>
    <definedName name="OSRRefD20_5x" localSheetId="71">'310 &amp; 491'!$D$55:$M$55</definedName>
    <definedName name="OSRRefD20_5x" localSheetId="52">'311'!$D$61:$M$61</definedName>
    <definedName name="OSRRefD20_5x" localSheetId="57">'315'!$D$69:$M$69</definedName>
    <definedName name="OSRRefD20_5x" localSheetId="60">'316'!$D$52:$M$52</definedName>
    <definedName name="OSRRefD20_5x" localSheetId="62">'317'!$D$61:$M$61</definedName>
    <definedName name="OSRRefD20_5x" localSheetId="66">'321'!$D$50:$M$50</definedName>
    <definedName name="OSRRefD20_5x" localSheetId="68">'325'!$D$50:$M$50</definedName>
    <definedName name="OSRRefD20_5x" localSheetId="58">'326'!$D$53:$M$53</definedName>
    <definedName name="OSRRefD20_5x" localSheetId="56">'331'!$D$69:$M$69</definedName>
    <definedName name="OSRRefD20_5x" localSheetId="59">'332'!$D$52:$M$52</definedName>
    <definedName name="OSRRefD20_5x" localSheetId="54">'333'!$D$71:$M$71</definedName>
    <definedName name="OSRRefD20_5x" localSheetId="73">'405'!$D$52:$M$52</definedName>
    <definedName name="OSRRefD20_5x" localSheetId="75">'411'!$D$46:$M$46</definedName>
    <definedName name="OSRRefD20_5x" localSheetId="79">'415'!$D$53:$M$53</definedName>
    <definedName name="OSRRefD20_5x" localSheetId="80">'418'!$D$50:$M$50</definedName>
    <definedName name="OSRRefD20_5x" localSheetId="86">'430'!$D$45:$M$45</definedName>
    <definedName name="OSRRefD20_5x" localSheetId="87">'433'!$D$53:$M$53</definedName>
    <definedName name="OSRRefD20_5x" localSheetId="89">'444'!$D$53:$M$53</definedName>
    <definedName name="OSRRefD20_5x" localSheetId="90">'450'!$D$53:$M$53</definedName>
    <definedName name="OSRRefD20_5x" localSheetId="72">'491'!$D$54:$M$54</definedName>
    <definedName name="OSRRefD20_5x" localSheetId="85">'492'!$D$55:$M$55</definedName>
    <definedName name="OSRRefD20_5x" localSheetId="92">'501'!$D$47:$M$47</definedName>
    <definedName name="OSRRefD20_5x" localSheetId="39">'Div 2'!$D$47:$M$47</definedName>
    <definedName name="OSRRefD20_5x" localSheetId="47">'Div 3'!$D$86:$M$86</definedName>
    <definedName name="OSRRefD20_5x" localSheetId="70">'Div 4'!$D$57:$M$57</definedName>
    <definedName name="OSRRefD20_5x" localSheetId="91">'Div 5'!$D$47:$M$47</definedName>
    <definedName name="OSRRefD20_5x" localSheetId="61">'Div 6'!$D$61:$M$61</definedName>
    <definedName name="OSRRefD20_5x" localSheetId="2">Summary!$D$94:$M$94</definedName>
    <definedName name="OSRRefD20_6x" localSheetId="41">'201'!$D$47:$M$47</definedName>
    <definedName name="OSRRefD20_6x" localSheetId="42">'202'!$D$47:$M$47</definedName>
    <definedName name="OSRRefD20_6x" localSheetId="43">'203'!$D$48:$M$48</definedName>
    <definedName name="OSRRefD20_6x" localSheetId="44">'204'!$D$51:$M$51</definedName>
    <definedName name="OSRRefD20_6x" localSheetId="45">'205'!$D$48:$M$48</definedName>
    <definedName name="OSRRefD20_6x" localSheetId="48">'300'!$D$83:$M$83</definedName>
    <definedName name="OSRRefD20_6x" localSheetId="49">'300 &amp; 317'!$D$89:$M$89</definedName>
    <definedName name="OSRRefD20_6x" localSheetId="50">'301'!$D$50:$M$50</definedName>
    <definedName name="OSRRefD20_6x" localSheetId="55">'307'!$D$61:$M$61</definedName>
    <definedName name="OSRRefD20_6x" localSheetId="51">'308'!$D$63:$M$63</definedName>
    <definedName name="OSRRefD20_6x" localSheetId="64">'309'!$D$38:$M$38</definedName>
    <definedName name="OSRRefD20_6x" localSheetId="63">'310'!$D$58:$M$58</definedName>
    <definedName name="OSRRefD20_6x" localSheetId="71">'310 &amp; 491'!$D$58:$M$58</definedName>
    <definedName name="OSRRefD20_6x" localSheetId="52">'311'!$D$63:$M$63</definedName>
    <definedName name="OSRRefD20_6x" localSheetId="57">'315'!$D$71:$M$71</definedName>
    <definedName name="OSRRefD20_6x" localSheetId="60">'316'!$D$55:$M$55</definedName>
    <definedName name="OSRRefD20_6x" localSheetId="62">'317'!$D$63:$M$63</definedName>
    <definedName name="OSRRefD20_6x" localSheetId="66">'321'!$D$52:$M$52</definedName>
    <definedName name="OSRRefD20_6x" localSheetId="68">'325'!$D$53:$M$53</definedName>
    <definedName name="OSRRefD20_6x" localSheetId="58">'326'!$D$55:$M$55</definedName>
    <definedName name="OSRRefD20_6x" localSheetId="56">'331'!$D$71:$M$71</definedName>
    <definedName name="OSRRefD20_6x" localSheetId="59">'332'!$D$55:$M$55</definedName>
    <definedName name="OSRRefD20_6x" localSheetId="54">'333'!$D$73:$M$73</definedName>
    <definedName name="OSRRefD20_6x" localSheetId="73">'405'!$D$55:$M$55</definedName>
    <definedName name="OSRRefD20_6x" localSheetId="75">'411'!$D$48:$M$48</definedName>
    <definedName name="OSRRefD20_6x" localSheetId="79">'415'!$D$56:$M$56</definedName>
    <definedName name="OSRRefD20_6x" localSheetId="80">'418'!$D$52:$M$52</definedName>
    <definedName name="OSRRefD20_6x" localSheetId="86">'430'!$D$48:$M$48</definedName>
    <definedName name="OSRRefD20_6x" localSheetId="87">'433'!$D$55:$M$55</definedName>
    <definedName name="OSRRefD20_6x" localSheetId="89">'444'!$D$55:$M$55</definedName>
    <definedName name="OSRRefD20_6x" localSheetId="90">'450'!$D$55:$M$55</definedName>
    <definedName name="OSRRefD20_6x" localSheetId="72">'491'!$D$57:$M$57</definedName>
    <definedName name="OSRRefD20_6x" localSheetId="85">'492'!$D$57:$M$57</definedName>
    <definedName name="OSRRefD20_6x" localSheetId="92">'501'!$D$50:$M$50</definedName>
    <definedName name="OSRRefD20_6x" localSheetId="39">'Div 2'!$D$50:$M$50</definedName>
    <definedName name="OSRRefD20_6x" localSheetId="47">'Div 3'!$D$89:$M$89</definedName>
    <definedName name="OSRRefD20_6x" localSheetId="70">'Div 4'!$D$60:$M$60</definedName>
    <definedName name="OSRRefD20_6x" localSheetId="91">'Div 5'!$D$50:$M$50</definedName>
    <definedName name="OSRRefD20_6x" localSheetId="61">'Div 6'!$D$63:$M$63</definedName>
    <definedName name="OSRRefD20_6x" localSheetId="2">Summary!$D$97:$M$97</definedName>
    <definedName name="OSRRefD20_7x" localSheetId="41">'201'!$D$49:$M$49</definedName>
    <definedName name="OSRRefD20_7x" localSheetId="42">'202'!$D$49:$M$49</definedName>
    <definedName name="OSRRefD20_7x" localSheetId="43">'203'!$D$50:$M$50</definedName>
    <definedName name="OSRRefD20_7x" localSheetId="44">'204'!$D$54:$M$54</definedName>
    <definedName name="OSRRefD20_7x" localSheetId="45">'205'!$D$51:$M$51</definedName>
    <definedName name="OSRRefD20_7x" localSheetId="48">'300'!$D$86:$M$86</definedName>
    <definedName name="OSRRefD20_7x" localSheetId="49">'300 &amp; 317'!$D$92:$M$92</definedName>
    <definedName name="OSRRefD20_7x" localSheetId="50">'301'!$D$53:$M$53</definedName>
    <definedName name="OSRRefD20_7x" localSheetId="55">'307'!$D$63:$M$63</definedName>
    <definedName name="OSRRefD20_7x" localSheetId="51">'308'!$D$66:$M$66</definedName>
    <definedName name="OSRRefD20_7x" localSheetId="64">'309'!$D$40:$M$40</definedName>
    <definedName name="OSRRefD20_7x" localSheetId="63">'310'!$D$60:$M$60</definedName>
    <definedName name="OSRRefD20_7x" localSheetId="71">'310 &amp; 491'!$D$60:$M$60</definedName>
    <definedName name="OSRRefD20_7x" localSheetId="52">'311'!$D$66:$M$66</definedName>
    <definedName name="OSRRefD20_7x" localSheetId="57">'315'!$D$73:$M$73</definedName>
    <definedName name="OSRRefD20_7x" localSheetId="60">'316'!$D$57:$M$57</definedName>
    <definedName name="OSRRefD20_7x" localSheetId="62">'317'!$D$65:$M$65</definedName>
    <definedName name="OSRRefD20_7x" localSheetId="66">'321'!$D$54:$M$54</definedName>
    <definedName name="OSRRefD20_7x" localSheetId="68">'325'!$D$55:$M$55</definedName>
    <definedName name="OSRRefD20_7x" localSheetId="58">'326'!$D$57:$M$57</definedName>
    <definedName name="OSRRefD20_7x" localSheetId="56">'331'!$D$73:$M$73</definedName>
    <definedName name="OSRRefD20_7x" localSheetId="59">'332'!$D$57:$M$57</definedName>
    <definedName name="OSRRefD20_7x" localSheetId="54">'333'!$D$75:$M$75</definedName>
    <definedName name="OSRRefD20_7x" localSheetId="73">'405'!$D$57:$M$57</definedName>
    <definedName name="OSRRefD20_7x" localSheetId="75">'411'!$D$50:$M$50</definedName>
    <definedName name="OSRRefD20_7x" localSheetId="79">'415'!$D$58:$M$58</definedName>
    <definedName name="OSRRefD20_7x" localSheetId="80">'418'!$D$54:$M$54</definedName>
    <definedName name="OSRRefD20_7x" localSheetId="86">'430'!$D$51:$M$51</definedName>
    <definedName name="OSRRefD20_7x" localSheetId="87">'433'!$D$57:$M$57</definedName>
    <definedName name="OSRRefD20_7x" localSheetId="89">'444'!$D$57:$M$57</definedName>
    <definedName name="OSRRefD20_7x" localSheetId="90">'450'!$D$57:$M$57</definedName>
    <definedName name="OSRRefD20_7x" localSheetId="72">'491'!$D$59:$M$59</definedName>
    <definedName name="OSRRefD20_7x" localSheetId="85">'492'!$D$59:$M$59</definedName>
    <definedName name="OSRRefD20_7x" localSheetId="92">'501'!$D$52:$M$52</definedName>
    <definedName name="OSRRefD20_7x" localSheetId="39">'Div 2'!$D$52:$M$52</definedName>
    <definedName name="OSRRefD20_7x" localSheetId="47">'Div 3'!$D$92:$M$92</definedName>
    <definedName name="OSRRefD20_7x" localSheetId="70">'Div 4'!$D$62:$M$62</definedName>
    <definedName name="OSRRefD20_7x" localSheetId="91">'Div 5'!$D$52:$M$52</definedName>
    <definedName name="OSRRefD20_7x" localSheetId="61">'Div 6'!$D$65:$M$65</definedName>
    <definedName name="OSRRefD20_7x" localSheetId="2">Summary!$D$100:$M$100</definedName>
    <definedName name="OSRRefD20_8x" localSheetId="41">'201'!$D$51:$M$51</definedName>
    <definedName name="OSRRefD20_8x" localSheetId="42">'202'!$D$53:$M$53</definedName>
    <definedName name="OSRRefD20_8x" localSheetId="43">'203'!$D$52:$M$52</definedName>
    <definedName name="OSRRefD20_8x" localSheetId="44">'204'!$D$56:$M$56</definedName>
    <definedName name="OSRRefD20_8x" localSheetId="48">'300'!$D$88:$M$88</definedName>
    <definedName name="OSRRefD20_8x" localSheetId="49">'300 &amp; 317'!$D$94:$M$94</definedName>
    <definedName name="OSRRefD20_8x" localSheetId="50">'301'!$D$55:$M$55</definedName>
    <definedName name="OSRRefD20_8x" localSheetId="55">'307'!$D$65:$M$65</definedName>
    <definedName name="OSRRefD20_8x" localSheetId="51">'308'!$D$68:$M$68</definedName>
    <definedName name="OSRRefD20_8x" localSheetId="64">'309'!$D$42:$M$42</definedName>
    <definedName name="OSRRefD20_8x" localSheetId="63">'310'!$D$62:$M$62</definedName>
    <definedName name="OSRRefD20_8x" localSheetId="71">'310 &amp; 491'!$D$62:$M$62</definedName>
    <definedName name="OSRRefD20_8x" localSheetId="52">'311'!$D$68:$M$68</definedName>
    <definedName name="OSRRefD20_8x" localSheetId="57">'315'!$D$75:$M$75</definedName>
    <definedName name="OSRRefD20_8x" localSheetId="60">'316'!$D$60:$M$60</definedName>
    <definedName name="OSRRefD20_8x" localSheetId="62">'317'!$D$67:$M$67</definedName>
    <definedName name="OSRRefD20_8x" localSheetId="66">'321'!$D$57:$M$57</definedName>
    <definedName name="OSRRefD20_8x" localSheetId="68">'325'!$D$57:$M$57</definedName>
    <definedName name="OSRRefD20_8x" localSheetId="58">'326'!$D$59:$M$59</definedName>
    <definedName name="OSRRefD20_8x" localSheetId="56">'331'!$D$75:$M$75</definedName>
    <definedName name="OSRRefD20_8x" localSheetId="59">'332'!$D$60:$M$60</definedName>
    <definedName name="OSRRefD20_8x" localSheetId="54">'333'!$D$77:$M$77</definedName>
    <definedName name="OSRRefD20_8x" localSheetId="73">'405'!$D$59:$M$59</definedName>
    <definedName name="OSRRefD20_8x" localSheetId="75">'411'!$D$52:$M$52</definedName>
    <definedName name="OSRRefD20_8x" localSheetId="79">'415'!$D$60:$M$60</definedName>
    <definedName name="OSRRefD20_8x" localSheetId="80">'418'!$D$56:$M$56</definedName>
    <definedName name="OSRRefD20_8x" localSheetId="86">'430'!$D$53:$M$53</definedName>
    <definedName name="OSRRefD20_8x" localSheetId="87">'433'!$D$59:$M$59</definedName>
    <definedName name="OSRRefD20_8x" localSheetId="89">'444'!$D$59:$M$59</definedName>
    <definedName name="OSRRefD20_8x" localSheetId="90">'450'!$D$59:$M$59</definedName>
    <definedName name="OSRRefD20_8x" localSheetId="72">'491'!$D$61:$M$61</definedName>
    <definedName name="OSRRefD20_8x" localSheetId="85">'492'!$D$61:$M$61</definedName>
    <definedName name="OSRRefD20_8x" localSheetId="92">'501'!$D$54:$M$54</definedName>
    <definedName name="OSRRefD20_8x" localSheetId="39">'Div 2'!$D$54:$M$54</definedName>
    <definedName name="OSRRefD20_8x" localSheetId="47">'Div 3'!$D$94:$M$94</definedName>
    <definedName name="OSRRefD20_8x" localSheetId="70">'Div 4'!$D$64:$M$64</definedName>
    <definedName name="OSRRefD20_8x" localSheetId="91">'Div 5'!$D$54:$M$54</definedName>
    <definedName name="OSRRefD20_8x" localSheetId="61">'Div 6'!$D$67:$M$67</definedName>
    <definedName name="OSRRefD20_8x" localSheetId="2">Summary!$D$102:$M$102</definedName>
    <definedName name="OSRRefD20_9x" localSheetId="41">'201'!$D$53:$M$53</definedName>
    <definedName name="OSRRefD20_9x" localSheetId="42">'202'!$D$55:$M$55</definedName>
    <definedName name="OSRRefD20_9x" localSheetId="43">'203'!$D$56:$M$56</definedName>
    <definedName name="OSRRefD20_9x" localSheetId="48">'300'!$D$90:$M$90</definedName>
    <definedName name="OSRRefD20_9x" localSheetId="49">'300 &amp; 317'!$D$96:$M$96</definedName>
    <definedName name="OSRRefD20_9x" localSheetId="50">'301'!$D$57:$M$57</definedName>
    <definedName name="OSRRefD20_9x" localSheetId="55">'307'!$D$67:$M$67</definedName>
    <definedName name="OSRRefD20_9x" localSheetId="51">'308'!$D$70:$M$70</definedName>
    <definedName name="OSRRefD20_9x" localSheetId="64">'309'!$D$45:$M$45</definedName>
    <definedName name="OSRRefD20_9x" localSheetId="63">'310'!$D$64:$M$64</definedName>
    <definedName name="OSRRefD20_9x" localSheetId="71">'310 &amp; 491'!$D$64:$M$64</definedName>
    <definedName name="OSRRefD20_9x" localSheetId="52">'311'!$D$70:$M$70</definedName>
    <definedName name="OSRRefD20_9x" localSheetId="57">'315'!$D$78:$M$78</definedName>
    <definedName name="OSRRefD20_9x" localSheetId="60">'316'!$D$62:$M$62</definedName>
    <definedName name="OSRRefD20_9x" localSheetId="62">'317'!$D$69:$M$69</definedName>
    <definedName name="OSRRefD20_9x" localSheetId="66">'321'!$D$60:$M$60</definedName>
    <definedName name="OSRRefD20_9x" localSheetId="68">'325'!$D$59:$M$59</definedName>
    <definedName name="OSRRefD20_9x" localSheetId="58">'326'!$D$61:$M$61</definedName>
    <definedName name="OSRRefD20_9x" localSheetId="56">'331'!$D$78:$M$78</definedName>
    <definedName name="OSRRefD20_9x" localSheetId="59">'332'!$D$62:$M$62</definedName>
    <definedName name="OSRRefD20_9x" localSheetId="54">'333'!$D$80:$M$80</definedName>
    <definedName name="OSRRefD20_9x" localSheetId="73">'405'!$D$61:$M$61</definedName>
    <definedName name="OSRRefD20_9x" localSheetId="75">'411'!$D$56:$M$56</definedName>
    <definedName name="OSRRefD20_9x" localSheetId="79">'415'!$D$62:$M$62</definedName>
    <definedName name="OSRRefD20_9x" localSheetId="80">'418'!$D$59:$M$59</definedName>
    <definedName name="OSRRefD20_9x" localSheetId="87">'433'!$D$61:$M$61</definedName>
    <definedName name="OSRRefD20_9x" localSheetId="89">'444'!$D$61:$M$61</definedName>
    <definedName name="OSRRefD20_9x" localSheetId="90">'450'!$D$61:$M$61</definedName>
    <definedName name="OSRRefD20_9x" localSheetId="72">'491'!$D$63:$M$63</definedName>
    <definedName name="OSRRefD20_9x" localSheetId="85">'492'!$D$63:$M$63</definedName>
    <definedName name="OSRRefD20_9x" localSheetId="92">'501'!$D$56:$M$56</definedName>
    <definedName name="OSRRefD20_9x" localSheetId="39">'Div 2'!$D$56:$M$56</definedName>
    <definedName name="OSRRefD20_9x" localSheetId="47">'Div 3'!$D$96:$M$96</definedName>
    <definedName name="OSRRefD20_9x" localSheetId="70">'Div 4'!$D$66:$M$66</definedName>
    <definedName name="OSRRefD20_9x" localSheetId="91">'Div 5'!$D$56:$M$56</definedName>
    <definedName name="OSRRefD20_9x" localSheetId="61">'Div 6'!$D$69:$M$69</definedName>
    <definedName name="OSRRefD20_9x" localSheetId="2">Summary!$D$104:$M$104</definedName>
    <definedName name="OSRRefD20x_0" localSheetId="40">'200'!$D$18,'200'!$D$20,'200'!$D$22,'200'!$D$24</definedName>
    <definedName name="OSRRefD20x_0" localSheetId="41">'201'!$D$18,'201'!$D$28,'201'!$D$39,'201'!$D$41,'201'!$D$43,'201'!$D$45,'201'!$D$47,'201'!$D$49,'201'!$D$51,'201'!$D$53,'201'!$D$57,'201'!$D$60,'201'!$D$62,'201'!$D$65,'201'!$D$67</definedName>
    <definedName name="OSRRefD20x_0" localSheetId="42">'202'!$D$18,'202'!$D$28,'202'!$D$39,'202'!$D$41,'202'!$D$43,'202'!$D$45,'202'!$D$47,'202'!$D$49,'202'!$D$53,'202'!$D$55,'202'!$D$58,'202'!$D$60,'202'!$D$62</definedName>
    <definedName name="OSRRefD20x_0" localSheetId="43">'203'!$D$18,'203'!$D$29,'203'!$D$40,'203'!$D$42,'203'!$D$44,'203'!$D$46,'203'!$D$48,'203'!$D$50,'203'!$D$52,'203'!$D$56,'203'!$D$59,'203'!$D$62,'203'!$D$67,'203'!$D$69</definedName>
    <definedName name="OSRRefD20x_0" localSheetId="44">'204'!$D$18,'204'!$D$28,'204'!$D$39,'204'!$D$42,'204'!$D$44,'204'!$D$49,'204'!$D$51,'204'!$D$54,'204'!$D$56</definedName>
    <definedName name="OSRRefD20x_0" localSheetId="45">'205'!$D$18,'205'!$D$28,'205'!$D$39,'205'!$D$41,'205'!$D$43,'205'!$D$46,'205'!$D$48,'205'!$D$51</definedName>
    <definedName name="OSRRefD20x_0" localSheetId="46">'206'!$D$18,'206'!$D$28,'206'!$D$39,'206'!$D$41,'206'!$D$44,'206'!$D$46</definedName>
    <definedName name="OSRRefD20x_0" localSheetId="48">'300'!$D$52,'300'!$D$63,'300'!$D$74,'300'!$D$76,'300'!$D$78,'300'!$D$80,'300'!$D$83,'300'!$D$86,'300'!$D$88,'300'!$D$90,'300'!$D$92,'300'!$D$95,'300'!$D$97,'300'!$D$99,'300'!$D$101,'300'!$D$103,'300'!$D$105,'300'!$D$110,'300'!$D$115,'300'!$D$119,'300'!$D$122,'300'!$D$130,'300'!$D$133,'300'!$D$135,'300'!$D$139</definedName>
    <definedName name="OSRRefD20x_0" localSheetId="49">'300 &amp; 317'!$D$58,'300 &amp; 317'!$D$69,'300 &amp; 317'!$D$80,'300 &amp; 317'!$D$82,'300 &amp; 317'!$D$84,'300 &amp; 317'!$D$86,'300 &amp; 317'!$D$89,'300 &amp; 317'!$D$92,'300 &amp; 317'!$D$94,'300 &amp; 317'!$D$96,'300 &amp; 317'!$D$98,'300 &amp; 317'!$D$101,'300 &amp; 317'!$D$103,'300 &amp; 317'!$D$105,'300 &amp; 317'!$D$107,'300 &amp; 317'!$D$109,'300 &amp; 317'!$D$111,'300 &amp; 317'!$D$116,'300 &amp; 317'!$D$121,'300 &amp; 317'!$D$125,'300 &amp; 317'!$D$128,'300 &amp; 317'!$D$136,'300 &amp; 317'!$D$139,'300 &amp; 317'!$D$141,'300 &amp; 317'!$D$145</definedName>
    <definedName name="OSRRefD20x_0" localSheetId="50">'301'!$D$19,'301'!$D$30,'301'!$D$41,'301'!$D$43,'301'!$D$45,'301'!$D$47,'301'!$D$50,'301'!$D$53,'301'!$D$55,'301'!$D$57,'301'!$D$59,'301'!$D$61,'301'!$D$63,'301'!$D$65,'301'!$D$67,'301'!$D$69,'301'!$D$74,'301'!$D$77,'301'!$D$79,'301'!$D$86,'301'!$D$88,'301'!$D$90,'301'!$D$93</definedName>
    <definedName name="OSRRefD20x_0" localSheetId="55">'307'!$D$32,'307'!$D$42,'307'!$D$53,'307'!$D$55,'307'!$D$57,'307'!$D$59,'307'!$D$61,'307'!$D$63,'307'!$D$65,'307'!$D$67,'307'!$D$70,'307'!$D$73,'307'!$D$75,'307'!$D$80</definedName>
    <definedName name="OSRRefD20x_0" localSheetId="51">'308'!$D$33,'308'!$D$44,'308'!$D$55,'308'!$D$57,'308'!$D$59,'308'!$D$61,'308'!$D$63,'308'!$D$66,'308'!$D$68,'308'!$D$70,'308'!$D$74,'308'!$D$77,'308'!$D$80,'308'!$D$83</definedName>
    <definedName name="OSRRefD20x_0" localSheetId="64">'309'!$D$24,'309'!$D$27,'309'!$D$30,'309'!$D$32,'309'!$D$34,'309'!$D$36,'309'!$D$38,'309'!$D$40,'309'!$D$42,'309'!$D$45,'309'!$D$48,'309'!$D$51,'309'!$D$53</definedName>
    <definedName name="OSRRefD20x_0" localSheetId="63">'310'!$D$27,'310'!$D$38,'310'!$D$49,'310'!$D$51,'310'!$D$53,'310'!$D$55,'310'!$D$58,'310'!$D$60,'310'!$D$62,'310'!$D$64,'310'!$D$66,'310'!$D$68,'310'!$D$71,'310'!$D$74,'310'!$D$78,'310'!$D$85,'310'!$D$88,'310'!$D$90</definedName>
    <definedName name="OSRRefD20x_0" localSheetId="71">'310 &amp; 491'!$D$27,'310 &amp; 491'!$D$38,'310 &amp; 491'!$D$49,'310 &amp; 491'!$D$51,'310 &amp; 491'!$D$53,'310 &amp; 491'!$D$55,'310 &amp; 491'!$D$58,'310 &amp; 491'!$D$60,'310 &amp; 491'!$D$62,'310 &amp; 491'!$D$64,'310 &amp; 491'!$D$66,'310 &amp; 491'!$D$68,'310 &amp; 491'!$D$70,'310 &amp; 491'!$D$74,'310 &amp; 491'!$D$77,'310 &amp; 491'!$D$83,'310 &amp; 491'!$D$85,'310 &amp; 491'!$D$95,'310 &amp; 491'!$D$98,'310 &amp; 491'!$D$100,'310 &amp; 491'!$D$103</definedName>
    <definedName name="OSRRefD20x_0" localSheetId="52">'311'!$D$33,'311'!$D$44,'311'!$D$55,'311'!$D$57,'311'!$D$59,'311'!$D$61,'311'!$D$63,'311'!$D$66,'311'!$D$68,'311'!$D$70,'311'!$D$74,'311'!$D$77,'311'!$D$80,'311'!$D$83</definedName>
    <definedName name="OSRRefD20x_0" localSheetId="65">'313'!$D$18,'313'!$D$20,'313'!$D$22</definedName>
    <definedName name="OSRRefD20x_0" localSheetId="57">'315'!$D$42,'315'!$D$52,'315'!$D$63,'315'!$D$65,'315'!$D$67,'315'!$D$69,'315'!$D$71,'315'!$D$73,'315'!$D$75,'315'!$D$78,'315'!$D$80,'315'!$D$82,'315'!$D$84,'315'!$D$87,'315'!$D$91,'315'!$D$94,'315'!$D$99,'315'!$D$101,'315'!$D$103</definedName>
    <definedName name="OSRRefD20x_0" localSheetId="60">'316'!$D$25,'316'!$D$35,'316'!$D$46,'316'!$D$48,'316'!$D$50,'316'!$D$52,'316'!$D$55,'316'!$D$57,'316'!$D$60,'316'!$D$62,'316'!$D$64,'316'!$D$70</definedName>
    <definedName name="OSRRefD20x_0" localSheetId="62">'317'!$D$33,'317'!$D$44,'317'!$D$55,'317'!$D$57,'317'!$D$59,'317'!$D$61,'317'!$D$63,'317'!$D$65,'317'!$D$67,'317'!$D$69,'317'!$D$72</definedName>
    <definedName name="OSRRefD20x_0" localSheetId="66">'321'!$D$22,'321'!$D$33,'321'!$D$44,'321'!$D$46,'321'!$D$48,'321'!$D$50,'321'!$D$52,'321'!$D$54,'321'!$D$57,'321'!$D$60,'321'!$D$64,'321'!$D$69,'321'!$D$71</definedName>
    <definedName name="OSRRefD20x_0" localSheetId="67">'322'!$D$18</definedName>
    <definedName name="OSRRefD20x_0" localSheetId="68">'325'!$D$23,'325'!$D$33,'325'!$D$44,'325'!$D$46,'325'!$D$48,'325'!$D$50,'325'!$D$53,'325'!$D$55,'325'!$D$57,'325'!$D$59,'325'!$D$61,'325'!$D$63,'325'!$D$66,'325'!$D$70,'325'!$D$77,'325'!$D$80,'325'!$D$82</definedName>
    <definedName name="OSRRefD20x_0" localSheetId="58">'326'!$D$26,'326'!$D$36,'326'!$D$47,'326'!$D$49,'326'!$D$51,'326'!$D$53,'326'!$D$55,'326'!$D$57,'326'!$D$59,'326'!$D$61,'326'!$D$63,'326'!$D$65,'326'!$D$68,'326'!$D$71,'326'!$D$74,'326'!$D$78,'326'!$D$80,'326'!$D$83</definedName>
    <definedName name="OSRRefD20x_0" localSheetId="69">'327'!$D$24,'327'!$D$26</definedName>
    <definedName name="OSRRefD20x_0" localSheetId="56">'331'!$D$42,'331'!$D$52,'331'!$D$63,'331'!$D$65,'331'!$D$67,'331'!$D$69,'331'!$D$71,'331'!$D$73,'331'!$D$75,'331'!$D$78,'331'!$D$80,'331'!$D$82,'331'!$D$84,'331'!$D$86,'331'!$D$88,'331'!$D$91,'331'!$D$95,'331'!$D$98,'331'!$D$101,'331'!$D$107,'331'!$D$109,'331'!$D$111,'331'!$D$114</definedName>
    <definedName name="OSRRefD20x_0" localSheetId="59">'332'!$D$25,'332'!$D$35,'332'!$D$46,'332'!$D$48,'332'!$D$50,'332'!$D$52,'332'!$D$55,'332'!$D$57,'332'!$D$60,'332'!$D$62,'332'!$D$64,'332'!$D$70</definedName>
    <definedName name="OSRRefD20x_0" localSheetId="54">'333'!$D$44,'333'!$D$54,'333'!$D$65,'333'!$D$67,'333'!$D$69,'333'!$D$71,'333'!$D$73,'333'!$D$75,'333'!$D$77,'333'!$D$80,'333'!$D$82,'333'!$D$84,'333'!$D$86,'333'!$D$88,'333'!$D$90,'333'!$D$93,'333'!$D$97,'333'!$D$101,'333'!$D$104,'333'!$D$111,'333'!$D$113,'333'!$D$115,'333'!$D$118</definedName>
    <definedName name="OSRRefD20x_0" localSheetId="73">'405'!$D$25,'405'!$D$35,'405'!$D$46,'405'!$D$48,'405'!$D$50,'405'!$D$52,'405'!$D$55,'405'!$D$57,'405'!$D$59,'405'!$D$61,'405'!$D$64,'405'!$D$68,'405'!$D$70,'405'!$D$80,'405'!$D$82,'405'!$D$84</definedName>
    <definedName name="OSRRefD20x_0" localSheetId="74">'406'!$D$18</definedName>
    <definedName name="OSRRefD20x_0" localSheetId="75">'411'!$D$18,'411'!$D$28,'411'!$D$39,'411'!$D$41,'411'!$D$44,'411'!$D$46,'411'!$D$48,'411'!$D$50,'411'!$D$52,'411'!$D$56,'411'!$D$59,'411'!$D$61,'411'!$D$64,'411'!$D$66,'411'!$D$69</definedName>
    <definedName name="OSRRefD20x_0" localSheetId="76">'412'!$D$18,'412'!$D$20,'412'!$D$22,'412'!$D$24</definedName>
    <definedName name="OSRRefD20x_0" localSheetId="77">'413'!$D$18,'413'!$D$20</definedName>
    <definedName name="OSRRefD20x_0" localSheetId="78">'414'!$D$18,'414'!$D$20</definedName>
    <definedName name="OSRRefD20x_0" localSheetId="79">'415'!$D$25,'415'!$D$36,'415'!$D$47,'415'!$D$49,'415'!$D$51,'415'!$D$53,'415'!$D$56,'415'!$D$58,'415'!$D$60,'415'!$D$62,'415'!$D$64,'415'!$D$66,'415'!$D$69,'415'!$D$74,'415'!$D$76,'415'!$D$83,'415'!$D$86,'415'!$D$88</definedName>
    <definedName name="OSRRefD20x_0" localSheetId="80">'418'!$D$22,'418'!$D$32,'418'!$D$43,'418'!$D$45,'418'!$D$47,'418'!$D$50,'418'!$D$52,'418'!$D$54,'418'!$D$56,'418'!$D$59,'418'!$D$63,'418'!$D$65,'418'!$D$72,'418'!$D$75,'418'!$D$77</definedName>
    <definedName name="OSRRefD20x_0" localSheetId="81">'423'!$D$18,'423'!$D$27,'423'!$D$38,'423'!$D$40,'423'!$D$42</definedName>
    <definedName name="OSRRefD20x_0" localSheetId="82">'424'!$D$18,'424'!$D$20</definedName>
    <definedName name="OSRRefD20x_0" localSheetId="83">'425'!$D$20,'425'!$D$22,'425'!$D$24,'425'!$D$26,'425'!$D$28</definedName>
    <definedName name="OSRRefD20x_0" localSheetId="86">'430'!$D$18,'430'!$D$28,'430'!$D$39,'430'!$D$41,'430'!$D$43,'430'!$D$45,'430'!$D$48,'430'!$D$51,'430'!$D$53</definedName>
    <definedName name="OSRRefD20x_0" localSheetId="87">'433'!$D$25,'433'!$D$36,'433'!$D$47,'433'!$D$49,'433'!$D$51,'433'!$D$53,'433'!$D$55,'433'!$D$57,'433'!$D$59,'433'!$D$61,'433'!$D$63,'433'!$D$65,'433'!$D$69,'433'!$D$74,'433'!$D$83,'433'!$D$85</definedName>
    <definedName name="OSRRefD20x_0" localSheetId="88">'435'!$D$21,'435'!$D$24,'435'!$D$26,'435'!$D$28,'435'!$D$30</definedName>
    <definedName name="OSRRefD20x_0" localSheetId="89">'444'!$D$25,'444'!$D$36,'444'!$D$47,'444'!$D$49,'444'!$D$51,'444'!$D$53,'444'!$D$55,'444'!$D$57,'444'!$D$59,'444'!$D$61,'444'!$D$63,'444'!$D$65,'444'!$D$68,'444'!$D$73,'444'!$D$83,'444'!$D$85</definedName>
    <definedName name="OSRRefD20x_0" localSheetId="90">'450'!$D$25,'450'!$D$36,'450'!$D$47,'450'!$D$49,'450'!$D$51,'450'!$D$53,'450'!$D$55,'450'!$D$57,'450'!$D$59,'450'!$D$61,'450'!$D$63,'450'!$D$65,'450'!$D$68,'450'!$D$73,'450'!$D$81,'450'!$D$83,'450'!$D$85</definedName>
    <definedName name="OSRRefD20x_0" localSheetId="72">'491'!$D$26,'491'!$D$37,'491'!$D$48,'491'!$D$50,'491'!$D$52,'491'!$D$54,'491'!$D$57,'491'!$D$59,'491'!$D$61,'491'!$D$63,'491'!$D$65,'491'!$D$67,'491'!$D$69,'491'!$D$73,'491'!$D$75,'491'!$D$81,'491'!$D$83,'491'!$D$93,'491'!$D$96,'491'!$D$98,'491'!$D$101</definedName>
    <definedName name="OSRRefD20x_0" localSheetId="85">'492'!$D$27,'492'!$D$38,'492'!$D$49,'492'!$D$51,'492'!$D$53,'492'!$D$55,'492'!$D$57,'492'!$D$59,'492'!$D$61,'492'!$D$63,'492'!$D$65,'492'!$D$67,'492'!$D$69,'492'!$D$73,'492'!$D$78,'492'!$D$88,'492'!$D$91,'492'!$D$93</definedName>
    <definedName name="OSRRefD20x_0" localSheetId="92">'501'!$D$19,'501'!$D$30,'501'!$D$41,'501'!$D$43,'501'!$D$45,'501'!$D$47,'501'!$D$50,'501'!$D$52,'501'!$D$54,'501'!$D$56,'501'!$D$60,'501'!$D$62,'501'!$D$66,'501'!$D$68</definedName>
    <definedName name="OSRRefD20x_0" localSheetId="39">'Div 2'!$D$18,'Div 2'!$D$30,'Div 2'!$D$41,'Div 2'!$D$43,'Div 2'!$D$45,'Div 2'!$D$47,'Div 2'!$D$50,'Div 2'!$D$52,'Div 2'!$D$54,'Div 2'!$D$56,'Div 2'!$D$58,'Div 2'!$D$60,'Div 2'!$D$62,'Div 2'!$D$67,'Div 2'!$D$72,'Div 2'!$D$75,'Div 2'!$D$78,'Div 2'!$D$84,'Div 2'!$D$87,'Div 2'!$D$89</definedName>
    <definedName name="OSRRefD20x_0" localSheetId="47">'Div 3'!$D$58,'Div 3'!$D$69,'Div 3'!$D$80,'Div 3'!$D$82,'Div 3'!$D$84,'Div 3'!$D$86,'Div 3'!$D$89,'Div 3'!$D$92,'Div 3'!$D$94,'Div 3'!$D$96,'Div 3'!$D$98,'Div 3'!$D$101,'Div 3'!$D$103,'Div 3'!$D$105,'Div 3'!$D$107,'Div 3'!$D$109,'Div 3'!$D$111,'Div 3'!$D$113,'Div 3'!$D$118,'Div 3'!$D$123,'Div 3'!$D$128,'Div 3'!$D$131,'Div 3'!$D$139,'Div 3'!$D$142,'Div 3'!$D$144,'Div 3'!$D$148</definedName>
    <definedName name="OSRRefD20x_0" localSheetId="70">'Div 4'!$D$29,'Div 4'!$D$40,'Div 4'!$D$51,'Div 4'!$D$53,'Div 4'!$D$55,'Div 4'!$D$57,'Div 4'!$D$60,'Div 4'!$D$62,'Div 4'!$D$64,'Div 4'!$D$66,'Div 4'!$D$68,'Div 4'!$D$70,'Div 4'!$D$72,'Div 4'!$D$74,'Div 4'!$D$76,'Div 4'!$D$80,'Div 4'!$D$82,'Div 4'!$D$88,'Div 4'!$D$90,'Div 4'!$D$101,'Div 4'!$D$104,'Div 4'!$D$106,'Div 4'!$D$109</definedName>
    <definedName name="OSRRefD20x_0" localSheetId="91">'Div 5'!$D$19,'Div 5'!$D$30,'Div 5'!$D$41,'Div 5'!$D$43,'Div 5'!$D$45,'Div 5'!$D$47,'Div 5'!$D$50,'Div 5'!$D$52,'Div 5'!$D$54,'Div 5'!$D$56,'Div 5'!$D$60,'Div 5'!$D$62,'Div 5'!$D$66,'Div 5'!$D$68</definedName>
    <definedName name="OSRRefD20x_0" localSheetId="61">'Div 6'!$D$33,'Div 6'!$D$44,'Div 6'!$D$55,'Div 6'!$D$57,'Div 6'!$D$59,'Div 6'!$D$61,'Div 6'!$D$63,'Div 6'!$D$65,'Div 6'!$D$67,'Div 6'!$D$69,'Div 6'!$D$72</definedName>
    <definedName name="OSRRefD20x_0" localSheetId="2">Summary!$D$66,Summary!$D$77,Summary!$D$88,Summary!$D$90,Summary!$D$92,Summary!$D$94,Summary!$D$97,Summary!$D$100,Summary!$D$102,Summary!$D$104,Summary!$D$106,Summary!$D$109,Summary!$D$111,Summary!$D$113,Summary!$D$115,Summary!$D$117,Summary!$D$119,Summary!$D$121,Summary!$D$123,Summary!$D$128,Summary!$D$133,Summary!$D$139,Summary!$D$142,Summary!$D$153,Summary!$D$156,Summary!$D$158,Summary!$D$162</definedName>
    <definedName name="OSRRefD20x_1" localSheetId="40">'200'!$E$18,'200'!$E$20,'200'!$E$22,'200'!$E$24</definedName>
    <definedName name="OSRRefD20x_1" localSheetId="41">'201'!$E$18,'201'!$E$28,'201'!$E$39,'201'!$E$41,'201'!$E$43,'201'!$E$45,'201'!$E$47,'201'!$E$49,'201'!$E$51,'201'!$E$53,'201'!$E$57,'201'!$E$60,'201'!$E$62,'201'!$E$65,'201'!$E$67</definedName>
    <definedName name="OSRRefD20x_1" localSheetId="42">'202'!$E$18,'202'!$E$28,'202'!$E$39,'202'!$E$41,'202'!$E$43,'202'!$E$45,'202'!$E$47,'202'!$E$49,'202'!$E$53,'202'!$E$55,'202'!$E$58,'202'!$E$60,'202'!$E$62</definedName>
    <definedName name="OSRRefD20x_1" localSheetId="43">'203'!$E$18,'203'!$E$29,'203'!$E$40,'203'!$E$42,'203'!$E$44,'203'!$E$46,'203'!$E$48,'203'!$E$50,'203'!$E$52,'203'!$E$56,'203'!$E$59,'203'!$E$62,'203'!$E$67,'203'!$E$69</definedName>
    <definedName name="OSRRefD20x_1" localSheetId="44">'204'!$E$18,'204'!$E$28,'204'!$E$39,'204'!$E$42,'204'!$E$44,'204'!$E$49,'204'!$E$51,'204'!$E$54,'204'!$E$56</definedName>
    <definedName name="OSRRefD20x_1" localSheetId="45">'205'!$E$18,'205'!$E$28,'205'!$E$39,'205'!$E$41,'205'!$E$43,'205'!$E$46,'205'!$E$48,'205'!$E$51</definedName>
    <definedName name="OSRRefD20x_1" localSheetId="46">'206'!$E$18,'206'!$E$28,'206'!$E$39,'206'!$E$41,'206'!$E$44,'206'!$E$46</definedName>
    <definedName name="OSRRefD20x_1" localSheetId="48">'300'!$E$52,'300'!$E$63,'300'!$E$74,'300'!$E$76,'300'!$E$78,'300'!$E$80,'300'!$E$83,'300'!$E$86,'300'!$E$88,'300'!$E$90,'300'!$E$92,'300'!$E$95,'300'!$E$97,'300'!$E$99,'300'!$E$101,'300'!$E$103,'300'!$E$105,'300'!$E$110,'300'!$E$115,'300'!$E$119,'300'!$E$122,'300'!$E$130,'300'!$E$133,'300'!$E$135,'300'!$E$139</definedName>
    <definedName name="OSRRefD20x_1" localSheetId="49">'300 &amp; 317'!$E$58,'300 &amp; 317'!$E$69,'300 &amp; 317'!$E$80,'300 &amp; 317'!$E$82,'300 &amp; 317'!$E$84,'300 &amp; 317'!$E$86,'300 &amp; 317'!$E$89,'300 &amp; 317'!$E$92,'300 &amp; 317'!$E$94,'300 &amp; 317'!$E$96,'300 &amp; 317'!$E$98,'300 &amp; 317'!$E$101,'300 &amp; 317'!$E$103,'300 &amp; 317'!$E$105,'300 &amp; 317'!$E$107,'300 &amp; 317'!$E$109,'300 &amp; 317'!$E$111,'300 &amp; 317'!$E$116,'300 &amp; 317'!$E$121,'300 &amp; 317'!$E$125,'300 &amp; 317'!$E$128,'300 &amp; 317'!$E$136,'300 &amp; 317'!$E$139,'300 &amp; 317'!$E$141,'300 &amp; 317'!$E$145</definedName>
    <definedName name="OSRRefD20x_1" localSheetId="50">'301'!$E$19,'301'!$E$30,'301'!$E$41,'301'!$E$43,'301'!$E$45,'301'!$E$47,'301'!$E$50,'301'!$E$53,'301'!$E$55,'301'!$E$57,'301'!$E$59,'301'!$E$61,'301'!$E$63,'301'!$E$65,'301'!$E$67,'301'!$E$69,'301'!$E$74,'301'!$E$77,'301'!$E$79,'301'!$E$86,'301'!$E$88,'301'!$E$90,'301'!$E$93</definedName>
    <definedName name="OSRRefD20x_1" localSheetId="55">'307'!$E$32,'307'!$E$42,'307'!$E$53,'307'!$E$55,'307'!$E$57,'307'!$E$59,'307'!$E$61,'307'!$E$63,'307'!$E$65,'307'!$E$67,'307'!$E$70,'307'!$E$73,'307'!$E$75,'307'!$E$80</definedName>
    <definedName name="OSRRefD20x_1" localSheetId="51">'308'!$E$33,'308'!$E$44,'308'!$E$55,'308'!$E$57,'308'!$E$59,'308'!$E$61,'308'!$E$63,'308'!$E$66,'308'!$E$68,'308'!$E$70,'308'!$E$74,'308'!$E$77,'308'!$E$80,'308'!$E$83</definedName>
    <definedName name="OSRRefD20x_1" localSheetId="64">'309'!$E$24,'309'!$E$27,'309'!$E$30,'309'!$E$32,'309'!$E$34,'309'!$E$36,'309'!$E$38,'309'!$E$40,'309'!$E$42,'309'!$E$45,'309'!$E$48,'309'!$E$51,'309'!$E$53</definedName>
    <definedName name="OSRRefD20x_1" localSheetId="63">'310'!$E$27,'310'!$E$38,'310'!$E$49,'310'!$E$51,'310'!$E$53,'310'!$E$55,'310'!$E$58,'310'!$E$60,'310'!$E$62,'310'!$E$64,'310'!$E$66,'310'!$E$68,'310'!$E$71,'310'!$E$74,'310'!$E$78,'310'!$E$85,'310'!$E$88,'310'!$E$90</definedName>
    <definedName name="OSRRefD20x_1" localSheetId="71">'310 &amp; 491'!$E$27,'310 &amp; 491'!$E$38,'310 &amp; 491'!$E$49,'310 &amp; 491'!$E$51,'310 &amp; 491'!$E$53,'310 &amp; 491'!$E$55,'310 &amp; 491'!$E$58,'310 &amp; 491'!$E$60,'310 &amp; 491'!$E$62,'310 &amp; 491'!$E$64,'310 &amp; 491'!$E$66,'310 &amp; 491'!$E$68,'310 &amp; 491'!$E$70,'310 &amp; 491'!$E$74,'310 &amp; 491'!$E$77,'310 &amp; 491'!$E$83,'310 &amp; 491'!$E$85,'310 &amp; 491'!$E$95,'310 &amp; 491'!$E$98,'310 &amp; 491'!$E$100,'310 &amp; 491'!$E$103</definedName>
    <definedName name="OSRRefD20x_1" localSheetId="52">'311'!$E$33,'311'!$E$44,'311'!$E$55,'311'!$E$57,'311'!$E$59,'311'!$E$61,'311'!$E$63,'311'!$E$66,'311'!$E$68,'311'!$E$70,'311'!$E$74,'311'!$E$77,'311'!$E$80,'311'!$E$83</definedName>
    <definedName name="OSRRefD20x_1" localSheetId="65">'313'!$E$18,'313'!$E$20,'313'!$E$22</definedName>
    <definedName name="OSRRefD20x_1" localSheetId="57">'315'!$E$42,'315'!$E$52,'315'!$E$63,'315'!$E$65,'315'!$E$67,'315'!$E$69,'315'!$E$71,'315'!$E$73,'315'!$E$75,'315'!$E$78,'315'!$E$80,'315'!$E$82,'315'!$E$84,'315'!$E$87,'315'!$E$91,'315'!$E$94,'315'!$E$99,'315'!$E$101,'315'!$E$103</definedName>
    <definedName name="OSRRefD20x_1" localSheetId="60">'316'!$E$25,'316'!$E$35,'316'!$E$46,'316'!$E$48,'316'!$E$50,'316'!$E$52,'316'!$E$55,'316'!$E$57,'316'!$E$60,'316'!$E$62,'316'!$E$64,'316'!$E$70</definedName>
    <definedName name="OSRRefD20x_1" localSheetId="62">'317'!$E$33,'317'!$E$44,'317'!$E$55,'317'!$E$57,'317'!$E$59,'317'!$E$61,'317'!$E$63,'317'!$E$65,'317'!$E$67,'317'!$E$69,'317'!$E$72</definedName>
    <definedName name="OSRRefD20x_1" localSheetId="66">'321'!$E$22,'321'!$E$33,'321'!$E$44,'321'!$E$46,'321'!$E$48,'321'!$E$50,'321'!$E$52,'321'!$E$54,'321'!$E$57,'321'!$E$60,'321'!$E$64,'321'!$E$69,'321'!$E$71</definedName>
    <definedName name="OSRRefD20x_1" localSheetId="67">'322'!$E$18</definedName>
    <definedName name="OSRRefD20x_1" localSheetId="68">'325'!$E$23,'325'!$E$33,'325'!$E$44,'325'!$E$46,'325'!$E$48,'325'!$E$50,'325'!$E$53,'325'!$E$55,'325'!$E$57,'325'!$E$59,'325'!$E$61,'325'!$E$63,'325'!$E$66,'325'!$E$70,'325'!$E$77,'325'!$E$80,'325'!$E$82</definedName>
    <definedName name="OSRRefD20x_1" localSheetId="58">'326'!$E$26,'326'!$E$36,'326'!$E$47,'326'!$E$49,'326'!$E$51,'326'!$E$53,'326'!$E$55,'326'!$E$57,'326'!$E$59,'326'!$E$61,'326'!$E$63,'326'!$E$65,'326'!$E$68,'326'!$E$71,'326'!$E$74,'326'!$E$78,'326'!$E$80,'326'!$E$83</definedName>
    <definedName name="OSRRefD20x_1" localSheetId="69">'327'!$E$24,'327'!$E$26</definedName>
    <definedName name="OSRRefD20x_1" localSheetId="56">'331'!$E$42,'331'!$E$52,'331'!$E$63,'331'!$E$65,'331'!$E$67,'331'!$E$69,'331'!$E$71,'331'!$E$73,'331'!$E$75,'331'!$E$78,'331'!$E$80,'331'!$E$82,'331'!$E$84,'331'!$E$86,'331'!$E$88,'331'!$E$91,'331'!$E$95,'331'!$E$98,'331'!$E$101,'331'!$E$107,'331'!$E$109,'331'!$E$111,'331'!$E$114</definedName>
    <definedName name="OSRRefD20x_1" localSheetId="59">'332'!$E$25,'332'!$E$35,'332'!$E$46,'332'!$E$48,'332'!$E$50,'332'!$E$52,'332'!$E$55,'332'!$E$57,'332'!$E$60,'332'!$E$62,'332'!$E$64,'332'!$E$70</definedName>
    <definedName name="OSRRefD20x_1" localSheetId="54">'333'!$E$44,'333'!$E$54,'333'!$E$65,'333'!$E$67,'333'!$E$69,'333'!$E$71,'333'!$E$73,'333'!$E$75,'333'!$E$77,'333'!$E$80,'333'!$E$82,'333'!$E$84,'333'!$E$86,'333'!$E$88,'333'!$E$90,'333'!$E$93,'333'!$E$97,'333'!$E$101,'333'!$E$104,'333'!$E$111,'333'!$E$113,'333'!$E$115,'333'!$E$118</definedName>
    <definedName name="OSRRefD20x_1" localSheetId="73">'405'!$E$25,'405'!$E$35,'405'!$E$46,'405'!$E$48,'405'!$E$50,'405'!$E$52,'405'!$E$55,'405'!$E$57,'405'!$E$59,'405'!$E$61,'405'!$E$64,'405'!$E$68,'405'!$E$70,'405'!$E$80,'405'!$E$82,'405'!$E$84</definedName>
    <definedName name="OSRRefD20x_1" localSheetId="74">'406'!$E$18</definedName>
    <definedName name="OSRRefD20x_1" localSheetId="75">'411'!$E$18,'411'!$E$28,'411'!$E$39,'411'!$E$41,'411'!$E$44,'411'!$E$46,'411'!$E$48,'411'!$E$50,'411'!$E$52,'411'!$E$56,'411'!$E$59,'411'!$E$61,'411'!$E$64,'411'!$E$66,'411'!$E$69</definedName>
    <definedName name="OSRRefD20x_1" localSheetId="76">'412'!$E$18,'412'!$E$20,'412'!$E$22,'412'!$E$24</definedName>
    <definedName name="OSRRefD20x_1" localSheetId="77">'413'!$E$18,'413'!$E$20</definedName>
    <definedName name="OSRRefD20x_1" localSheetId="78">'414'!$E$18,'414'!$E$20</definedName>
    <definedName name="OSRRefD20x_1" localSheetId="79">'415'!$E$25,'415'!$E$36,'415'!$E$47,'415'!$E$49,'415'!$E$51,'415'!$E$53,'415'!$E$56,'415'!$E$58,'415'!$E$60,'415'!$E$62,'415'!$E$64,'415'!$E$66,'415'!$E$69,'415'!$E$74,'415'!$E$76,'415'!$E$83,'415'!$E$86,'415'!$E$88</definedName>
    <definedName name="OSRRefD20x_1" localSheetId="80">'418'!$E$22,'418'!$E$32,'418'!$E$43,'418'!$E$45,'418'!$E$47,'418'!$E$50,'418'!$E$52,'418'!$E$54,'418'!$E$56,'418'!$E$59,'418'!$E$63,'418'!$E$65,'418'!$E$72,'418'!$E$75,'418'!$E$77</definedName>
    <definedName name="OSRRefD20x_1" localSheetId="81">'423'!$E$18,'423'!$E$27,'423'!$E$38,'423'!$E$40,'423'!$E$42</definedName>
    <definedName name="OSRRefD20x_1" localSheetId="82">'424'!$E$18,'424'!$E$20</definedName>
    <definedName name="OSRRefD20x_1" localSheetId="83">'425'!$E$20,'425'!$E$22,'425'!$E$24,'425'!$E$26,'425'!$E$28</definedName>
    <definedName name="OSRRefD20x_1" localSheetId="86">'430'!$E$18,'430'!$E$28,'430'!$E$39,'430'!$E$41,'430'!$E$43,'430'!$E$45,'430'!$E$48,'430'!$E$51,'430'!$E$53</definedName>
    <definedName name="OSRRefD20x_1" localSheetId="87">'433'!$E$25,'433'!$E$36,'433'!$E$47,'433'!$E$49,'433'!$E$51,'433'!$E$53,'433'!$E$55,'433'!$E$57,'433'!$E$59,'433'!$E$61,'433'!$E$63,'433'!$E$65,'433'!$E$69,'433'!$E$74,'433'!$E$83,'433'!$E$85</definedName>
    <definedName name="OSRRefD20x_1" localSheetId="88">'435'!$E$21,'435'!$E$24,'435'!$E$26,'435'!$E$28,'435'!$E$30</definedName>
    <definedName name="OSRRefD20x_1" localSheetId="89">'444'!$E$25,'444'!$E$36,'444'!$E$47,'444'!$E$49,'444'!$E$51,'444'!$E$53,'444'!$E$55,'444'!$E$57,'444'!$E$59,'444'!$E$61,'444'!$E$63,'444'!$E$65,'444'!$E$68,'444'!$E$73,'444'!$E$83,'444'!$E$85</definedName>
    <definedName name="OSRRefD20x_1" localSheetId="90">'450'!$E$25,'450'!$E$36,'450'!$E$47,'450'!$E$49,'450'!$E$51,'450'!$E$53,'450'!$E$55,'450'!$E$57,'450'!$E$59,'450'!$E$61,'450'!$E$63,'450'!$E$65,'450'!$E$68,'450'!$E$73,'450'!$E$81,'450'!$E$83,'450'!$E$85</definedName>
    <definedName name="OSRRefD20x_1" localSheetId="72">'491'!$E$26,'491'!$E$37,'491'!$E$48,'491'!$E$50,'491'!$E$52,'491'!$E$54,'491'!$E$57,'491'!$E$59,'491'!$E$61,'491'!$E$63,'491'!$E$65,'491'!$E$67,'491'!$E$69,'491'!$E$73,'491'!$E$75,'491'!$E$81,'491'!$E$83,'491'!$E$93,'491'!$E$96,'491'!$E$98,'491'!$E$101</definedName>
    <definedName name="OSRRefD20x_1" localSheetId="85">'492'!$E$27,'492'!$E$38,'492'!$E$49,'492'!$E$51,'492'!$E$53,'492'!$E$55,'492'!$E$57,'492'!$E$59,'492'!$E$61,'492'!$E$63,'492'!$E$65,'492'!$E$67,'492'!$E$69,'492'!$E$73,'492'!$E$78,'492'!$E$88,'492'!$E$91,'492'!$E$93</definedName>
    <definedName name="OSRRefD20x_1" localSheetId="92">'501'!$E$19,'501'!$E$30,'501'!$E$41,'501'!$E$43,'501'!$E$45,'501'!$E$47,'501'!$E$50,'501'!$E$52,'501'!$E$54,'501'!$E$56,'501'!$E$60,'501'!$E$62,'501'!$E$66,'501'!$E$68</definedName>
    <definedName name="OSRRefD20x_1" localSheetId="39">'Div 2'!$E$18,'Div 2'!$E$30,'Div 2'!$E$41,'Div 2'!$E$43,'Div 2'!$E$45,'Div 2'!$E$47,'Div 2'!$E$50,'Div 2'!$E$52,'Div 2'!$E$54,'Div 2'!$E$56,'Div 2'!$E$58,'Div 2'!$E$60,'Div 2'!$E$62,'Div 2'!$E$67,'Div 2'!$E$72,'Div 2'!$E$75,'Div 2'!$E$78,'Div 2'!$E$84,'Div 2'!$E$87,'Div 2'!$E$89</definedName>
    <definedName name="OSRRefD20x_1" localSheetId="47">'Div 3'!$E$58,'Div 3'!$E$69,'Div 3'!$E$80,'Div 3'!$E$82,'Div 3'!$E$84,'Div 3'!$E$86,'Div 3'!$E$89,'Div 3'!$E$92,'Div 3'!$E$94,'Div 3'!$E$96,'Div 3'!$E$98,'Div 3'!$E$101,'Div 3'!$E$103,'Div 3'!$E$105,'Div 3'!$E$107,'Div 3'!$E$109,'Div 3'!$E$111,'Div 3'!$E$113,'Div 3'!$E$118,'Div 3'!$E$123,'Div 3'!$E$128,'Div 3'!$E$131,'Div 3'!$E$139,'Div 3'!$E$142,'Div 3'!$E$144,'Div 3'!$E$148</definedName>
    <definedName name="OSRRefD20x_1" localSheetId="70">'Div 4'!$E$29,'Div 4'!$E$40,'Div 4'!$E$51,'Div 4'!$E$53,'Div 4'!$E$55,'Div 4'!$E$57,'Div 4'!$E$60,'Div 4'!$E$62,'Div 4'!$E$64,'Div 4'!$E$66,'Div 4'!$E$68,'Div 4'!$E$70,'Div 4'!$E$72,'Div 4'!$E$74,'Div 4'!$E$76,'Div 4'!$E$80,'Div 4'!$E$82,'Div 4'!$E$88,'Div 4'!$E$90,'Div 4'!$E$101,'Div 4'!$E$104,'Div 4'!$E$106,'Div 4'!$E$109</definedName>
    <definedName name="OSRRefD20x_1" localSheetId="91">'Div 5'!$E$19,'Div 5'!$E$30,'Div 5'!$E$41,'Div 5'!$E$43,'Div 5'!$E$45,'Div 5'!$E$47,'Div 5'!$E$50,'Div 5'!$E$52,'Div 5'!$E$54,'Div 5'!$E$56,'Div 5'!$E$60,'Div 5'!$E$62,'Div 5'!$E$66,'Div 5'!$E$68</definedName>
    <definedName name="OSRRefD20x_1" localSheetId="61">'Div 6'!$E$33,'Div 6'!$E$44,'Div 6'!$E$55,'Div 6'!$E$57,'Div 6'!$E$59,'Div 6'!$E$61,'Div 6'!$E$63,'Div 6'!$E$65,'Div 6'!$E$67,'Div 6'!$E$69,'Div 6'!$E$72</definedName>
    <definedName name="OSRRefD20x_1" localSheetId="2">Summary!$E$66,Summary!$E$77,Summary!$E$88,Summary!$E$90,Summary!$E$92,Summary!$E$94,Summary!$E$97,Summary!$E$100,Summary!$E$102,Summary!$E$104,Summary!$E$106,Summary!$E$109,Summary!$E$111,Summary!$E$113,Summary!$E$115,Summary!$E$117,Summary!$E$119,Summary!$E$121,Summary!$E$123,Summary!$E$128,Summary!$E$133,Summary!$E$139,Summary!$E$142,Summary!$E$153,Summary!$E$156,Summary!$E$158,Summary!$E$162</definedName>
    <definedName name="OSRRefD20x_2" localSheetId="40">'200'!$F$18,'200'!$F$20,'200'!$F$22,'200'!$F$24</definedName>
    <definedName name="OSRRefD20x_2" localSheetId="41">'201'!$F$18,'201'!$F$28,'201'!$F$39,'201'!$F$41,'201'!$F$43,'201'!$F$45,'201'!$F$47,'201'!$F$49,'201'!$F$51,'201'!$F$53,'201'!$F$57,'201'!$F$60,'201'!$F$62,'201'!$F$65,'201'!$F$67</definedName>
    <definedName name="OSRRefD20x_2" localSheetId="42">'202'!$F$18,'202'!$F$28,'202'!$F$39,'202'!$F$41,'202'!$F$43,'202'!$F$45,'202'!$F$47,'202'!$F$49,'202'!$F$53,'202'!$F$55,'202'!$F$58,'202'!$F$60,'202'!$F$62</definedName>
    <definedName name="OSRRefD20x_2" localSheetId="43">'203'!$F$18,'203'!$F$29,'203'!$F$40,'203'!$F$42,'203'!$F$44,'203'!$F$46,'203'!$F$48,'203'!$F$50,'203'!$F$52,'203'!$F$56,'203'!$F$59,'203'!$F$62,'203'!$F$67,'203'!$F$69</definedName>
    <definedName name="OSRRefD20x_2" localSheetId="44">'204'!$F$18,'204'!$F$28,'204'!$F$39,'204'!$F$42,'204'!$F$44,'204'!$F$49,'204'!$F$51,'204'!$F$54,'204'!$F$56</definedName>
    <definedName name="OSRRefD20x_2" localSheetId="45">'205'!$F$18,'205'!$F$28,'205'!$F$39,'205'!$F$41,'205'!$F$43,'205'!$F$46,'205'!$F$48,'205'!$F$51</definedName>
    <definedName name="OSRRefD20x_2" localSheetId="46">'206'!$F$18,'206'!$F$28,'206'!$F$39,'206'!$F$41,'206'!$F$44,'206'!$F$46</definedName>
    <definedName name="OSRRefD20x_2" localSheetId="48">'300'!$F$52,'300'!$F$63,'300'!$F$74,'300'!$F$76,'300'!$F$78,'300'!$F$80,'300'!$F$83,'300'!$F$86,'300'!$F$88,'300'!$F$90,'300'!$F$92,'300'!$F$95,'300'!$F$97,'300'!$F$99,'300'!$F$101,'300'!$F$103,'300'!$F$105,'300'!$F$110,'300'!$F$115,'300'!$F$119,'300'!$F$122,'300'!$F$130,'300'!$F$133,'300'!$F$135,'300'!$F$139</definedName>
    <definedName name="OSRRefD20x_2" localSheetId="49">'300 &amp; 317'!$F$58,'300 &amp; 317'!$F$69,'300 &amp; 317'!$F$80,'300 &amp; 317'!$F$82,'300 &amp; 317'!$F$84,'300 &amp; 317'!$F$86,'300 &amp; 317'!$F$89,'300 &amp; 317'!$F$92,'300 &amp; 317'!$F$94,'300 &amp; 317'!$F$96,'300 &amp; 317'!$F$98,'300 &amp; 317'!$F$101,'300 &amp; 317'!$F$103,'300 &amp; 317'!$F$105,'300 &amp; 317'!$F$107,'300 &amp; 317'!$F$109,'300 &amp; 317'!$F$111,'300 &amp; 317'!$F$116,'300 &amp; 317'!$F$121,'300 &amp; 317'!$F$125,'300 &amp; 317'!$F$128,'300 &amp; 317'!$F$136,'300 &amp; 317'!$F$139,'300 &amp; 317'!$F$141,'300 &amp; 317'!$F$145</definedName>
    <definedName name="OSRRefD20x_2" localSheetId="50">'301'!$F$19,'301'!$F$30,'301'!$F$41,'301'!$F$43,'301'!$F$45,'301'!$F$47,'301'!$F$50,'301'!$F$53,'301'!$F$55,'301'!$F$57,'301'!$F$59,'301'!$F$61,'301'!$F$63,'301'!$F$65,'301'!$F$67,'301'!$F$69,'301'!$F$74,'301'!$F$77,'301'!$F$79,'301'!$F$86,'301'!$F$88,'301'!$F$90,'301'!$F$93</definedName>
    <definedName name="OSRRefD20x_2" localSheetId="55">'307'!$F$32,'307'!$F$42,'307'!$F$53,'307'!$F$55,'307'!$F$57,'307'!$F$59,'307'!$F$61,'307'!$F$63,'307'!$F$65,'307'!$F$67,'307'!$F$70,'307'!$F$73,'307'!$F$75,'307'!$F$80</definedName>
    <definedName name="OSRRefD20x_2" localSheetId="51">'308'!$F$33,'308'!$F$44,'308'!$F$55,'308'!$F$57,'308'!$F$59,'308'!$F$61,'308'!$F$63,'308'!$F$66,'308'!$F$68,'308'!$F$70,'308'!$F$74,'308'!$F$77,'308'!$F$80,'308'!$F$83</definedName>
    <definedName name="OSRRefD20x_2" localSheetId="64">'309'!$F$24,'309'!$F$27,'309'!$F$30,'309'!$F$32,'309'!$F$34,'309'!$F$36,'309'!$F$38,'309'!$F$40,'309'!$F$42,'309'!$F$45,'309'!$F$48,'309'!$F$51,'309'!$F$53</definedName>
    <definedName name="OSRRefD20x_2" localSheetId="63">'310'!$F$27,'310'!$F$38,'310'!$F$49,'310'!$F$51,'310'!$F$53,'310'!$F$55,'310'!$F$58,'310'!$F$60,'310'!$F$62,'310'!$F$64,'310'!$F$66,'310'!$F$68,'310'!$F$71,'310'!$F$74,'310'!$F$78,'310'!$F$85,'310'!$F$88,'310'!$F$90</definedName>
    <definedName name="OSRRefD20x_2" localSheetId="71">'310 &amp; 491'!$F$27,'310 &amp; 491'!$F$38,'310 &amp; 491'!$F$49,'310 &amp; 491'!$F$51,'310 &amp; 491'!$F$53,'310 &amp; 491'!$F$55,'310 &amp; 491'!$F$58,'310 &amp; 491'!$F$60,'310 &amp; 491'!$F$62,'310 &amp; 491'!$F$64,'310 &amp; 491'!$F$66,'310 &amp; 491'!$F$68,'310 &amp; 491'!$F$70,'310 &amp; 491'!$F$74,'310 &amp; 491'!$F$77,'310 &amp; 491'!$F$83,'310 &amp; 491'!$F$85,'310 &amp; 491'!$F$95,'310 &amp; 491'!$F$98,'310 &amp; 491'!$F$100,'310 &amp; 491'!$F$103</definedName>
    <definedName name="OSRRefD20x_2" localSheetId="52">'311'!$F$33,'311'!$F$44,'311'!$F$55,'311'!$F$57,'311'!$F$59,'311'!$F$61,'311'!$F$63,'311'!$F$66,'311'!$F$68,'311'!$F$70,'311'!$F$74,'311'!$F$77,'311'!$F$80,'311'!$F$83</definedName>
    <definedName name="OSRRefD20x_2" localSheetId="65">'313'!$F$18,'313'!$F$20,'313'!$F$22</definedName>
    <definedName name="OSRRefD20x_2" localSheetId="57">'315'!$F$42,'315'!$F$52,'315'!$F$63,'315'!$F$65,'315'!$F$67,'315'!$F$69,'315'!$F$71,'315'!$F$73,'315'!$F$75,'315'!$F$78,'315'!$F$80,'315'!$F$82,'315'!$F$84,'315'!$F$87,'315'!$F$91,'315'!$F$94,'315'!$F$99,'315'!$F$101,'315'!$F$103</definedName>
    <definedName name="OSRRefD20x_2" localSheetId="60">'316'!$F$25,'316'!$F$35,'316'!$F$46,'316'!$F$48,'316'!$F$50,'316'!$F$52,'316'!$F$55,'316'!$F$57,'316'!$F$60,'316'!$F$62,'316'!$F$64,'316'!$F$70</definedName>
    <definedName name="OSRRefD20x_2" localSheetId="62">'317'!$F$33,'317'!$F$44,'317'!$F$55,'317'!$F$57,'317'!$F$59,'317'!$F$61,'317'!$F$63,'317'!$F$65,'317'!$F$67,'317'!$F$69,'317'!$F$72</definedName>
    <definedName name="OSRRefD20x_2" localSheetId="66">'321'!$F$22,'321'!$F$33,'321'!$F$44,'321'!$F$46,'321'!$F$48,'321'!$F$50,'321'!$F$52,'321'!$F$54,'321'!$F$57,'321'!$F$60,'321'!$F$64,'321'!$F$69,'321'!$F$71</definedName>
    <definedName name="OSRRefD20x_2" localSheetId="67">'322'!$F$18</definedName>
    <definedName name="OSRRefD20x_2" localSheetId="68">'325'!$F$23,'325'!$F$33,'325'!$F$44,'325'!$F$46,'325'!$F$48,'325'!$F$50,'325'!$F$53,'325'!$F$55,'325'!$F$57,'325'!$F$59,'325'!$F$61,'325'!$F$63,'325'!$F$66,'325'!$F$70,'325'!$F$77,'325'!$F$80,'325'!$F$82</definedName>
    <definedName name="OSRRefD20x_2" localSheetId="58">'326'!$F$26,'326'!$F$36,'326'!$F$47,'326'!$F$49,'326'!$F$51,'326'!$F$53,'326'!$F$55,'326'!$F$57,'326'!$F$59,'326'!$F$61,'326'!$F$63,'326'!$F$65,'326'!$F$68,'326'!$F$71,'326'!$F$74,'326'!$F$78,'326'!$F$80,'326'!$F$83</definedName>
    <definedName name="OSRRefD20x_2" localSheetId="69">'327'!$F$24,'327'!$F$26</definedName>
    <definedName name="OSRRefD20x_2" localSheetId="56">'331'!$F$42,'331'!$F$52,'331'!$F$63,'331'!$F$65,'331'!$F$67,'331'!$F$69,'331'!$F$71,'331'!$F$73,'331'!$F$75,'331'!$F$78,'331'!$F$80,'331'!$F$82,'331'!$F$84,'331'!$F$86,'331'!$F$88,'331'!$F$91,'331'!$F$95,'331'!$F$98,'331'!$F$101,'331'!$F$107,'331'!$F$109,'331'!$F$111,'331'!$F$114</definedName>
    <definedName name="OSRRefD20x_2" localSheetId="59">'332'!$F$25,'332'!$F$35,'332'!$F$46,'332'!$F$48,'332'!$F$50,'332'!$F$52,'332'!$F$55,'332'!$F$57,'332'!$F$60,'332'!$F$62,'332'!$F$64,'332'!$F$70</definedName>
    <definedName name="OSRRefD20x_2" localSheetId="54">'333'!$F$44,'333'!$F$54,'333'!$F$65,'333'!$F$67,'333'!$F$69,'333'!$F$71,'333'!$F$73,'333'!$F$75,'333'!$F$77,'333'!$F$80,'333'!$F$82,'333'!$F$84,'333'!$F$86,'333'!$F$88,'333'!$F$90,'333'!$F$93,'333'!$F$97,'333'!$F$101,'333'!$F$104,'333'!$F$111,'333'!$F$113,'333'!$F$115,'333'!$F$118</definedName>
    <definedName name="OSRRefD20x_2" localSheetId="73">'405'!$F$25,'405'!$F$35,'405'!$F$46,'405'!$F$48,'405'!$F$50,'405'!$F$52,'405'!$F$55,'405'!$F$57,'405'!$F$59,'405'!$F$61,'405'!$F$64,'405'!$F$68,'405'!$F$70,'405'!$F$80,'405'!$F$82,'405'!$F$84</definedName>
    <definedName name="OSRRefD20x_2" localSheetId="74">'406'!$F$18</definedName>
    <definedName name="OSRRefD20x_2" localSheetId="75">'411'!$F$18,'411'!$F$28,'411'!$F$39,'411'!$F$41,'411'!$F$44,'411'!$F$46,'411'!$F$48,'411'!$F$50,'411'!$F$52,'411'!$F$56,'411'!$F$59,'411'!$F$61,'411'!$F$64,'411'!$F$66,'411'!$F$69</definedName>
    <definedName name="OSRRefD20x_2" localSheetId="76">'412'!$F$18,'412'!$F$20,'412'!$F$22,'412'!$F$24</definedName>
    <definedName name="OSRRefD20x_2" localSheetId="77">'413'!$F$18,'413'!$F$20</definedName>
    <definedName name="OSRRefD20x_2" localSheetId="78">'414'!$F$18,'414'!$F$20</definedName>
    <definedName name="OSRRefD20x_2" localSheetId="79">'415'!$F$25,'415'!$F$36,'415'!$F$47,'415'!$F$49,'415'!$F$51,'415'!$F$53,'415'!$F$56,'415'!$F$58,'415'!$F$60,'415'!$F$62,'415'!$F$64,'415'!$F$66,'415'!$F$69,'415'!$F$74,'415'!$F$76,'415'!$F$83,'415'!$F$86,'415'!$F$88</definedName>
    <definedName name="OSRRefD20x_2" localSheetId="80">'418'!$F$22,'418'!$F$32,'418'!$F$43,'418'!$F$45,'418'!$F$47,'418'!$F$50,'418'!$F$52,'418'!$F$54,'418'!$F$56,'418'!$F$59,'418'!$F$63,'418'!$F$65,'418'!$F$72,'418'!$F$75,'418'!$F$77</definedName>
    <definedName name="OSRRefD20x_2" localSheetId="81">'423'!$F$18,'423'!$F$27,'423'!$F$38,'423'!$F$40,'423'!$F$42</definedName>
    <definedName name="OSRRefD20x_2" localSheetId="82">'424'!$F$18,'424'!$F$20</definedName>
    <definedName name="OSRRefD20x_2" localSheetId="83">'425'!$F$20,'425'!$F$22,'425'!$F$24,'425'!$F$26,'425'!$F$28</definedName>
    <definedName name="OSRRefD20x_2" localSheetId="86">'430'!$F$18,'430'!$F$28,'430'!$F$39,'430'!$F$41,'430'!$F$43,'430'!$F$45,'430'!$F$48,'430'!$F$51,'430'!$F$53</definedName>
    <definedName name="OSRRefD20x_2" localSheetId="87">'433'!$F$25,'433'!$F$36,'433'!$F$47,'433'!$F$49,'433'!$F$51,'433'!$F$53,'433'!$F$55,'433'!$F$57,'433'!$F$59,'433'!$F$61,'433'!$F$63,'433'!$F$65,'433'!$F$69,'433'!$F$74,'433'!$F$83,'433'!$F$85</definedName>
    <definedName name="OSRRefD20x_2" localSheetId="88">'435'!$F$21,'435'!$F$24,'435'!$F$26,'435'!$F$28,'435'!$F$30</definedName>
    <definedName name="OSRRefD20x_2" localSheetId="89">'444'!$F$25,'444'!$F$36,'444'!$F$47,'444'!$F$49,'444'!$F$51,'444'!$F$53,'444'!$F$55,'444'!$F$57,'444'!$F$59,'444'!$F$61,'444'!$F$63,'444'!$F$65,'444'!$F$68,'444'!$F$73,'444'!$F$83,'444'!$F$85</definedName>
    <definedName name="OSRRefD20x_2" localSheetId="90">'450'!$F$25,'450'!$F$36,'450'!$F$47,'450'!$F$49,'450'!$F$51,'450'!$F$53,'450'!$F$55,'450'!$F$57,'450'!$F$59,'450'!$F$61,'450'!$F$63,'450'!$F$65,'450'!$F$68,'450'!$F$73,'450'!$F$81,'450'!$F$83,'450'!$F$85</definedName>
    <definedName name="OSRRefD20x_2" localSheetId="72">'491'!$F$26,'491'!$F$37,'491'!$F$48,'491'!$F$50,'491'!$F$52,'491'!$F$54,'491'!$F$57,'491'!$F$59,'491'!$F$61,'491'!$F$63,'491'!$F$65,'491'!$F$67,'491'!$F$69,'491'!$F$73,'491'!$F$75,'491'!$F$81,'491'!$F$83,'491'!$F$93,'491'!$F$96,'491'!$F$98,'491'!$F$101</definedName>
    <definedName name="OSRRefD20x_2" localSheetId="85">'492'!$F$27,'492'!$F$38,'492'!$F$49,'492'!$F$51,'492'!$F$53,'492'!$F$55,'492'!$F$57,'492'!$F$59,'492'!$F$61,'492'!$F$63,'492'!$F$65,'492'!$F$67,'492'!$F$69,'492'!$F$73,'492'!$F$78,'492'!$F$88,'492'!$F$91,'492'!$F$93</definedName>
    <definedName name="OSRRefD20x_2" localSheetId="92">'501'!$F$19,'501'!$F$30,'501'!$F$41,'501'!$F$43,'501'!$F$45,'501'!$F$47,'501'!$F$50,'501'!$F$52,'501'!$F$54,'501'!$F$56,'501'!$F$60,'501'!$F$62,'501'!$F$66,'501'!$F$68</definedName>
    <definedName name="OSRRefD20x_2" localSheetId="39">'Div 2'!$F$18,'Div 2'!$F$30,'Div 2'!$F$41,'Div 2'!$F$43,'Div 2'!$F$45,'Div 2'!$F$47,'Div 2'!$F$50,'Div 2'!$F$52,'Div 2'!$F$54,'Div 2'!$F$56,'Div 2'!$F$58,'Div 2'!$F$60,'Div 2'!$F$62,'Div 2'!$F$67,'Div 2'!$F$72,'Div 2'!$F$75,'Div 2'!$F$78,'Div 2'!$F$84,'Div 2'!$F$87,'Div 2'!$F$89</definedName>
    <definedName name="OSRRefD20x_2" localSheetId="47">'Div 3'!$F$58,'Div 3'!$F$69,'Div 3'!$F$80,'Div 3'!$F$82,'Div 3'!$F$84,'Div 3'!$F$86,'Div 3'!$F$89,'Div 3'!$F$92,'Div 3'!$F$94,'Div 3'!$F$96,'Div 3'!$F$98,'Div 3'!$F$101,'Div 3'!$F$103,'Div 3'!$F$105,'Div 3'!$F$107,'Div 3'!$F$109,'Div 3'!$F$111,'Div 3'!$F$113,'Div 3'!$F$118,'Div 3'!$F$123,'Div 3'!$F$128,'Div 3'!$F$131,'Div 3'!$F$139,'Div 3'!$F$142,'Div 3'!$F$144,'Div 3'!$F$148</definedName>
    <definedName name="OSRRefD20x_2" localSheetId="70">'Div 4'!$F$29,'Div 4'!$F$40,'Div 4'!$F$51,'Div 4'!$F$53,'Div 4'!$F$55,'Div 4'!$F$57,'Div 4'!$F$60,'Div 4'!$F$62,'Div 4'!$F$64,'Div 4'!$F$66,'Div 4'!$F$68,'Div 4'!$F$70,'Div 4'!$F$72,'Div 4'!$F$74,'Div 4'!$F$76,'Div 4'!$F$80,'Div 4'!$F$82,'Div 4'!$F$88,'Div 4'!$F$90,'Div 4'!$F$101,'Div 4'!$F$104,'Div 4'!$F$106,'Div 4'!$F$109</definedName>
    <definedName name="OSRRefD20x_2" localSheetId="91">'Div 5'!$F$19,'Div 5'!$F$30,'Div 5'!$F$41,'Div 5'!$F$43,'Div 5'!$F$45,'Div 5'!$F$47,'Div 5'!$F$50,'Div 5'!$F$52,'Div 5'!$F$54,'Div 5'!$F$56,'Div 5'!$F$60,'Div 5'!$F$62,'Div 5'!$F$66,'Div 5'!$F$68</definedName>
    <definedName name="OSRRefD20x_2" localSheetId="61">'Div 6'!$F$33,'Div 6'!$F$44,'Div 6'!$F$55,'Div 6'!$F$57,'Div 6'!$F$59,'Div 6'!$F$61,'Div 6'!$F$63,'Div 6'!$F$65,'Div 6'!$F$67,'Div 6'!$F$69,'Div 6'!$F$72</definedName>
    <definedName name="OSRRefD20x_2" localSheetId="2">Summary!$F$66,Summary!$F$77,Summary!$F$88,Summary!$F$90,Summary!$F$92,Summary!$F$94,Summary!$F$97,Summary!$F$100,Summary!$F$102,Summary!$F$104,Summary!$F$106,Summary!$F$109,Summary!$F$111,Summary!$F$113,Summary!$F$115,Summary!$F$117,Summary!$F$119,Summary!$F$121,Summary!$F$123,Summary!$F$128,Summary!$F$133,Summary!$F$139,Summary!$F$142,Summary!$F$153,Summary!$F$156,Summary!$F$158,Summary!$F$162</definedName>
    <definedName name="OSRRefD20x_3" localSheetId="40">'200'!$G$18,'200'!$G$20,'200'!$G$22,'200'!$G$24</definedName>
    <definedName name="OSRRefD20x_3" localSheetId="41">'201'!$G$18,'201'!$G$28,'201'!$G$39,'201'!$G$41,'201'!$G$43,'201'!$G$45,'201'!$G$47,'201'!$G$49,'201'!$G$51,'201'!$G$53,'201'!$G$57,'201'!$G$60,'201'!$G$62,'201'!$G$65,'201'!$G$67</definedName>
    <definedName name="OSRRefD20x_3" localSheetId="42">'202'!$G$18,'202'!$G$28,'202'!$G$39,'202'!$G$41,'202'!$G$43,'202'!$G$45,'202'!$G$47,'202'!$G$49,'202'!$G$53,'202'!$G$55,'202'!$G$58,'202'!$G$60,'202'!$G$62</definedName>
    <definedName name="OSRRefD20x_3" localSheetId="43">'203'!$G$18,'203'!$G$29,'203'!$G$40,'203'!$G$42,'203'!$G$44,'203'!$G$46,'203'!$G$48,'203'!$G$50,'203'!$G$52,'203'!$G$56,'203'!$G$59,'203'!$G$62,'203'!$G$67,'203'!$G$69</definedName>
    <definedName name="OSRRefD20x_3" localSheetId="44">'204'!$G$18,'204'!$G$28,'204'!$G$39,'204'!$G$42,'204'!$G$44,'204'!$G$49,'204'!$G$51,'204'!$G$54,'204'!$G$56</definedName>
    <definedName name="OSRRefD20x_3" localSheetId="45">'205'!$G$18,'205'!$G$28,'205'!$G$39,'205'!$G$41,'205'!$G$43,'205'!$G$46,'205'!$G$48,'205'!$G$51</definedName>
    <definedName name="OSRRefD20x_3" localSheetId="46">'206'!$G$18,'206'!$G$28,'206'!$G$39,'206'!$G$41,'206'!$G$44,'206'!$G$46</definedName>
    <definedName name="OSRRefD20x_3" localSheetId="48">'300'!$G$52,'300'!$G$63,'300'!$G$74,'300'!$G$76,'300'!$G$78,'300'!$G$80,'300'!$G$83,'300'!$G$86,'300'!$G$88,'300'!$G$90,'300'!$G$92,'300'!$G$95,'300'!$G$97,'300'!$G$99,'300'!$G$101,'300'!$G$103,'300'!$G$105,'300'!$G$110,'300'!$G$115,'300'!$G$119,'300'!$G$122,'300'!$G$130,'300'!$G$133,'300'!$G$135,'300'!$G$139</definedName>
    <definedName name="OSRRefD20x_3" localSheetId="49">'300 &amp; 317'!$G$58,'300 &amp; 317'!$G$69,'300 &amp; 317'!$G$80,'300 &amp; 317'!$G$82,'300 &amp; 317'!$G$84,'300 &amp; 317'!$G$86,'300 &amp; 317'!$G$89,'300 &amp; 317'!$G$92,'300 &amp; 317'!$G$94,'300 &amp; 317'!$G$96,'300 &amp; 317'!$G$98,'300 &amp; 317'!$G$101,'300 &amp; 317'!$G$103,'300 &amp; 317'!$G$105,'300 &amp; 317'!$G$107,'300 &amp; 317'!$G$109,'300 &amp; 317'!$G$111,'300 &amp; 317'!$G$116,'300 &amp; 317'!$G$121,'300 &amp; 317'!$G$125,'300 &amp; 317'!$G$128,'300 &amp; 317'!$G$136,'300 &amp; 317'!$G$139,'300 &amp; 317'!$G$141,'300 &amp; 317'!$G$145</definedName>
    <definedName name="OSRRefD20x_3" localSheetId="50">'301'!$G$19,'301'!$G$30,'301'!$G$41,'301'!$G$43,'301'!$G$45,'301'!$G$47,'301'!$G$50,'301'!$G$53,'301'!$G$55,'301'!$G$57,'301'!$G$59,'301'!$G$61,'301'!$G$63,'301'!$G$65,'301'!$G$67,'301'!$G$69,'301'!$G$74,'301'!$G$77,'301'!$G$79,'301'!$G$86,'301'!$G$88,'301'!$G$90,'301'!$G$93</definedName>
    <definedName name="OSRRefD20x_3" localSheetId="55">'307'!$G$32,'307'!$G$42,'307'!$G$53,'307'!$G$55,'307'!$G$57,'307'!$G$59,'307'!$G$61,'307'!$G$63,'307'!$G$65,'307'!$G$67,'307'!$G$70,'307'!$G$73,'307'!$G$75,'307'!$G$80</definedName>
    <definedName name="OSRRefD20x_3" localSheetId="51">'308'!$G$33,'308'!$G$44,'308'!$G$55,'308'!$G$57,'308'!$G$59,'308'!$G$61,'308'!$G$63,'308'!$G$66,'308'!$G$68,'308'!$G$70,'308'!$G$74,'308'!$G$77,'308'!$G$80,'308'!$G$83</definedName>
    <definedName name="OSRRefD20x_3" localSheetId="64">'309'!$G$24,'309'!$G$27,'309'!$G$30,'309'!$G$32,'309'!$G$34,'309'!$G$36,'309'!$G$38,'309'!$G$40,'309'!$G$42,'309'!$G$45,'309'!$G$48,'309'!$G$51,'309'!$G$53</definedName>
    <definedName name="OSRRefD20x_3" localSheetId="63">'310'!$G$27,'310'!$G$38,'310'!$G$49,'310'!$G$51,'310'!$G$53,'310'!$G$55,'310'!$G$58,'310'!$G$60,'310'!$G$62,'310'!$G$64,'310'!$G$66,'310'!$G$68,'310'!$G$71,'310'!$G$74,'310'!$G$78,'310'!$G$85,'310'!$G$88,'310'!$G$90</definedName>
    <definedName name="OSRRefD20x_3" localSheetId="71">'310 &amp; 491'!$G$27,'310 &amp; 491'!$G$38,'310 &amp; 491'!$G$49,'310 &amp; 491'!$G$51,'310 &amp; 491'!$G$53,'310 &amp; 491'!$G$55,'310 &amp; 491'!$G$58,'310 &amp; 491'!$G$60,'310 &amp; 491'!$G$62,'310 &amp; 491'!$G$64,'310 &amp; 491'!$G$66,'310 &amp; 491'!$G$68,'310 &amp; 491'!$G$70,'310 &amp; 491'!$G$74,'310 &amp; 491'!$G$77,'310 &amp; 491'!$G$83,'310 &amp; 491'!$G$85,'310 &amp; 491'!$G$95,'310 &amp; 491'!$G$98,'310 &amp; 491'!$G$100,'310 &amp; 491'!$G$103</definedName>
    <definedName name="OSRRefD20x_3" localSheetId="52">'311'!$G$33,'311'!$G$44,'311'!$G$55,'311'!$G$57,'311'!$G$59,'311'!$G$61,'311'!$G$63,'311'!$G$66,'311'!$G$68,'311'!$G$70,'311'!$G$74,'311'!$G$77,'311'!$G$80,'311'!$G$83</definedName>
    <definedName name="OSRRefD20x_3" localSheetId="65">'313'!$G$18,'313'!$G$20,'313'!$G$22</definedName>
    <definedName name="OSRRefD20x_3" localSheetId="57">'315'!$G$42,'315'!$G$52,'315'!$G$63,'315'!$G$65,'315'!$G$67,'315'!$G$69,'315'!$G$71,'315'!$G$73,'315'!$G$75,'315'!$G$78,'315'!$G$80,'315'!$G$82,'315'!$G$84,'315'!$G$87,'315'!$G$91,'315'!$G$94,'315'!$G$99,'315'!$G$101,'315'!$G$103</definedName>
    <definedName name="OSRRefD20x_3" localSheetId="60">'316'!$G$25,'316'!$G$35,'316'!$G$46,'316'!$G$48,'316'!$G$50,'316'!$G$52,'316'!$G$55,'316'!$G$57,'316'!$G$60,'316'!$G$62,'316'!$G$64,'316'!$G$70</definedName>
    <definedName name="OSRRefD20x_3" localSheetId="62">'317'!$G$33,'317'!$G$44,'317'!$G$55,'317'!$G$57,'317'!$G$59,'317'!$G$61,'317'!$G$63,'317'!$G$65,'317'!$G$67,'317'!$G$69,'317'!$G$72</definedName>
    <definedName name="OSRRefD20x_3" localSheetId="66">'321'!$G$22,'321'!$G$33,'321'!$G$44,'321'!$G$46,'321'!$G$48,'321'!$G$50,'321'!$G$52,'321'!$G$54,'321'!$G$57,'321'!$G$60,'321'!$G$64,'321'!$G$69,'321'!$G$71</definedName>
    <definedName name="OSRRefD20x_3" localSheetId="67">'322'!$G$18</definedName>
    <definedName name="OSRRefD20x_3" localSheetId="68">'325'!$G$23,'325'!$G$33,'325'!$G$44,'325'!$G$46,'325'!$G$48,'325'!$G$50,'325'!$G$53,'325'!$G$55,'325'!$G$57,'325'!$G$59,'325'!$G$61,'325'!$G$63,'325'!$G$66,'325'!$G$70,'325'!$G$77,'325'!$G$80,'325'!$G$82</definedName>
    <definedName name="OSRRefD20x_3" localSheetId="58">'326'!$G$26,'326'!$G$36,'326'!$G$47,'326'!$G$49,'326'!$G$51,'326'!$G$53,'326'!$G$55,'326'!$G$57,'326'!$G$59,'326'!$G$61,'326'!$G$63,'326'!$G$65,'326'!$G$68,'326'!$G$71,'326'!$G$74,'326'!$G$78,'326'!$G$80,'326'!$G$83</definedName>
    <definedName name="OSRRefD20x_3" localSheetId="69">'327'!$G$24,'327'!$G$26</definedName>
    <definedName name="OSRRefD20x_3" localSheetId="56">'331'!$G$42,'331'!$G$52,'331'!$G$63,'331'!$G$65,'331'!$G$67,'331'!$G$69,'331'!$G$71,'331'!$G$73,'331'!$G$75,'331'!$G$78,'331'!$G$80,'331'!$G$82,'331'!$G$84,'331'!$G$86,'331'!$G$88,'331'!$G$91,'331'!$G$95,'331'!$G$98,'331'!$G$101,'331'!$G$107,'331'!$G$109,'331'!$G$111,'331'!$G$114</definedName>
    <definedName name="OSRRefD20x_3" localSheetId="59">'332'!$G$25,'332'!$G$35,'332'!$G$46,'332'!$G$48,'332'!$G$50,'332'!$G$52,'332'!$G$55,'332'!$G$57,'332'!$G$60,'332'!$G$62,'332'!$G$64,'332'!$G$70</definedName>
    <definedName name="OSRRefD20x_3" localSheetId="54">'333'!$G$44,'333'!$G$54,'333'!$G$65,'333'!$G$67,'333'!$G$69,'333'!$G$71,'333'!$G$73,'333'!$G$75,'333'!$G$77,'333'!$G$80,'333'!$G$82,'333'!$G$84,'333'!$G$86,'333'!$G$88,'333'!$G$90,'333'!$G$93,'333'!$G$97,'333'!$G$101,'333'!$G$104,'333'!$G$111,'333'!$G$113,'333'!$G$115,'333'!$G$118</definedName>
    <definedName name="OSRRefD20x_3" localSheetId="73">'405'!$G$25,'405'!$G$35,'405'!$G$46,'405'!$G$48,'405'!$G$50,'405'!$G$52,'405'!$G$55,'405'!$G$57,'405'!$G$59,'405'!$G$61,'405'!$G$64,'405'!$G$68,'405'!$G$70,'405'!$G$80,'405'!$G$82,'405'!$G$84</definedName>
    <definedName name="OSRRefD20x_3" localSheetId="74">'406'!$G$18</definedName>
    <definedName name="OSRRefD20x_3" localSheetId="75">'411'!$G$18,'411'!$G$28,'411'!$G$39,'411'!$G$41,'411'!$G$44,'411'!$G$46,'411'!$G$48,'411'!$G$50,'411'!$G$52,'411'!$G$56,'411'!$G$59,'411'!$G$61,'411'!$G$64,'411'!$G$66,'411'!$G$69</definedName>
    <definedName name="OSRRefD20x_3" localSheetId="76">'412'!$G$18,'412'!$G$20,'412'!$G$22,'412'!$G$24</definedName>
    <definedName name="OSRRefD20x_3" localSheetId="77">'413'!$G$18,'413'!$G$20</definedName>
    <definedName name="OSRRefD20x_3" localSheetId="78">'414'!$G$18,'414'!$G$20</definedName>
    <definedName name="OSRRefD20x_3" localSheetId="79">'415'!$G$25,'415'!$G$36,'415'!$G$47,'415'!$G$49,'415'!$G$51,'415'!$G$53,'415'!$G$56,'415'!$G$58,'415'!$G$60,'415'!$G$62,'415'!$G$64,'415'!$G$66,'415'!$G$69,'415'!$G$74,'415'!$G$76,'415'!$G$83,'415'!$G$86,'415'!$G$88</definedName>
    <definedName name="OSRRefD20x_3" localSheetId="80">'418'!$G$22,'418'!$G$32,'418'!$G$43,'418'!$G$45,'418'!$G$47,'418'!$G$50,'418'!$G$52,'418'!$G$54,'418'!$G$56,'418'!$G$59,'418'!$G$63,'418'!$G$65,'418'!$G$72,'418'!$G$75,'418'!$G$77</definedName>
    <definedName name="OSRRefD20x_3" localSheetId="81">'423'!$G$18,'423'!$G$27,'423'!$G$38,'423'!$G$40,'423'!$G$42</definedName>
    <definedName name="OSRRefD20x_3" localSheetId="82">'424'!$G$18,'424'!$G$20</definedName>
    <definedName name="OSRRefD20x_3" localSheetId="83">'425'!$G$20,'425'!$G$22,'425'!$G$24,'425'!$G$26,'425'!$G$28</definedName>
    <definedName name="OSRRefD20x_3" localSheetId="86">'430'!$G$18,'430'!$G$28,'430'!$G$39,'430'!$G$41,'430'!$G$43,'430'!$G$45,'430'!$G$48,'430'!$G$51,'430'!$G$53</definedName>
    <definedName name="OSRRefD20x_3" localSheetId="87">'433'!$G$25,'433'!$G$36,'433'!$G$47,'433'!$G$49,'433'!$G$51,'433'!$G$53,'433'!$G$55,'433'!$G$57,'433'!$G$59,'433'!$G$61,'433'!$G$63,'433'!$G$65,'433'!$G$69,'433'!$G$74,'433'!$G$83,'433'!$G$85</definedName>
    <definedName name="OSRRefD20x_3" localSheetId="88">'435'!$G$21,'435'!$G$24,'435'!$G$26,'435'!$G$28,'435'!$G$30</definedName>
    <definedName name="OSRRefD20x_3" localSheetId="89">'444'!$G$25,'444'!$G$36,'444'!$G$47,'444'!$G$49,'444'!$G$51,'444'!$G$53,'444'!$G$55,'444'!$G$57,'444'!$G$59,'444'!$G$61,'444'!$G$63,'444'!$G$65,'444'!$G$68,'444'!$G$73,'444'!$G$83,'444'!$G$85</definedName>
    <definedName name="OSRRefD20x_3" localSheetId="90">'450'!$G$25,'450'!$G$36,'450'!$G$47,'450'!$G$49,'450'!$G$51,'450'!$G$53,'450'!$G$55,'450'!$G$57,'450'!$G$59,'450'!$G$61,'450'!$G$63,'450'!$G$65,'450'!$G$68,'450'!$G$73,'450'!$G$81,'450'!$G$83,'450'!$G$85</definedName>
    <definedName name="OSRRefD20x_3" localSheetId="72">'491'!$G$26,'491'!$G$37,'491'!$G$48,'491'!$G$50,'491'!$G$52,'491'!$G$54,'491'!$G$57,'491'!$G$59,'491'!$G$61,'491'!$G$63,'491'!$G$65,'491'!$G$67,'491'!$G$69,'491'!$G$73,'491'!$G$75,'491'!$G$81,'491'!$G$83,'491'!$G$93,'491'!$G$96,'491'!$G$98,'491'!$G$101</definedName>
    <definedName name="OSRRefD20x_3" localSheetId="85">'492'!$G$27,'492'!$G$38,'492'!$G$49,'492'!$G$51,'492'!$G$53,'492'!$G$55,'492'!$G$57,'492'!$G$59,'492'!$G$61,'492'!$G$63,'492'!$G$65,'492'!$G$67,'492'!$G$69,'492'!$G$73,'492'!$G$78,'492'!$G$88,'492'!$G$91,'492'!$G$93</definedName>
    <definedName name="OSRRefD20x_3" localSheetId="92">'501'!$G$19,'501'!$G$30,'501'!$G$41,'501'!$G$43,'501'!$G$45,'501'!$G$47,'501'!$G$50,'501'!$G$52,'501'!$G$54,'501'!$G$56,'501'!$G$60,'501'!$G$62,'501'!$G$66,'501'!$G$68</definedName>
    <definedName name="OSRRefD20x_3" localSheetId="39">'Div 2'!$G$18,'Div 2'!$G$30,'Div 2'!$G$41,'Div 2'!$G$43,'Div 2'!$G$45,'Div 2'!$G$47,'Div 2'!$G$50,'Div 2'!$G$52,'Div 2'!$G$54,'Div 2'!$G$56,'Div 2'!$G$58,'Div 2'!$G$60,'Div 2'!$G$62,'Div 2'!$G$67,'Div 2'!$G$72,'Div 2'!$G$75,'Div 2'!$G$78,'Div 2'!$G$84,'Div 2'!$G$87,'Div 2'!$G$89</definedName>
    <definedName name="OSRRefD20x_3" localSheetId="47">'Div 3'!$G$58,'Div 3'!$G$69,'Div 3'!$G$80,'Div 3'!$G$82,'Div 3'!$G$84,'Div 3'!$G$86,'Div 3'!$G$89,'Div 3'!$G$92,'Div 3'!$G$94,'Div 3'!$G$96,'Div 3'!$G$98,'Div 3'!$G$101,'Div 3'!$G$103,'Div 3'!$G$105,'Div 3'!$G$107,'Div 3'!$G$109,'Div 3'!$G$111,'Div 3'!$G$113,'Div 3'!$G$118,'Div 3'!$G$123,'Div 3'!$G$128,'Div 3'!$G$131,'Div 3'!$G$139,'Div 3'!$G$142,'Div 3'!$G$144,'Div 3'!$G$148</definedName>
    <definedName name="OSRRefD20x_3" localSheetId="70">'Div 4'!$G$29,'Div 4'!$G$40,'Div 4'!$G$51,'Div 4'!$G$53,'Div 4'!$G$55,'Div 4'!$G$57,'Div 4'!$G$60,'Div 4'!$G$62,'Div 4'!$G$64,'Div 4'!$G$66,'Div 4'!$G$68,'Div 4'!$G$70,'Div 4'!$G$72,'Div 4'!$G$74,'Div 4'!$G$76,'Div 4'!$G$80,'Div 4'!$G$82,'Div 4'!$G$88,'Div 4'!$G$90,'Div 4'!$G$101,'Div 4'!$G$104,'Div 4'!$G$106,'Div 4'!$G$109</definedName>
    <definedName name="OSRRefD20x_3" localSheetId="91">'Div 5'!$G$19,'Div 5'!$G$30,'Div 5'!$G$41,'Div 5'!$G$43,'Div 5'!$G$45,'Div 5'!$G$47,'Div 5'!$G$50,'Div 5'!$G$52,'Div 5'!$G$54,'Div 5'!$G$56,'Div 5'!$G$60,'Div 5'!$G$62,'Div 5'!$G$66,'Div 5'!$G$68</definedName>
    <definedName name="OSRRefD20x_3" localSheetId="61">'Div 6'!$G$33,'Div 6'!$G$44,'Div 6'!$G$55,'Div 6'!$G$57,'Div 6'!$G$59,'Div 6'!$G$61,'Div 6'!$G$63,'Div 6'!$G$65,'Div 6'!$G$67,'Div 6'!$G$69,'Div 6'!$G$72</definedName>
    <definedName name="OSRRefD20x_3" localSheetId="2">Summary!$G$66,Summary!$G$77,Summary!$G$88,Summary!$G$90,Summary!$G$92,Summary!$G$94,Summary!$G$97,Summary!$G$100,Summary!$G$102,Summary!$G$104,Summary!$G$106,Summary!$G$109,Summary!$G$111,Summary!$G$113,Summary!$G$115,Summary!$G$117,Summary!$G$119,Summary!$G$121,Summary!$G$123,Summary!$G$128,Summary!$G$133,Summary!$G$139,Summary!$G$142,Summary!$G$153,Summary!$G$156,Summary!$G$158,Summary!$G$162</definedName>
    <definedName name="OSRRefD20x_4" localSheetId="40">'200'!$H$18,'200'!$H$20,'200'!$H$22,'200'!$H$24</definedName>
    <definedName name="OSRRefD20x_4" localSheetId="41">'201'!$H$18,'201'!$H$28,'201'!$H$39,'201'!$H$41,'201'!$H$43,'201'!$H$45,'201'!$H$47,'201'!$H$49,'201'!$H$51,'201'!$H$53,'201'!$H$57,'201'!$H$60,'201'!$H$62,'201'!$H$65,'201'!$H$67</definedName>
    <definedName name="OSRRefD20x_4" localSheetId="42">'202'!$H$18,'202'!$H$28,'202'!$H$39,'202'!$H$41,'202'!$H$43,'202'!$H$45,'202'!$H$47,'202'!$H$49,'202'!$H$53,'202'!$H$55,'202'!$H$58,'202'!$H$60,'202'!$H$62</definedName>
    <definedName name="OSRRefD20x_4" localSheetId="43">'203'!$H$18,'203'!$H$29,'203'!$H$40,'203'!$H$42,'203'!$H$44,'203'!$H$46,'203'!$H$48,'203'!$H$50,'203'!$H$52,'203'!$H$56,'203'!$H$59,'203'!$H$62,'203'!$H$67,'203'!$H$69</definedName>
    <definedName name="OSRRefD20x_4" localSheetId="44">'204'!$H$18,'204'!$H$28,'204'!$H$39,'204'!$H$42,'204'!$H$44,'204'!$H$49,'204'!$H$51,'204'!$H$54,'204'!$H$56</definedName>
    <definedName name="OSRRefD20x_4" localSheetId="45">'205'!$H$18,'205'!$H$28,'205'!$H$39,'205'!$H$41,'205'!$H$43,'205'!$H$46,'205'!$H$48,'205'!$H$51</definedName>
    <definedName name="OSRRefD20x_4" localSheetId="46">'206'!$H$18,'206'!$H$28,'206'!$H$39,'206'!$H$41,'206'!$H$44,'206'!$H$46</definedName>
    <definedName name="OSRRefD20x_4" localSheetId="48">'300'!$H$52,'300'!$H$63,'300'!$H$74,'300'!$H$76,'300'!$H$78,'300'!$H$80,'300'!$H$83,'300'!$H$86,'300'!$H$88,'300'!$H$90,'300'!$H$92,'300'!$H$95,'300'!$H$97,'300'!$H$99,'300'!$H$101,'300'!$H$103,'300'!$H$105,'300'!$H$110,'300'!$H$115,'300'!$H$119,'300'!$H$122,'300'!$H$130,'300'!$H$133,'300'!$H$135,'300'!$H$139</definedName>
    <definedName name="OSRRefD20x_4" localSheetId="49">'300 &amp; 317'!$H$58,'300 &amp; 317'!$H$69,'300 &amp; 317'!$H$80,'300 &amp; 317'!$H$82,'300 &amp; 317'!$H$84,'300 &amp; 317'!$H$86,'300 &amp; 317'!$H$89,'300 &amp; 317'!$H$92,'300 &amp; 317'!$H$94,'300 &amp; 317'!$H$96,'300 &amp; 317'!$H$98,'300 &amp; 317'!$H$101,'300 &amp; 317'!$H$103,'300 &amp; 317'!$H$105,'300 &amp; 317'!$H$107,'300 &amp; 317'!$H$109,'300 &amp; 317'!$H$111,'300 &amp; 317'!$H$116,'300 &amp; 317'!$H$121,'300 &amp; 317'!$H$125,'300 &amp; 317'!$H$128,'300 &amp; 317'!$H$136,'300 &amp; 317'!$H$139,'300 &amp; 317'!$H$141,'300 &amp; 317'!$H$145</definedName>
    <definedName name="OSRRefD20x_4" localSheetId="50">'301'!$H$19,'301'!$H$30,'301'!$H$41,'301'!$H$43,'301'!$H$45,'301'!$H$47,'301'!$H$50,'301'!$H$53,'301'!$H$55,'301'!$H$57,'301'!$H$59,'301'!$H$61,'301'!$H$63,'301'!$H$65,'301'!$H$67,'301'!$H$69,'301'!$H$74,'301'!$H$77,'301'!$H$79,'301'!$H$86,'301'!$H$88,'301'!$H$90,'301'!$H$93</definedName>
    <definedName name="OSRRefD20x_4" localSheetId="55">'307'!$H$32,'307'!$H$42,'307'!$H$53,'307'!$H$55,'307'!$H$57,'307'!$H$59,'307'!$H$61,'307'!$H$63,'307'!$H$65,'307'!$H$67,'307'!$H$70,'307'!$H$73,'307'!$H$75,'307'!$H$80</definedName>
    <definedName name="OSRRefD20x_4" localSheetId="51">'308'!$H$33,'308'!$H$44,'308'!$H$55,'308'!$H$57,'308'!$H$59,'308'!$H$61,'308'!$H$63,'308'!$H$66,'308'!$H$68,'308'!$H$70,'308'!$H$74,'308'!$H$77,'308'!$H$80,'308'!$H$83</definedName>
    <definedName name="OSRRefD20x_4" localSheetId="64">'309'!$H$24,'309'!$H$27,'309'!$H$30,'309'!$H$32,'309'!$H$34,'309'!$H$36,'309'!$H$38,'309'!$H$40,'309'!$H$42,'309'!$H$45,'309'!$H$48,'309'!$H$51,'309'!$H$53</definedName>
    <definedName name="OSRRefD20x_4" localSheetId="63">'310'!$H$27,'310'!$H$38,'310'!$H$49,'310'!$H$51,'310'!$H$53,'310'!$H$55,'310'!$H$58,'310'!$H$60,'310'!$H$62,'310'!$H$64,'310'!$H$66,'310'!$H$68,'310'!$H$71,'310'!$H$74,'310'!$H$78,'310'!$H$85,'310'!$H$88,'310'!$H$90</definedName>
    <definedName name="OSRRefD20x_4" localSheetId="71">'310 &amp; 491'!$H$27,'310 &amp; 491'!$H$38,'310 &amp; 491'!$H$49,'310 &amp; 491'!$H$51,'310 &amp; 491'!$H$53,'310 &amp; 491'!$H$55,'310 &amp; 491'!$H$58,'310 &amp; 491'!$H$60,'310 &amp; 491'!$H$62,'310 &amp; 491'!$H$64,'310 &amp; 491'!$H$66,'310 &amp; 491'!$H$68,'310 &amp; 491'!$H$70,'310 &amp; 491'!$H$74,'310 &amp; 491'!$H$77,'310 &amp; 491'!$H$83,'310 &amp; 491'!$H$85,'310 &amp; 491'!$H$95,'310 &amp; 491'!$H$98,'310 &amp; 491'!$H$100,'310 &amp; 491'!$H$103</definedName>
    <definedName name="OSRRefD20x_4" localSheetId="52">'311'!$H$33,'311'!$H$44,'311'!$H$55,'311'!$H$57,'311'!$H$59,'311'!$H$61,'311'!$H$63,'311'!$H$66,'311'!$H$68,'311'!$H$70,'311'!$H$74,'311'!$H$77,'311'!$H$80,'311'!$H$83</definedName>
    <definedName name="OSRRefD20x_4" localSheetId="65">'313'!$H$18,'313'!$H$20,'313'!$H$22</definedName>
    <definedName name="OSRRefD20x_4" localSheetId="57">'315'!$H$42,'315'!$H$52,'315'!$H$63,'315'!$H$65,'315'!$H$67,'315'!$H$69,'315'!$H$71,'315'!$H$73,'315'!$H$75,'315'!$H$78,'315'!$H$80,'315'!$H$82,'315'!$H$84,'315'!$H$87,'315'!$H$91,'315'!$H$94,'315'!$H$99,'315'!$H$101,'315'!$H$103</definedName>
    <definedName name="OSRRefD20x_4" localSheetId="60">'316'!$H$25,'316'!$H$35,'316'!$H$46,'316'!$H$48,'316'!$H$50,'316'!$H$52,'316'!$H$55,'316'!$H$57,'316'!$H$60,'316'!$H$62,'316'!$H$64,'316'!$H$70</definedName>
    <definedName name="OSRRefD20x_4" localSheetId="62">'317'!$H$33,'317'!$H$44,'317'!$H$55,'317'!$H$57,'317'!$H$59,'317'!$H$61,'317'!$H$63,'317'!$H$65,'317'!$H$67,'317'!$H$69,'317'!$H$72</definedName>
    <definedName name="OSRRefD20x_4" localSheetId="66">'321'!$H$22,'321'!$H$33,'321'!$H$44,'321'!$H$46,'321'!$H$48,'321'!$H$50,'321'!$H$52,'321'!$H$54,'321'!$H$57,'321'!$H$60,'321'!$H$64,'321'!$H$69,'321'!$H$71</definedName>
    <definedName name="OSRRefD20x_4" localSheetId="67">'322'!$H$18</definedName>
    <definedName name="OSRRefD20x_4" localSheetId="68">'325'!$H$23,'325'!$H$33,'325'!$H$44,'325'!$H$46,'325'!$H$48,'325'!$H$50,'325'!$H$53,'325'!$H$55,'325'!$H$57,'325'!$H$59,'325'!$H$61,'325'!$H$63,'325'!$H$66,'325'!$H$70,'325'!$H$77,'325'!$H$80,'325'!$H$82</definedName>
    <definedName name="OSRRefD20x_4" localSheetId="58">'326'!$H$26,'326'!$H$36,'326'!$H$47,'326'!$H$49,'326'!$H$51,'326'!$H$53,'326'!$H$55,'326'!$H$57,'326'!$H$59,'326'!$H$61,'326'!$H$63,'326'!$H$65,'326'!$H$68,'326'!$H$71,'326'!$H$74,'326'!$H$78,'326'!$H$80,'326'!$H$83</definedName>
    <definedName name="OSRRefD20x_4" localSheetId="69">'327'!$H$24,'327'!$H$26</definedName>
    <definedName name="OSRRefD20x_4" localSheetId="56">'331'!$H$42,'331'!$H$52,'331'!$H$63,'331'!$H$65,'331'!$H$67,'331'!$H$69,'331'!$H$71,'331'!$H$73,'331'!$H$75,'331'!$H$78,'331'!$H$80,'331'!$H$82,'331'!$H$84,'331'!$H$86,'331'!$H$88,'331'!$H$91,'331'!$H$95,'331'!$H$98,'331'!$H$101,'331'!$H$107,'331'!$H$109,'331'!$H$111,'331'!$H$114</definedName>
    <definedName name="OSRRefD20x_4" localSheetId="59">'332'!$H$25,'332'!$H$35,'332'!$H$46,'332'!$H$48,'332'!$H$50,'332'!$H$52,'332'!$H$55,'332'!$H$57,'332'!$H$60,'332'!$H$62,'332'!$H$64,'332'!$H$70</definedName>
    <definedName name="OSRRefD20x_4" localSheetId="54">'333'!$H$44,'333'!$H$54,'333'!$H$65,'333'!$H$67,'333'!$H$69,'333'!$H$71,'333'!$H$73,'333'!$H$75,'333'!$H$77,'333'!$H$80,'333'!$H$82,'333'!$H$84,'333'!$H$86,'333'!$H$88,'333'!$H$90,'333'!$H$93,'333'!$H$97,'333'!$H$101,'333'!$H$104,'333'!$H$111,'333'!$H$113,'333'!$H$115,'333'!$H$118</definedName>
    <definedName name="OSRRefD20x_4" localSheetId="73">'405'!$H$25,'405'!$H$35,'405'!$H$46,'405'!$H$48,'405'!$H$50,'405'!$H$52,'405'!$H$55,'405'!$H$57,'405'!$H$59,'405'!$H$61,'405'!$H$64,'405'!$H$68,'405'!$H$70,'405'!$H$80,'405'!$H$82,'405'!$H$84</definedName>
    <definedName name="OSRRefD20x_4" localSheetId="74">'406'!$H$18</definedName>
    <definedName name="OSRRefD20x_4" localSheetId="75">'411'!$H$18,'411'!$H$28,'411'!$H$39,'411'!$H$41,'411'!$H$44,'411'!$H$46,'411'!$H$48,'411'!$H$50,'411'!$H$52,'411'!$H$56,'411'!$H$59,'411'!$H$61,'411'!$H$64,'411'!$H$66,'411'!$H$69</definedName>
    <definedName name="OSRRefD20x_4" localSheetId="76">'412'!$H$18,'412'!$H$20,'412'!$H$22,'412'!$H$24</definedName>
    <definedName name="OSRRefD20x_4" localSheetId="77">'413'!$H$18,'413'!$H$20</definedName>
    <definedName name="OSRRefD20x_4" localSheetId="78">'414'!$H$18,'414'!$H$20</definedName>
    <definedName name="OSRRefD20x_4" localSheetId="79">'415'!$H$25,'415'!$H$36,'415'!$H$47,'415'!$H$49,'415'!$H$51,'415'!$H$53,'415'!$H$56,'415'!$H$58,'415'!$H$60,'415'!$H$62,'415'!$H$64,'415'!$H$66,'415'!$H$69,'415'!$H$74,'415'!$H$76,'415'!$H$83,'415'!$H$86,'415'!$H$88</definedName>
    <definedName name="OSRRefD20x_4" localSheetId="80">'418'!$H$22,'418'!$H$32,'418'!$H$43,'418'!$H$45,'418'!$H$47,'418'!$H$50,'418'!$H$52,'418'!$H$54,'418'!$H$56,'418'!$H$59,'418'!$H$63,'418'!$H$65,'418'!$H$72,'418'!$H$75,'418'!$H$77</definedName>
    <definedName name="OSRRefD20x_4" localSheetId="81">'423'!$H$18,'423'!$H$27,'423'!$H$38,'423'!$H$40,'423'!$H$42</definedName>
    <definedName name="OSRRefD20x_4" localSheetId="82">'424'!$H$18,'424'!$H$20</definedName>
    <definedName name="OSRRefD20x_4" localSheetId="83">'425'!$H$20,'425'!$H$22,'425'!$H$24,'425'!$H$26,'425'!$H$28</definedName>
    <definedName name="OSRRefD20x_4" localSheetId="86">'430'!$H$18,'430'!$H$28,'430'!$H$39,'430'!$H$41,'430'!$H$43,'430'!$H$45,'430'!$H$48,'430'!$H$51,'430'!$H$53</definedName>
    <definedName name="OSRRefD20x_4" localSheetId="87">'433'!$H$25,'433'!$H$36,'433'!$H$47,'433'!$H$49,'433'!$H$51,'433'!$H$53,'433'!$H$55,'433'!$H$57,'433'!$H$59,'433'!$H$61,'433'!$H$63,'433'!$H$65,'433'!$H$69,'433'!$H$74,'433'!$H$83,'433'!$H$85</definedName>
    <definedName name="OSRRefD20x_4" localSheetId="88">'435'!$H$21,'435'!$H$24,'435'!$H$26,'435'!$H$28,'435'!$H$30</definedName>
    <definedName name="OSRRefD20x_4" localSheetId="89">'444'!$H$25,'444'!$H$36,'444'!$H$47,'444'!$H$49,'444'!$H$51,'444'!$H$53,'444'!$H$55,'444'!$H$57,'444'!$H$59,'444'!$H$61,'444'!$H$63,'444'!$H$65,'444'!$H$68,'444'!$H$73,'444'!$H$83,'444'!$H$85</definedName>
    <definedName name="OSRRefD20x_4" localSheetId="90">'450'!$H$25,'450'!$H$36,'450'!$H$47,'450'!$H$49,'450'!$H$51,'450'!$H$53,'450'!$H$55,'450'!$H$57,'450'!$H$59,'450'!$H$61,'450'!$H$63,'450'!$H$65,'450'!$H$68,'450'!$H$73,'450'!$H$81,'450'!$H$83,'450'!$H$85</definedName>
    <definedName name="OSRRefD20x_4" localSheetId="72">'491'!$H$26,'491'!$H$37,'491'!$H$48,'491'!$H$50,'491'!$H$52,'491'!$H$54,'491'!$H$57,'491'!$H$59,'491'!$H$61,'491'!$H$63,'491'!$H$65,'491'!$H$67,'491'!$H$69,'491'!$H$73,'491'!$H$75,'491'!$H$81,'491'!$H$83,'491'!$H$93,'491'!$H$96,'491'!$H$98,'491'!$H$101</definedName>
    <definedName name="OSRRefD20x_4" localSheetId="85">'492'!$H$27,'492'!$H$38,'492'!$H$49,'492'!$H$51,'492'!$H$53,'492'!$H$55,'492'!$H$57,'492'!$H$59,'492'!$H$61,'492'!$H$63,'492'!$H$65,'492'!$H$67,'492'!$H$69,'492'!$H$73,'492'!$H$78,'492'!$H$88,'492'!$H$91,'492'!$H$93</definedName>
    <definedName name="OSRRefD20x_4" localSheetId="92">'501'!$H$19,'501'!$H$30,'501'!$H$41,'501'!$H$43,'501'!$H$45,'501'!$H$47,'501'!$H$50,'501'!$H$52,'501'!$H$54,'501'!$H$56,'501'!$H$60,'501'!$H$62,'501'!$H$66,'501'!$H$68</definedName>
    <definedName name="OSRRefD20x_4" localSheetId="39">'Div 2'!$H$18,'Div 2'!$H$30,'Div 2'!$H$41,'Div 2'!$H$43,'Div 2'!$H$45,'Div 2'!$H$47,'Div 2'!$H$50,'Div 2'!$H$52,'Div 2'!$H$54,'Div 2'!$H$56,'Div 2'!$H$58,'Div 2'!$H$60,'Div 2'!$H$62,'Div 2'!$H$67,'Div 2'!$H$72,'Div 2'!$H$75,'Div 2'!$H$78,'Div 2'!$H$84,'Div 2'!$H$87,'Div 2'!$H$89</definedName>
    <definedName name="OSRRefD20x_4" localSheetId="47">'Div 3'!$H$58,'Div 3'!$H$69,'Div 3'!$H$80,'Div 3'!$H$82,'Div 3'!$H$84,'Div 3'!$H$86,'Div 3'!$H$89,'Div 3'!$H$92,'Div 3'!$H$94,'Div 3'!$H$96,'Div 3'!$H$98,'Div 3'!$H$101,'Div 3'!$H$103,'Div 3'!$H$105,'Div 3'!$H$107,'Div 3'!$H$109,'Div 3'!$H$111,'Div 3'!$H$113,'Div 3'!$H$118,'Div 3'!$H$123,'Div 3'!$H$128,'Div 3'!$H$131,'Div 3'!$H$139,'Div 3'!$H$142,'Div 3'!$H$144,'Div 3'!$H$148</definedName>
    <definedName name="OSRRefD20x_4" localSheetId="70">'Div 4'!$H$29,'Div 4'!$H$40,'Div 4'!$H$51,'Div 4'!$H$53,'Div 4'!$H$55,'Div 4'!$H$57,'Div 4'!$H$60,'Div 4'!$H$62,'Div 4'!$H$64,'Div 4'!$H$66,'Div 4'!$H$68,'Div 4'!$H$70,'Div 4'!$H$72,'Div 4'!$H$74,'Div 4'!$H$76,'Div 4'!$H$80,'Div 4'!$H$82,'Div 4'!$H$88,'Div 4'!$H$90,'Div 4'!$H$101,'Div 4'!$H$104,'Div 4'!$H$106,'Div 4'!$H$109</definedName>
    <definedName name="OSRRefD20x_4" localSheetId="91">'Div 5'!$H$19,'Div 5'!$H$30,'Div 5'!$H$41,'Div 5'!$H$43,'Div 5'!$H$45,'Div 5'!$H$47,'Div 5'!$H$50,'Div 5'!$H$52,'Div 5'!$H$54,'Div 5'!$H$56,'Div 5'!$H$60,'Div 5'!$H$62,'Div 5'!$H$66,'Div 5'!$H$68</definedName>
    <definedName name="OSRRefD20x_4" localSheetId="61">'Div 6'!$H$33,'Div 6'!$H$44,'Div 6'!$H$55,'Div 6'!$H$57,'Div 6'!$H$59,'Div 6'!$H$61,'Div 6'!$H$63,'Div 6'!$H$65,'Div 6'!$H$67,'Div 6'!$H$69,'Div 6'!$H$72</definedName>
    <definedName name="OSRRefD20x_4" localSheetId="2">Summary!$H$66,Summary!$H$77,Summary!$H$88,Summary!$H$90,Summary!$H$92,Summary!$H$94,Summary!$H$97,Summary!$H$100,Summary!$H$102,Summary!$H$104,Summary!$H$106,Summary!$H$109,Summary!$H$111,Summary!$H$113,Summary!$H$115,Summary!$H$117,Summary!$H$119,Summary!$H$121,Summary!$H$123,Summary!$H$128,Summary!$H$133,Summary!$H$139,Summary!$H$142,Summary!$H$153,Summary!$H$156,Summary!$H$158,Summary!$H$162</definedName>
    <definedName name="OSRRefD20x_5" localSheetId="40">'200'!$I$18,'200'!$I$20,'200'!$I$22,'200'!$I$24</definedName>
    <definedName name="OSRRefD20x_5" localSheetId="41">'201'!$I$18,'201'!$I$28,'201'!$I$39,'201'!$I$41,'201'!$I$43,'201'!$I$45,'201'!$I$47,'201'!$I$49,'201'!$I$51,'201'!$I$53,'201'!$I$57,'201'!$I$60,'201'!$I$62,'201'!$I$65,'201'!$I$67</definedName>
    <definedName name="OSRRefD20x_5" localSheetId="42">'202'!$I$18,'202'!$I$28,'202'!$I$39,'202'!$I$41,'202'!$I$43,'202'!$I$45,'202'!$I$47,'202'!$I$49,'202'!$I$53,'202'!$I$55,'202'!$I$58,'202'!$I$60,'202'!$I$62</definedName>
    <definedName name="OSRRefD20x_5" localSheetId="43">'203'!$I$18,'203'!$I$29,'203'!$I$40,'203'!$I$42,'203'!$I$44,'203'!$I$46,'203'!$I$48,'203'!$I$50,'203'!$I$52,'203'!$I$56,'203'!$I$59,'203'!$I$62,'203'!$I$67,'203'!$I$69</definedName>
    <definedName name="OSRRefD20x_5" localSheetId="44">'204'!$I$18,'204'!$I$28,'204'!$I$39,'204'!$I$42,'204'!$I$44,'204'!$I$49,'204'!$I$51,'204'!$I$54,'204'!$I$56</definedName>
    <definedName name="OSRRefD20x_5" localSheetId="45">'205'!$I$18,'205'!$I$28,'205'!$I$39,'205'!$I$41,'205'!$I$43,'205'!$I$46,'205'!$I$48,'205'!$I$51</definedName>
    <definedName name="OSRRefD20x_5" localSheetId="46">'206'!$I$18,'206'!$I$28,'206'!$I$39,'206'!$I$41,'206'!$I$44,'206'!$I$46</definedName>
    <definedName name="OSRRefD20x_5" localSheetId="48">'300'!$I$52,'300'!$I$63,'300'!$I$74,'300'!$I$76,'300'!$I$78,'300'!$I$80,'300'!$I$83,'300'!$I$86,'300'!$I$88,'300'!$I$90,'300'!$I$92,'300'!$I$95,'300'!$I$97,'300'!$I$99,'300'!$I$101,'300'!$I$103,'300'!$I$105,'300'!$I$110,'300'!$I$115,'300'!$I$119,'300'!$I$122,'300'!$I$130,'300'!$I$133,'300'!$I$135,'300'!$I$139</definedName>
    <definedName name="OSRRefD20x_5" localSheetId="49">'300 &amp; 317'!$I$58,'300 &amp; 317'!$I$69,'300 &amp; 317'!$I$80,'300 &amp; 317'!$I$82,'300 &amp; 317'!$I$84,'300 &amp; 317'!$I$86,'300 &amp; 317'!$I$89,'300 &amp; 317'!$I$92,'300 &amp; 317'!$I$94,'300 &amp; 317'!$I$96,'300 &amp; 317'!$I$98,'300 &amp; 317'!$I$101,'300 &amp; 317'!$I$103,'300 &amp; 317'!$I$105,'300 &amp; 317'!$I$107,'300 &amp; 317'!$I$109,'300 &amp; 317'!$I$111,'300 &amp; 317'!$I$116,'300 &amp; 317'!$I$121,'300 &amp; 317'!$I$125,'300 &amp; 317'!$I$128,'300 &amp; 317'!$I$136,'300 &amp; 317'!$I$139,'300 &amp; 317'!$I$141,'300 &amp; 317'!$I$145</definedName>
    <definedName name="OSRRefD20x_5" localSheetId="50">'301'!$I$19,'301'!$I$30,'301'!$I$41,'301'!$I$43,'301'!$I$45,'301'!$I$47,'301'!$I$50,'301'!$I$53,'301'!$I$55,'301'!$I$57,'301'!$I$59,'301'!$I$61,'301'!$I$63,'301'!$I$65,'301'!$I$67,'301'!$I$69,'301'!$I$74,'301'!$I$77,'301'!$I$79,'301'!$I$86,'301'!$I$88,'301'!$I$90,'301'!$I$93</definedName>
    <definedName name="OSRRefD20x_5" localSheetId="55">'307'!$I$32,'307'!$I$42,'307'!$I$53,'307'!$I$55,'307'!$I$57,'307'!$I$59,'307'!$I$61,'307'!$I$63,'307'!$I$65,'307'!$I$67,'307'!$I$70,'307'!$I$73,'307'!$I$75,'307'!$I$80</definedName>
    <definedName name="OSRRefD20x_5" localSheetId="51">'308'!$I$33,'308'!$I$44,'308'!$I$55,'308'!$I$57,'308'!$I$59,'308'!$I$61,'308'!$I$63,'308'!$I$66,'308'!$I$68,'308'!$I$70,'308'!$I$74,'308'!$I$77,'308'!$I$80,'308'!$I$83</definedName>
    <definedName name="OSRRefD20x_5" localSheetId="64">'309'!$I$24,'309'!$I$27,'309'!$I$30,'309'!$I$32,'309'!$I$34,'309'!$I$36,'309'!$I$38,'309'!$I$40,'309'!$I$42,'309'!$I$45,'309'!$I$48,'309'!$I$51,'309'!$I$53</definedName>
    <definedName name="OSRRefD20x_5" localSheetId="63">'310'!$I$27,'310'!$I$38,'310'!$I$49,'310'!$I$51,'310'!$I$53,'310'!$I$55,'310'!$I$58,'310'!$I$60,'310'!$I$62,'310'!$I$64,'310'!$I$66,'310'!$I$68,'310'!$I$71,'310'!$I$74,'310'!$I$78,'310'!$I$85,'310'!$I$88,'310'!$I$90</definedName>
    <definedName name="OSRRefD20x_5" localSheetId="71">'310 &amp; 491'!$I$27,'310 &amp; 491'!$I$38,'310 &amp; 491'!$I$49,'310 &amp; 491'!$I$51,'310 &amp; 491'!$I$53,'310 &amp; 491'!$I$55,'310 &amp; 491'!$I$58,'310 &amp; 491'!$I$60,'310 &amp; 491'!$I$62,'310 &amp; 491'!$I$64,'310 &amp; 491'!$I$66,'310 &amp; 491'!$I$68,'310 &amp; 491'!$I$70,'310 &amp; 491'!$I$74,'310 &amp; 491'!$I$77,'310 &amp; 491'!$I$83,'310 &amp; 491'!$I$85,'310 &amp; 491'!$I$95,'310 &amp; 491'!$I$98,'310 &amp; 491'!$I$100,'310 &amp; 491'!$I$103</definedName>
    <definedName name="OSRRefD20x_5" localSheetId="52">'311'!$I$33,'311'!$I$44,'311'!$I$55,'311'!$I$57,'311'!$I$59,'311'!$I$61,'311'!$I$63,'311'!$I$66,'311'!$I$68,'311'!$I$70,'311'!$I$74,'311'!$I$77,'311'!$I$80,'311'!$I$83</definedName>
    <definedName name="OSRRefD20x_5" localSheetId="65">'313'!$I$18,'313'!$I$20,'313'!$I$22</definedName>
    <definedName name="OSRRefD20x_5" localSheetId="57">'315'!$I$42,'315'!$I$52,'315'!$I$63,'315'!$I$65,'315'!$I$67,'315'!$I$69,'315'!$I$71,'315'!$I$73,'315'!$I$75,'315'!$I$78,'315'!$I$80,'315'!$I$82,'315'!$I$84,'315'!$I$87,'315'!$I$91,'315'!$I$94,'315'!$I$99,'315'!$I$101,'315'!$I$103</definedName>
    <definedName name="OSRRefD20x_5" localSheetId="60">'316'!$I$25,'316'!$I$35,'316'!$I$46,'316'!$I$48,'316'!$I$50,'316'!$I$52,'316'!$I$55,'316'!$I$57,'316'!$I$60,'316'!$I$62,'316'!$I$64,'316'!$I$70</definedName>
    <definedName name="OSRRefD20x_5" localSheetId="62">'317'!$I$33,'317'!$I$44,'317'!$I$55,'317'!$I$57,'317'!$I$59,'317'!$I$61,'317'!$I$63,'317'!$I$65,'317'!$I$67,'317'!$I$69,'317'!$I$72</definedName>
    <definedName name="OSRRefD20x_5" localSheetId="66">'321'!$I$22,'321'!$I$33,'321'!$I$44,'321'!$I$46,'321'!$I$48,'321'!$I$50,'321'!$I$52,'321'!$I$54,'321'!$I$57,'321'!$I$60,'321'!$I$64,'321'!$I$69,'321'!$I$71</definedName>
    <definedName name="OSRRefD20x_5" localSheetId="67">'322'!$I$18</definedName>
    <definedName name="OSRRefD20x_5" localSheetId="68">'325'!$I$23,'325'!$I$33,'325'!$I$44,'325'!$I$46,'325'!$I$48,'325'!$I$50,'325'!$I$53,'325'!$I$55,'325'!$I$57,'325'!$I$59,'325'!$I$61,'325'!$I$63,'325'!$I$66,'325'!$I$70,'325'!$I$77,'325'!$I$80,'325'!$I$82</definedName>
    <definedName name="OSRRefD20x_5" localSheetId="58">'326'!$I$26,'326'!$I$36,'326'!$I$47,'326'!$I$49,'326'!$I$51,'326'!$I$53,'326'!$I$55,'326'!$I$57,'326'!$I$59,'326'!$I$61,'326'!$I$63,'326'!$I$65,'326'!$I$68,'326'!$I$71,'326'!$I$74,'326'!$I$78,'326'!$I$80,'326'!$I$83</definedName>
    <definedName name="OSRRefD20x_5" localSheetId="69">'327'!$I$24,'327'!$I$26</definedName>
    <definedName name="OSRRefD20x_5" localSheetId="56">'331'!$I$42,'331'!$I$52,'331'!$I$63,'331'!$I$65,'331'!$I$67,'331'!$I$69,'331'!$I$71,'331'!$I$73,'331'!$I$75,'331'!$I$78,'331'!$I$80,'331'!$I$82,'331'!$I$84,'331'!$I$86,'331'!$I$88,'331'!$I$91,'331'!$I$95,'331'!$I$98,'331'!$I$101,'331'!$I$107,'331'!$I$109,'331'!$I$111,'331'!$I$114</definedName>
    <definedName name="OSRRefD20x_5" localSheetId="59">'332'!$I$25,'332'!$I$35,'332'!$I$46,'332'!$I$48,'332'!$I$50,'332'!$I$52,'332'!$I$55,'332'!$I$57,'332'!$I$60,'332'!$I$62,'332'!$I$64,'332'!$I$70</definedName>
    <definedName name="OSRRefD20x_5" localSheetId="54">'333'!$I$44,'333'!$I$54,'333'!$I$65,'333'!$I$67,'333'!$I$69,'333'!$I$71,'333'!$I$73,'333'!$I$75,'333'!$I$77,'333'!$I$80,'333'!$I$82,'333'!$I$84,'333'!$I$86,'333'!$I$88,'333'!$I$90,'333'!$I$93,'333'!$I$97,'333'!$I$101,'333'!$I$104,'333'!$I$111,'333'!$I$113,'333'!$I$115,'333'!$I$118</definedName>
    <definedName name="OSRRefD20x_5" localSheetId="73">'405'!$I$25,'405'!$I$35,'405'!$I$46,'405'!$I$48,'405'!$I$50,'405'!$I$52,'405'!$I$55,'405'!$I$57,'405'!$I$59,'405'!$I$61,'405'!$I$64,'405'!$I$68,'405'!$I$70,'405'!$I$80,'405'!$I$82,'405'!$I$84</definedName>
    <definedName name="OSRRefD20x_5" localSheetId="74">'406'!$I$18</definedName>
    <definedName name="OSRRefD20x_5" localSheetId="75">'411'!$I$18,'411'!$I$28,'411'!$I$39,'411'!$I$41,'411'!$I$44,'411'!$I$46,'411'!$I$48,'411'!$I$50,'411'!$I$52,'411'!$I$56,'411'!$I$59,'411'!$I$61,'411'!$I$64,'411'!$I$66,'411'!$I$69</definedName>
    <definedName name="OSRRefD20x_5" localSheetId="76">'412'!$I$18,'412'!$I$20,'412'!$I$22,'412'!$I$24</definedName>
    <definedName name="OSRRefD20x_5" localSheetId="77">'413'!$I$18,'413'!$I$20</definedName>
    <definedName name="OSRRefD20x_5" localSheetId="78">'414'!$I$18,'414'!$I$20</definedName>
    <definedName name="OSRRefD20x_5" localSheetId="79">'415'!$I$25,'415'!$I$36,'415'!$I$47,'415'!$I$49,'415'!$I$51,'415'!$I$53,'415'!$I$56,'415'!$I$58,'415'!$I$60,'415'!$I$62,'415'!$I$64,'415'!$I$66,'415'!$I$69,'415'!$I$74,'415'!$I$76,'415'!$I$83,'415'!$I$86,'415'!$I$88</definedName>
    <definedName name="OSRRefD20x_5" localSheetId="80">'418'!$I$22,'418'!$I$32,'418'!$I$43,'418'!$I$45,'418'!$I$47,'418'!$I$50,'418'!$I$52,'418'!$I$54,'418'!$I$56,'418'!$I$59,'418'!$I$63,'418'!$I$65,'418'!$I$72,'418'!$I$75,'418'!$I$77</definedName>
    <definedName name="OSRRefD20x_5" localSheetId="81">'423'!$I$18,'423'!$I$27,'423'!$I$38,'423'!$I$40,'423'!$I$42</definedName>
    <definedName name="OSRRefD20x_5" localSheetId="82">'424'!$I$18,'424'!$I$20</definedName>
    <definedName name="OSRRefD20x_5" localSheetId="83">'425'!$I$20,'425'!$I$22,'425'!$I$24,'425'!$I$26,'425'!$I$28</definedName>
    <definedName name="OSRRefD20x_5" localSheetId="86">'430'!$I$18,'430'!$I$28,'430'!$I$39,'430'!$I$41,'430'!$I$43,'430'!$I$45,'430'!$I$48,'430'!$I$51,'430'!$I$53</definedName>
    <definedName name="OSRRefD20x_5" localSheetId="87">'433'!$I$25,'433'!$I$36,'433'!$I$47,'433'!$I$49,'433'!$I$51,'433'!$I$53,'433'!$I$55,'433'!$I$57,'433'!$I$59,'433'!$I$61,'433'!$I$63,'433'!$I$65,'433'!$I$69,'433'!$I$74,'433'!$I$83,'433'!$I$85</definedName>
    <definedName name="OSRRefD20x_5" localSheetId="88">'435'!$I$21,'435'!$I$24,'435'!$I$26,'435'!$I$28,'435'!$I$30</definedName>
    <definedName name="OSRRefD20x_5" localSheetId="89">'444'!$I$25,'444'!$I$36,'444'!$I$47,'444'!$I$49,'444'!$I$51,'444'!$I$53,'444'!$I$55,'444'!$I$57,'444'!$I$59,'444'!$I$61,'444'!$I$63,'444'!$I$65,'444'!$I$68,'444'!$I$73,'444'!$I$83,'444'!$I$85</definedName>
    <definedName name="OSRRefD20x_5" localSheetId="90">'450'!$I$25,'450'!$I$36,'450'!$I$47,'450'!$I$49,'450'!$I$51,'450'!$I$53,'450'!$I$55,'450'!$I$57,'450'!$I$59,'450'!$I$61,'450'!$I$63,'450'!$I$65,'450'!$I$68,'450'!$I$73,'450'!$I$81,'450'!$I$83,'450'!$I$85</definedName>
    <definedName name="OSRRefD20x_5" localSheetId="72">'491'!$I$26,'491'!$I$37,'491'!$I$48,'491'!$I$50,'491'!$I$52,'491'!$I$54,'491'!$I$57,'491'!$I$59,'491'!$I$61,'491'!$I$63,'491'!$I$65,'491'!$I$67,'491'!$I$69,'491'!$I$73,'491'!$I$75,'491'!$I$81,'491'!$I$83,'491'!$I$93,'491'!$I$96,'491'!$I$98,'491'!$I$101</definedName>
    <definedName name="OSRRefD20x_5" localSheetId="85">'492'!$I$27,'492'!$I$38,'492'!$I$49,'492'!$I$51,'492'!$I$53,'492'!$I$55,'492'!$I$57,'492'!$I$59,'492'!$I$61,'492'!$I$63,'492'!$I$65,'492'!$I$67,'492'!$I$69,'492'!$I$73,'492'!$I$78,'492'!$I$88,'492'!$I$91,'492'!$I$93</definedName>
    <definedName name="OSRRefD20x_5" localSheetId="92">'501'!$I$19,'501'!$I$30,'501'!$I$41,'501'!$I$43,'501'!$I$45,'501'!$I$47,'501'!$I$50,'501'!$I$52,'501'!$I$54,'501'!$I$56,'501'!$I$60,'501'!$I$62,'501'!$I$66,'501'!$I$68</definedName>
    <definedName name="OSRRefD20x_5" localSheetId="39">'Div 2'!$I$18,'Div 2'!$I$30,'Div 2'!$I$41,'Div 2'!$I$43,'Div 2'!$I$45,'Div 2'!$I$47,'Div 2'!$I$50,'Div 2'!$I$52,'Div 2'!$I$54,'Div 2'!$I$56,'Div 2'!$I$58,'Div 2'!$I$60,'Div 2'!$I$62,'Div 2'!$I$67,'Div 2'!$I$72,'Div 2'!$I$75,'Div 2'!$I$78,'Div 2'!$I$84,'Div 2'!$I$87,'Div 2'!$I$89</definedName>
    <definedName name="OSRRefD20x_5" localSheetId="47">'Div 3'!$I$58,'Div 3'!$I$69,'Div 3'!$I$80,'Div 3'!$I$82,'Div 3'!$I$84,'Div 3'!$I$86,'Div 3'!$I$89,'Div 3'!$I$92,'Div 3'!$I$94,'Div 3'!$I$96,'Div 3'!$I$98,'Div 3'!$I$101,'Div 3'!$I$103,'Div 3'!$I$105,'Div 3'!$I$107,'Div 3'!$I$109,'Div 3'!$I$111,'Div 3'!$I$113,'Div 3'!$I$118,'Div 3'!$I$123,'Div 3'!$I$128,'Div 3'!$I$131,'Div 3'!$I$139,'Div 3'!$I$142,'Div 3'!$I$144,'Div 3'!$I$148</definedName>
    <definedName name="OSRRefD20x_5" localSheetId="70">'Div 4'!$I$29,'Div 4'!$I$40,'Div 4'!$I$51,'Div 4'!$I$53,'Div 4'!$I$55,'Div 4'!$I$57,'Div 4'!$I$60,'Div 4'!$I$62,'Div 4'!$I$64,'Div 4'!$I$66,'Div 4'!$I$68,'Div 4'!$I$70,'Div 4'!$I$72,'Div 4'!$I$74,'Div 4'!$I$76,'Div 4'!$I$80,'Div 4'!$I$82,'Div 4'!$I$88,'Div 4'!$I$90,'Div 4'!$I$101,'Div 4'!$I$104,'Div 4'!$I$106,'Div 4'!$I$109</definedName>
    <definedName name="OSRRefD20x_5" localSheetId="91">'Div 5'!$I$19,'Div 5'!$I$30,'Div 5'!$I$41,'Div 5'!$I$43,'Div 5'!$I$45,'Div 5'!$I$47,'Div 5'!$I$50,'Div 5'!$I$52,'Div 5'!$I$54,'Div 5'!$I$56,'Div 5'!$I$60,'Div 5'!$I$62,'Div 5'!$I$66,'Div 5'!$I$68</definedName>
    <definedName name="OSRRefD20x_5" localSheetId="61">'Div 6'!$I$33,'Div 6'!$I$44,'Div 6'!$I$55,'Div 6'!$I$57,'Div 6'!$I$59,'Div 6'!$I$61,'Div 6'!$I$63,'Div 6'!$I$65,'Div 6'!$I$67,'Div 6'!$I$69,'Div 6'!$I$72</definedName>
    <definedName name="OSRRefD20x_5" localSheetId="2">Summary!$I$66,Summary!$I$77,Summary!$I$88,Summary!$I$90,Summary!$I$92,Summary!$I$94,Summary!$I$97,Summary!$I$100,Summary!$I$102,Summary!$I$104,Summary!$I$106,Summary!$I$109,Summary!$I$111,Summary!$I$113,Summary!$I$115,Summary!$I$117,Summary!$I$119,Summary!$I$121,Summary!$I$123,Summary!$I$128,Summary!$I$133,Summary!$I$139,Summary!$I$142,Summary!$I$153,Summary!$I$156,Summary!$I$158,Summary!$I$162</definedName>
    <definedName name="OSRRefD20x_6" localSheetId="40">'200'!$J$18,'200'!$J$20,'200'!$J$22,'200'!$J$24</definedName>
    <definedName name="OSRRefD20x_6" localSheetId="41">'201'!$J$18,'201'!$J$28,'201'!$J$39,'201'!$J$41,'201'!$J$43,'201'!$J$45,'201'!$J$47,'201'!$J$49,'201'!$J$51,'201'!$J$53,'201'!$J$57,'201'!$J$60,'201'!$J$62,'201'!$J$65,'201'!$J$67</definedName>
    <definedName name="OSRRefD20x_6" localSheetId="42">'202'!$J$18,'202'!$J$28,'202'!$J$39,'202'!$J$41,'202'!$J$43,'202'!$J$45,'202'!$J$47,'202'!$J$49,'202'!$J$53,'202'!$J$55,'202'!$J$58,'202'!$J$60,'202'!$J$62</definedName>
    <definedName name="OSRRefD20x_6" localSheetId="43">'203'!$J$18,'203'!$J$29,'203'!$J$40,'203'!$J$42,'203'!$J$44,'203'!$J$46,'203'!$J$48,'203'!$J$50,'203'!$J$52,'203'!$J$56,'203'!$J$59,'203'!$J$62,'203'!$J$67,'203'!$J$69</definedName>
    <definedName name="OSRRefD20x_6" localSheetId="44">'204'!$J$18,'204'!$J$28,'204'!$J$39,'204'!$J$42,'204'!$J$44,'204'!$J$49,'204'!$J$51,'204'!$J$54,'204'!$J$56</definedName>
    <definedName name="OSRRefD20x_6" localSheetId="45">'205'!$J$18,'205'!$J$28,'205'!$J$39,'205'!$J$41,'205'!$J$43,'205'!$J$46,'205'!$J$48,'205'!$J$51</definedName>
    <definedName name="OSRRefD20x_6" localSheetId="46">'206'!$J$18,'206'!$J$28,'206'!$J$39,'206'!$J$41,'206'!$J$44,'206'!$J$46</definedName>
    <definedName name="OSRRefD20x_6" localSheetId="48">'300'!$J$52,'300'!$J$63,'300'!$J$74,'300'!$J$76,'300'!$J$78,'300'!$J$80,'300'!$J$83,'300'!$J$86,'300'!$J$88,'300'!$J$90,'300'!$J$92,'300'!$J$95,'300'!$J$97,'300'!$J$99,'300'!$J$101,'300'!$J$103,'300'!$J$105,'300'!$J$110,'300'!$J$115,'300'!$J$119,'300'!$J$122,'300'!$J$130,'300'!$J$133,'300'!$J$135,'300'!$J$139</definedName>
    <definedName name="OSRRefD20x_6" localSheetId="49">'300 &amp; 317'!$J$58,'300 &amp; 317'!$J$69,'300 &amp; 317'!$J$80,'300 &amp; 317'!$J$82,'300 &amp; 317'!$J$84,'300 &amp; 317'!$J$86,'300 &amp; 317'!$J$89,'300 &amp; 317'!$J$92,'300 &amp; 317'!$J$94,'300 &amp; 317'!$J$96,'300 &amp; 317'!$J$98,'300 &amp; 317'!$J$101,'300 &amp; 317'!$J$103,'300 &amp; 317'!$J$105,'300 &amp; 317'!$J$107,'300 &amp; 317'!$J$109,'300 &amp; 317'!$J$111,'300 &amp; 317'!$J$116,'300 &amp; 317'!$J$121,'300 &amp; 317'!$J$125,'300 &amp; 317'!$J$128,'300 &amp; 317'!$J$136,'300 &amp; 317'!$J$139,'300 &amp; 317'!$J$141,'300 &amp; 317'!$J$145</definedName>
    <definedName name="OSRRefD20x_6" localSheetId="50">'301'!$J$19,'301'!$J$30,'301'!$J$41,'301'!$J$43,'301'!$J$45,'301'!$J$47,'301'!$J$50,'301'!$J$53,'301'!$J$55,'301'!$J$57,'301'!$J$59,'301'!$J$61,'301'!$J$63,'301'!$J$65,'301'!$J$67,'301'!$J$69,'301'!$J$74,'301'!$J$77,'301'!$J$79,'301'!$J$86,'301'!$J$88,'301'!$J$90,'301'!$J$93</definedName>
    <definedName name="OSRRefD20x_6" localSheetId="55">'307'!$J$32,'307'!$J$42,'307'!$J$53,'307'!$J$55,'307'!$J$57,'307'!$J$59,'307'!$J$61,'307'!$J$63,'307'!$J$65,'307'!$J$67,'307'!$J$70,'307'!$J$73,'307'!$J$75,'307'!$J$80</definedName>
    <definedName name="OSRRefD20x_6" localSheetId="51">'308'!$J$33,'308'!$J$44,'308'!$J$55,'308'!$J$57,'308'!$J$59,'308'!$J$61,'308'!$J$63,'308'!$J$66,'308'!$J$68,'308'!$J$70,'308'!$J$74,'308'!$J$77,'308'!$J$80,'308'!$J$83</definedName>
    <definedName name="OSRRefD20x_6" localSheetId="64">'309'!$J$24,'309'!$J$27,'309'!$J$30,'309'!$J$32,'309'!$J$34,'309'!$J$36,'309'!$J$38,'309'!$J$40,'309'!$J$42,'309'!$J$45,'309'!$J$48,'309'!$J$51,'309'!$J$53</definedName>
    <definedName name="OSRRefD20x_6" localSheetId="63">'310'!$J$27,'310'!$J$38,'310'!$J$49,'310'!$J$51,'310'!$J$53,'310'!$J$55,'310'!$J$58,'310'!$J$60,'310'!$J$62,'310'!$J$64,'310'!$J$66,'310'!$J$68,'310'!$J$71,'310'!$J$74,'310'!$J$78,'310'!$J$85,'310'!$J$88,'310'!$J$90</definedName>
    <definedName name="OSRRefD20x_6" localSheetId="71">'310 &amp; 491'!$J$27,'310 &amp; 491'!$J$38,'310 &amp; 491'!$J$49,'310 &amp; 491'!$J$51,'310 &amp; 491'!$J$53,'310 &amp; 491'!$J$55,'310 &amp; 491'!$J$58,'310 &amp; 491'!$J$60,'310 &amp; 491'!$J$62,'310 &amp; 491'!$J$64,'310 &amp; 491'!$J$66,'310 &amp; 491'!$J$68,'310 &amp; 491'!$J$70,'310 &amp; 491'!$J$74,'310 &amp; 491'!$J$77,'310 &amp; 491'!$J$83,'310 &amp; 491'!$J$85,'310 &amp; 491'!$J$95,'310 &amp; 491'!$J$98,'310 &amp; 491'!$J$100,'310 &amp; 491'!$J$103</definedName>
    <definedName name="OSRRefD20x_6" localSheetId="52">'311'!$J$33,'311'!$J$44,'311'!$J$55,'311'!$J$57,'311'!$J$59,'311'!$J$61,'311'!$J$63,'311'!$J$66,'311'!$J$68,'311'!$J$70,'311'!$J$74,'311'!$J$77,'311'!$J$80,'311'!$J$83</definedName>
    <definedName name="OSRRefD20x_6" localSheetId="65">'313'!$J$18,'313'!$J$20,'313'!$J$22</definedName>
    <definedName name="OSRRefD20x_6" localSheetId="57">'315'!$J$42,'315'!$J$52,'315'!$J$63,'315'!$J$65,'315'!$J$67,'315'!$J$69,'315'!$J$71,'315'!$J$73,'315'!$J$75,'315'!$J$78,'315'!$J$80,'315'!$J$82,'315'!$J$84,'315'!$J$87,'315'!$J$91,'315'!$J$94,'315'!$J$99,'315'!$J$101,'315'!$J$103</definedName>
    <definedName name="OSRRefD20x_6" localSheetId="60">'316'!$J$25,'316'!$J$35,'316'!$J$46,'316'!$J$48,'316'!$J$50,'316'!$J$52,'316'!$J$55,'316'!$J$57,'316'!$J$60,'316'!$J$62,'316'!$J$64,'316'!$J$70</definedName>
    <definedName name="OSRRefD20x_6" localSheetId="62">'317'!$J$33,'317'!$J$44,'317'!$J$55,'317'!$J$57,'317'!$J$59,'317'!$J$61,'317'!$J$63,'317'!$J$65,'317'!$J$67,'317'!$J$69,'317'!$J$72</definedName>
    <definedName name="OSRRefD20x_6" localSheetId="66">'321'!$J$22,'321'!$J$33,'321'!$J$44,'321'!$J$46,'321'!$J$48,'321'!$J$50,'321'!$J$52,'321'!$J$54,'321'!$J$57,'321'!$J$60,'321'!$J$64,'321'!$J$69,'321'!$J$71</definedName>
    <definedName name="OSRRefD20x_6" localSheetId="67">'322'!$J$18</definedName>
    <definedName name="OSRRefD20x_6" localSheetId="68">'325'!$J$23,'325'!$J$33,'325'!$J$44,'325'!$J$46,'325'!$J$48,'325'!$J$50,'325'!$J$53,'325'!$J$55,'325'!$J$57,'325'!$J$59,'325'!$J$61,'325'!$J$63,'325'!$J$66,'325'!$J$70,'325'!$J$77,'325'!$J$80,'325'!$J$82</definedName>
    <definedName name="OSRRefD20x_6" localSheetId="58">'326'!$J$26,'326'!$J$36,'326'!$J$47,'326'!$J$49,'326'!$J$51,'326'!$J$53,'326'!$J$55,'326'!$J$57,'326'!$J$59,'326'!$J$61,'326'!$J$63,'326'!$J$65,'326'!$J$68,'326'!$J$71,'326'!$J$74,'326'!$J$78,'326'!$J$80,'326'!$J$83</definedName>
    <definedName name="OSRRefD20x_6" localSheetId="69">'327'!$J$24,'327'!$J$26</definedName>
    <definedName name="OSRRefD20x_6" localSheetId="56">'331'!$J$42,'331'!$J$52,'331'!$J$63,'331'!$J$65,'331'!$J$67,'331'!$J$69,'331'!$J$71,'331'!$J$73,'331'!$J$75,'331'!$J$78,'331'!$J$80,'331'!$J$82,'331'!$J$84,'331'!$J$86,'331'!$J$88,'331'!$J$91,'331'!$J$95,'331'!$J$98,'331'!$J$101,'331'!$J$107,'331'!$J$109,'331'!$J$111,'331'!$J$114</definedName>
    <definedName name="OSRRefD20x_6" localSheetId="59">'332'!$J$25,'332'!$J$35,'332'!$J$46,'332'!$J$48,'332'!$J$50,'332'!$J$52,'332'!$J$55,'332'!$J$57,'332'!$J$60,'332'!$J$62,'332'!$J$64,'332'!$J$70</definedName>
    <definedName name="OSRRefD20x_6" localSheetId="54">'333'!$J$44,'333'!$J$54,'333'!$J$65,'333'!$J$67,'333'!$J$69,'333'!$J$71,'333'!$J$73,'333'!$J$75,'333'!$J$77,'333'!$J$80,'333'!$J$82,'333'!$J$84,'333'!$J$86,'333'!$J$88,'333'!$J$90,'333'!$J$93,'333'!$J$97,'333'!$J$101,'333'!$J$104,'333'!$J$111,'333'!$J$113,'333'!$J$115,'333'!$J$118</definedName>
    <definedName name="OSRRefD20x_6" localSheetId="73">'405'!$J$25,'405'!$J$35,'405'!$J$46,'405'!$J$48,'405'!$J$50,'405'!$J$52,'405'!$J$55,'405'!$J$57,'405'!$J$59,'405'!$J$61,'405'!$J$64,'405'!$J$68,'405'!$J$70,'405'!$J$80,'405'!$J$82,'405'!$J$84</definedName>
    <definedName name="OSRRefD20x_6" localSheetId="74">'406'!$J$18</definedName>
    <definedName name="OSRRefD20x_6" localSheetId="75">'411'!$J$18,'411'!$J$28,'411'!$J$39,'411'!$J$41,'411'!$J$44,'411'!$J$46,'411'!$J$48,'411'!$J$50,'411'!$J$52,'411'!$J$56,'411'!$J$59,'411'!$J$61,'411'!$J$64,'411'!$J$66,'411'!$J$69</definedName>
    <definedName name="OSRRefD20x_6" localSheetId="76">'412'!$J$18,'412'!$J$20,'412'!$J$22,'412'!$J$24</definedName>
    <definedName name="OSRRefD20x_6" localSheetId="77">'413'!$J$18,'413'!$J$20</definedName>
    <definedName name="OSRRefD20x_6" localSheetId="78">'414'!$J$18,'414'!$J$20</definedName>
    <definedName name="OSRRefD20x_6" localSheetId="79">'415'!$J$25,'415'!$J$36,'415'!$J$47,'415'!$J$49,'415'!$J$51,'415'!$J$53,'415'!$J$56,'415'!$J$58,'415'!$J$60,'415'!$J$62,'415'!$J$64,'415'!$J$66,'415'!$J$69,'415'!$J$74,'415'!$J$76,'415'!$J$83,'415'!$J$86,'415'!$J$88</definedName>
    <definedName name="OSRRefD20x_6" localSheetId="80">'418'!$J$22,'418'!$J$32,'418'!$J$43,'418'!$J$45,'418'!$J$47,'418'!$J$50,'418'!$J$52,'418'!$J$54,'418'!$J$56,'418'!$J$59,'418'!$J$63,'418'!$J$65,'418'!$J$72,'418'!$J$75,'418'!$J$77</definedName>
    <definedName name="OSRRefD20x_6" localSheetId="81">'423'!$J$18,'423'!$J$27,'423'!$J$38,'423'!$J$40,'423'!$J$42</definedName>
    <definedName name="OSRRefD20x_6" localSheetId="82">'424'!$J$18,'424'!$J$20</definedName>
    <definedName name="OSRRefD20x_6" localSheetId="83">'425'!$J$20,'425'!$J$22,'425'!$J$24,'425'!$J$26,'425'!$J$28</definedName>
    <definedName name="OSRRefD20x_6" localSheetId="86">'430'!$J$18,'430'!$J$28,'430'!$J$39,'430'!$J$41,'430'!$J$43,'430'!$J$45,'430'!$J$48,'430'!$J$51,'430'!$J$53</definedName>
    <definedName name="OSRRefD20x_6" localSheetId="87">'433'!$J$25,'433'!$J$36,'433'!$J$47,'433'!$J$49,'433'!$J$51,'433'!$J$53,'433'!$J$55,'433'!$J$57,'433'!$J$59,'433'!$J$61,'433'!$J$63,'433'!$J$65,'433'!$J$69,'433'!$J$74,'433'!$J$83,'433'!$J$85</definedName>
    <definedName name="OSRRefD20x_6" localSheetId="88">'435'!$J$21,'435'!$J$24,'435'!$J$26,'435'!$J$28,'435'!$J$30</definedName>
    <definedName name="OSRRefD20x_6" localSheetId="89">'444'!$J$25,'444'!$J$36,'444'!$J$47,'444'!$J$49,'444'!$J$51,'444'!$J$53,'444'!$J$55,'444'!$J$57,'444'!$J$59,'444'!$J$61,'444'!$J$63,'444'!$J$65,'444'!$J$68,'444'!$J$73,'444'!$J$83,'444'!$J$85</definedName>
    <definedName name="OSRRefD20x_6" localSheetId="90">'450'!$J$25,'450'!$J$36,'450'!$J$47,'450'!$J$49,'450'!$J$51,'450'!$J$53,'450'!$J$55,'450'!$J$57,'450'!$J$59,'450'!$J$61,'450'!$J$63,'450'!$J$65,'450'!$J$68,'450'!$J$73,'450'!$J$81,'450'!$J$83,'450'!$J$85</definedName>
    <definedName name="OSRRefD20x_6" localSheetId="72">'491'!$J$26,'491'!$J$37,'491'!$J$48,'491'!$J$50,'491'!$J$52,'491'!$J$54,'491'!$J$57,'491'!$J$59,'491'!$J$61,'491'!$J$63,'491'!$J$65,'491'!$J$67,'491'!$J$69,'491'!$J$73,'491'!$J$75,'491'!$J$81,'491'!$J$83,'491'!$J$93,'491'!$J$96,'491'!$J$98,'491'!$J$101</definedName>
    <definedName name="OSRRefD20x_6" localSheetId="85">'492'!$J$27,'492'!$J$38,'492'!$J$49,'492'!$J$51,'492'!$J$53,'492'!$J$55,'492'!$J$57,'492'!$J$59,'492'!$J$61,'492'!$J$63,'492'!$J$65,'492'!$J$67,'492'!$J$69,'492'!$J$73,'492'!$J$78,'492'!$J$88,'492'!$J$91,'492'!$J$93</definedName>
    <definedName name="OSRRefD20x_6" localSheetId="92">'501'!$J$19,'501'!$J$30,'501'!$J$41,'501'!$J$43,'501'!$J$45,'501'!$J$47,'501'!$J$50,'501'!$J$52,'501'!$J$54,'501'!$J$56,'501'!$J$60,'501'!$J$62,'501'!$J$66,'501'!$J$68</definedName>
    <definedName name="OSRRefD20x_6" localSheetId="39">'Div 2'!$J$18,'Div 2'!$J$30,'Div 2'!$J$41,'Div 2'!$J$43,'Div 2'!$J$45,'Div 2'!$J$47,'Div 2'!$J$50,'Div 2'!$J$52,'Div 2'!$J$54,'Div 2'!$J$56,'Div 2'!$J$58,'Div 2'!$J$60,'Div 2'!$J$62,'Div 2'!$J$67,'Div 2'!$J$72,'Div 2'!$J$75,'Div 2'!$J$78,'Div 2'!$J$84,'Div 2'!$J$87,'Div 2'!$J$89</definedName>
    <definedName name="OSRRefD20x_6" localSheetId="47">'Div 3'!$J$58,'Div 3'!$J$69,'Div 3'!$J$80,'Div 3'!$J$82,'Div 3'!$J$84,'Div 3'!$J$86,'Div 3'!$J$89,'Div 3'!$J$92,'Div 3'!$J$94,'Div 3'!$J$96,'Div 3'!$J$98,'Div 3'!$J$101,'Div 3'!$J$103,'Div 3'!$J$105,'Div 3'!$J$107,'Div 3'!$J$109,'Div 3'!$J$111,'Div 3'!$J$113,'Div 3'!$J$118,'Div 3'!$J$123,'Div 3'!$J$128,'Div 3'!$J$131,'Div 3'!$J$139,'Div 3'!$J$142,'Div 3'!$J$144,'Div 3'!$J$148</definedName>
    <definedName name="OSRRefD20x_6" localSheetId="70">'Div 4'!$J$29,'Div 4'!$J$40,'Div 4'!$J$51,'Div 4'!$J$53,'Div 4'!$J$55,'Div 4'!$J$57,'Div 4'!$J$60,'Div 4'!$J$62,'Div 4'!$J$64,'Div 4'!$J$66,'Div 4'!$J$68,'Div 4'!$J$70,'Div 4'!$J$72,'Div 4'!$J$74,'Div 4'!$J$76,'Div 4'!$J$80,'Div 4'!$J$82,'Div 4'!$J$88,'Div 4'!$J$90,'Div 4'!$J$101,'Div 4'!$J$104,'Div 4'!$J$106,'Div 4'!$J$109</definedName>
    <definedName name="OSRRefD20x_6" localSheetId="91">'Div 5'!$J$19,'Div 5'!$J$30,'Div 5'!$J$41,'Div 5'!$J$43,'Div 5'!$J$45,'Div 5'!$J$47,'Div 5'!$J$50,'Div 5'!$J$52,'Div 5'!$J$54,'Div 5'!$J$56,'Div 5'!$J$60,'Div 5'!$J$62,'Div 5'!$J$66,'Div 5'!$J$68</definedName>
    <definedName name="OSRRefD20x_6" localSheetId="61">'Div 6'!$J$33,'Div 6'!$J$44,'Div 6'!$J$55,'Div 6'!$J$57,'Div 6'!$J$59,'Div 6'!$J$61,'Div 6'!$J$63,'Div 6'!$J$65,'Div 6'!$J$67,'Div 6'!$J$69,'Div 6'!$J$72</definedName>
    <definedName name="OSRRefD20x_6" localSheetId="2">Summary!$J$66,Summary!$J$77,Summary!$J$88,Summary!$J$90,Summary!$J$92,Summary!$J$94,Summary!$J$97,Summary!$J$100,Summary!$J$102,Summary!$J$104,Summary!$J$106,Summary!$J$109,Summary!$J$111,Summary!$J$113,Summary!$J$115,Summary!$J$117,Summary!$J$119,Summary!$J$121,Summary!$J$123,Summary!$J$128,Summary!$J$133,Summary!$J$139,Summary!$J$142,Summary!$J$153,Summary!$J$156,Summary!$J$158,Summary!$J$162</definedName>
    <definedName name="OSRRefD20x_7" localSheetId="40">'200'!$K$18,'200'!$K$20,'200'!$K$22,'200'!$K$24</definedName>
    <definedName name="OSRRefD20x_7" localSheetId="41">'201'!$K$18,'201'!$K$28,'201'!$K$39,'201'!$K$41,'201'!$K$43,'201'!$K$45,'201'!$K$47,'201'!$K$49,'201'!$K$51,'201'!$K$53,'201'!$K$57,'201'!$K$60,'201'!$K$62,'201'!$K$65,'201'!$K$67</definedName>
    <definedName name="OSRRefD20x_7" localSheetId="42">'202'!$K$18,'202'!$K$28,'202'!$K$39,'202'!$K$41,'202'!$K$43,'202'!$K$45,'202'!$K$47,'202'!$K$49,'202'!$K$53,'202'!$K$55,'202'!$K$58,'202'!$K$60,'202'!$K$62</definedName>
    <definedName name="OSRRefD20x_7" localSheetId="43">'203'!$K$18,'203'!$K$29,'203'!$K$40,'203'!$K$42,'203'!$K$44,'203'!$K$46,'203'!$K$48,'203'!$K$50,'203'!$K$52,'203'!$K$56,'203'!$K$59,'203'!$K$62,'203'!$K$67,'203'!$K$69</definedName>
    <definedName name="OSRRefD20x_7" localSheetId="44">'204'!$K$18,'204'!$K$28,'204'!$K$39,'204'!$K$42,'204'!$K$44,'204'!$K$49,'204'!$K$51,'204'!$K$54,'204'!$K$56</definedName>
    <definedName name="OSRRefD20x_7" localSheetId="45">'205'!$K$18,'205'!$K$28,'205'!$K$39,'205'!$K$41,'205'!$K$43,'205'!$K$46,'205'!$K$48,'205'!$K$51</definedName>
    <definedName name="OSRRefD20x_7" localSheetId="46">'206'!$K$18,'206'!$K$28,'206'!$K$39,'206'!$K$41,'206'!$K$44,'206'!$K$46</definedName>
    <definedName name="OSRRefD20x_7" localSheetId="48">'300'!$K$52,'300'!$K$63,'300'!$K$74,'300'!$K$76,'300'!$K$78,'300'!$K$80,'300'!$K$83,'300'!$K$86,'300'!$K$88,'300'!$K$90,'300'!$K$92,'300'!$K$95,'300'!$K$97,'300'!$K$99,'300'!$K$101,'300'!$K$103,'300'!$K$105,'300'!$K$110,'300'!$K$115,'300'!$K$119,'300'!$K$122,'300'!$K$130,'300'!$K$133,'300'!$K$135,'300'!$K$139</definedName>
    <definedName name="OSRRefD20x_7" localSheetId="49">'300 &amp; 317'!$K$58,'300 &amp; 317'!$K$69,'300 &amp; 317'!$K$80,'300 &amp; 317'!$K$82,'300 &amp; 317'!$K$84,'300 &amp; 317'!$K$86,'300 &amp; 317'!$K$89,'300 &amp; 317'!$K$92,'300 &amp; 317'!$K$94,'300 &amp; 317'!$K$96,'300 &amp; 317'!$K$98,'300 &amp; 317'!$K$101,'300 &amp; 317'!$K$103,'300 &amp; 317'!$K$105,'300 &amp; 317'!$K$107,'300 &amp; 317'!$K$109,'300 &amp; 317'!$K$111,'300 &amp; 317'!$K$116,'300 &amp; 317'!$K$121,'300 &amp; 317'!$K$125,'300 &amp; 317'!$K$128,'300 &amp; 317'!$K$136,'300 &amp; 317'!$K$139,'300 &amp; 317'!$K$141,'300 &amp; 317'!$K$145</definedName>
    <definedName name="OSRRefD20x_7" localSheetId="50">'301'!$K$19,'301'!$K$30,'301'!$K$41,'301'!$K$43,'301'!$K$45,'301'!$K$47,'301'!$K$50,'301'!$K$53,'301'!$K$55,'301'!$K$57,'301'!$K$59,'301'!$K$61,'301'!$K$63,'301'!$K$65,'301'!$K$67,'301'!$K$69,'301'!$K$74,'301'!$K$77,'301'!$K$79,'301'!$K$86,'301'!$K$88,'301'!$K$90,'301'!$K$93</definedName>
    <definedName name="OSRRefD20x_7" localSheetId="55">'307'!$K$32,'307'!$K$42,'307'!$K$53,'307'!$K$55,'307'!$K$57,'307'!$K$59,'307'!$K$61,'307'!$K$63,'307'!$K$65,'307'!$K$67,'307'!$K$70,'307'!$K$73,'307'!$K$75,'307'!$K$80</definedName>
    <definedName name="OSRRefD20x_7" localSheetId="51">'308'!$K$33,'308'!$K$44,'308'!$K$55,'308'!$K$57,'308'!$K$59,'308'!$K$61,'308'!$K$63,'308'!$K$66,'308'!$K$68,'308'!$K$70,'308'!$K$74,'308'!$K$77,'308'!$K$80,'308'!$K$83</definedName>
    <definedName name="OSRRefD20x_7" localSheetId="64">'309'!$K$24,'309'!$K$27,'309'!$K$30,'309'!$K$32,'309'!$K$34,'309'!$K$36,'309'!$K$38,'309'!$K$40,'309'!$K$42,'309'!$K$45,'309'!$K$48,'309'!$K$51,'309'!$K$53</definedName>
    <definedName name="OSRRefD20x_7" localSheetId="63">'310'!$K$27,'310'!$K$38,'310'!$K$49,'310'!$K$51,'310'!$K$53,'310'!$K$55,'310'!$K$58,'310'!$K$60,'310'!$K$62,'310'!$K$64,'310'!$K$66,'310'!$K$68,'310'!$K$71,'310'!$K$74,'310'!$K$78,'310'!$K$85,'310'!$K$88,'310'!$K$90</definedName>
    <definedName name="OSRRefD20x_7" localSheetId="71">'310 &amp; 491'!$K$27,'310 &amp; 491'!$K$38,'310 &amp; 491'!$K$49,'310 &amp; 491'!$K$51,'310 &amp; 491'!$K$53,'310 &amp; 491'!$K$55,'310 &amp; 491'!$K$58,'310 &amp; 491'!$K$60,'310 &amp; 491'!$K$62,'310 &amp; 491'!$K$64,'310 &amp; 491'!$K$66,'310 &amp; 491'!$K$68,'310 &amp; 491'!$K$70,'310 &amp; 491'!$K$74,'310 &amp; 491'!$K$77,'310 &amp; 491'!$K$83,'310 &amp; 491'!$K$85,'310 &amp; 491'!$K$95,'310 &amp; 491'!$K$98,'310 &amp; 491'!$K$100,'310 &amp; 491'!$K$103</definedName>
    <definedName name="OSRRefD20x_7" localSheetId="52">'311'!$K$33,'311'!$K$44,'311'!$K$55,'311'!$K$57,'311'!$K$59,'311'!$K$61,'311'!$K$63,'311'!$K$66,'311'!$K$68,'311'!$K$70,'311'!$K$74,'311'!$K$77,'311'!$K$80,'311'!$K$83</definedName>
    <definedName name="OSRRefD20x_7" localSheetId="65">'313'!$K$18,'313'!$K$20,'313'!$K$22</definedName>
    <definedName name="OSRRefD20x_7" localSheetId="57">'315'!$K$42,'315'!$K$52,'315'!$K$63,'315'!$K$65,'315'!$K$67,'315'!$K$69,'315'!$K$71,'315'!$K$73,'315'!$K$75,'315'!$K$78,'315'!$K$80,'315'!$K$82,'315'!$K$84,'315'!$K$87,'315'!$K$91,'315'!$K$94,'315'!$K$99,'315'!$K$101,'315'!$K$103</definedName>
    <definedName name="OSRRefD20x_7" localSheetId="60">'316'!$K$25,'316'!$K$35,'316'!$K$46,'316'!$K$48,'316'!$K$50,'316'!$K$52,'316'!$K$55,'316'!$K$57,'316'!$K$60,'316'!$K$62,'316'!$K$64,'316'!$K$70</definedName>
    <definedName name="OSRRefD20x_7" localSheetId="62">'317'!$K$33,'317'!$K$44,'317'!$K$55,'317'!$K$57,'317'!$K$59,'317'!$K$61,'317'!$K$63,'317'!$K$65,'317'!$K$67,'317'!$K$69,'317'!$K$72</definedName>
    <definedName name="OSRRefD20x_7" localSheetId="66">'321'!$K$22,'321'!$K$33,'321'!$K$44,'321'!$K$46,'321'!$K$48,'321'!$K$50,'321'!$K$52,'321'!$K$54,'321'!$K$57,'321'!$K$60,'321'!$K$64,'321'!$K$69,'321'!$K$71</definedName>
    <definedName name="OSRRefD20x_7" localSheetId="67">'322'!$K$18</definedName>
    <definedName name="OSRRefD20x_7" localSheetId="68">'325'!$K$23,'325'!$K$33,'325'!$K$44,'325'!$K$46,'325'!$K$48,'325'!$K$50,'325'!$K$53,'325'!$K$55,'325'!$K$57,'325'!$K$59,'325'!$K$61,'325'!$K$63,'325'!$K$66,'325'!$K$70,'325'!$K$77,'325'!$K$80,'325'!$K$82</definedName>
    <definedName name="OSRRefD20x_7" localSheetId="58">'326'!$K$26,'326'!$K$36,'326'!$K$47,'326'!$K$49,'326'!$K$51,'326'!$K$53,'326'!$K$55,'326'!$K$57,'326'!$K$59,'326'!$K$61,'326'!$K$63,'326'!$K$65,'326'!$K$68,'326'!$K$71,'326'!$K$74,'326'!$K$78,'326'!$K$80,'326'!$K$83</definedName>
    <definedName name="OSRRefD20x_7" localSheetId="69">'327'!$K$24,'327'!$K$26</definedName>
    <definedName name="OSRRefD20x_7" localSheetId="56">'331'!$K$42,'331'!$K$52,'331'!$K$63,'331'!$K$65,'331'!$K$67,'331'!$K$69,'331'!$K$71,'331'!$K$73,'331'!$K$75,'331'!$K$78,'331'!$K$80,'331'!$K$82,'331'!$K$84,'331'!$K$86,'331'!$K$88,'331'!$K$91,'331'!$K$95,'331'!$K$98,'331'!$K$101,'331'!$K$107,'331'!$K$109,'331'!$K$111,'331'!$K$114</definedName>
    <definedName name="OSRRefD20x_7" localSheetId="59">'332'!$K$25,'332'!$K$35,'332'!$K$46,'332'!$K$48,'332'!$K$50,'332'!$K$52,'332'!$K$55,'332'!$K$57,'332'!$K$60,'332'!$K$62,'332'!$K$64,'332'!$K$70</definedName>
    <definedName name="OSRRefD20x_7" localSheetId="54">'333'!$K$44,'333'!$K$54,'333'!$K$65,'333'!$K$67,'333'!$K$69,'333'!$K$71,'333'!$K$73,'333'!$K$75,'333'!$K$77,'333'!$K$80,'333'!$K$82,'333'!$K$84,'333'!$K$86,'333'!$K$88,'333'!$K$90,'333'!$K$93,'333'!$K$97,'333'!$K$101,'333'!$K$104,'333'!$K$111,'333'!$K$113,'333'!$K$115,'333'!$K$118</definedName>
    <definedName name="OSRRefD20x_7" localSheetId="73">'405'!$K$25,'405'!$K$35,'405'!$K$46,'405'!$K$48,'405'!$K$50,'405'!$K$52,'405'!$K$55,'405'!$K$57,'405'!$K$59,'405'!$K$61,'405'!$K$64,'405'!$K$68,'405'!$K$70,'405'!$K$80,'405'!$K$82,'405'!$K$84</definedName>
    <definedName name="OSRRefD20x_7" localSheetId="74">'406'!$K$18</definedName>
    <definedName name="OSRRefD20x_7" localSheetId="75">'411'!$K$18,'411'!$K$28,'411'!$K$39,'411'!$K$41,'411'!$K$44,'411'!$K$46,'411'!$K$48,'411'!$K$50,'411'!$K$52,'411'!$K$56,'411'!$K$59,'411'!$K$61,'411'!$K$64,'411'!$K$66,'411'!$K$69</definedName>
    <definedName name="OSRRefD20x_7" localSheetId="76">'412'!$K$18,'412'!$K$20,'412'!$K$22,'412'!$K$24</definedName>
    <definedName name="OSRRefD20x_7" localSheetId="77">'413'!$K$18,'413'!$K$20</definedName>
    <definedName name="OSRRefD20x_7" localSheetId="78">'414'!$K$18,'414'!$K$20</definedName>
    <definedName name="OSRRefD20x_7" localSheetId="79">'415'!$K$25,'415'!$K$36,'415'!$K$47,'415'!$K$49,'415'!$K$51,'415'!$K$53,'415'!$K$56,'415'!$K$58,'415'!$K$60,'415'!$K$62,'415'!$K$64,'415'!$K$66,'415'!$K$69,'415'!$K$74,'415'!$K$76,'415'!$K$83,'415'!$K$86,'415'!$K$88</definedName>
    <definedName name="OSRRefD20x_7" localSheetId="80">'418'!$K$22,'418'!$K$32,'418'!$K$43,'418'!$K$45,'418'!$K$47,'418'!$K$50,'418'!$K$52,'418'!$K$54,'418'!$K$56,'418'!$K$59,'418'!$K$63,'418'!$K$65,'418'!$K$72,'418'!$K$75,'418'!$K$77</definedName>
    <definedName name="OSRRefD20x_7" localSheetId="81">'423'!$K$18,'423'!$K$27,'423'!$K$38,'423'!$K$40,'423'!$K$42</definedName>
    <definedName name="OSRRefD20x_7" localSheetId="82">'424'!$K$18,'424'!$K$20</definedName>
    <definedName name="OSRRefD20x_7" localSheetId="83">'425'!$K$20,'425'!$K$22,'425'!$K$24,'425'!$K$26,'425'!$K$28</definedName>
    <definedName name="OSRRefD20x_7" localSheetId="86">'430'!$K$18,'430'!$K$28,'430'!$K$39,'430'!$K$41,'430'!$K$43,'430'!$K$45,'430'!$K$48,'430'!$K$51,'430'!$K$53</definedName>
    <definedName name="OSRRefD20x_7" localSheetId="87">'433'!$K$25,'433'!$K$36,'433'!$K$47,'433'!$K$49,'433'!$K$51,'433'!$K$53,'433'!$K$55,'433'!$K$57,'433'!$K$59,'433'!$K$61,'433'!$K$63,'433'!$K$65,'433'!$K$69,'433'!$K$74,'433'!$K$83,'433'!$K$85</definedName>
    <definedName name="OSRRefD20x_7" localSheetId="88">'435'!$K$21,'435'!$K$24,'435'!$K$26,'435'!$K$28,'435'!$K$30</definedName>
    <definedName name="OSRRefD20x_7" localSheetId="89">'444'!$K$25,'444'!$K$36,'444'!$K$47,'444'!$K$49,'444'!$K$51,'444'!$K$53,'444'!$K$55,'444'!$K$57,'444'!$K$59,'444'!$K$61,'444'!$K$63,'444'!$K$65,'444'!$K$68,'444'!$K$73,'444'!$K$83,'444'!$K$85</definedName>
    <definedName name="OSRRefD20x_7" localSheetId="90">'450'!$K$25,'450'!$K$36,'450'!$K$47,'450'!$K$49,'450'!$K$51,'450'!$K$53,'450'!$K$55,'450'!$K$57,'450'!$K$59,'450'!$K$61,'450'!$K$63,'450'!$K$65,'450'!$K$68,'450'!$K$73,'450'!$K$81,'450'!$K$83,'450'!$K$85</definedName>
    <definedName name="OSRRefD20x_7" localSheetId="72">'491'!$K$26,'491'!$K$37,'491'!$K$48,'491'!$K$50,'491'!$K$52,'491'!$K$54,'491'!$K$57,'491'!$K$59,'491'!$K$61,'491'!$K$63,'491'!$K$65,'491'!$K$67,'491'!$K$69,'491'!$K$73,'491'!$K$75,'491'!$K$81,'491'!$K$83,'491'!$K$93,'491'!$K$96,'491'!$K$98,'491'!$K$101</definedName>
    <definedName name="OSRRefD20x_7" localSheetId="85">'492'!$K$27,'492'!$K$38,'492'!$K$49,'492'!$K$51,'492'!$K$53,'492'!$K$55,'492'!$K$57,'492'!$K$59,'492'!$K$61,'492'!$K$63,'492'!$K$65,'492'!$K$67,'492'!$K$69,'492'!$K$73,'492'!$K$78,'492'!$K$88,'492'!$K$91,'492'!$K$93</definedName>
    <definedName name="OSRRefD20x_7" localSheetId="92">'501'!$K$19,'501'!$K$30,'501'!$K$41,'501'!$K$43,'501'!$K$45,'501'!$K$47,'501'!$K$50,'501'!$K$52,'501'!$K$54,'501'!$K$56,'501'!$K$60,'501'!$K$62,'501'!$K$66,'501'!$K$68</definedName>
    <definedName name="OSRRefD20x_7" localSheetId="39">'Div 2'!$K$18,'Div 2'!$K$30,'Div 2'!$K$41,'Div 2'!$K$43,'Div 2'!$K$45,'Div 2'!$K$47,'Div 2'!$K$50,'Div 2'!$K$52,'Div 2'!$K$54,'Div 2'!$K$56,'Div 2'!$K$58,'Div 2'!$K$60,'Div 2'!$K$62,'Div 2'!$K$67,'Div 2'!$K$72,'Div 2'!$K$75,'Div 2'!$K$78,'Div 2'!$K$84,'Div 2'!$K$87,'Div 2'!$K$89</definedName>
    <definedName name="OSRRefD20x_7" localSheetId="47">'Div 3'!$K$58,'Div 3'!$K$69,'Div 3'!$K$80,'Div 3'!$K$82,'Div 3'!$K$84,'Div 3'!$K$86,'Div 3'!$K$89,'Div 3'!$K$92,'Div 3'!$K$94,'Div 3'!$K$96,'Div 3'!$K$98,'Div 3'!$K$101,'Div 3'!$K$103,'Div 3'!$K$105,'Div 3'!$K$107,'Div 3'!$K$109,'Div 3'!$K$111,'Div 3'!$K$113,'Div 3'!$K$118,'Div 3'!$K$123,'Div 3'!$K$128,'Div 3'!$K$131,'Div 3'!$K$139,'Div 3'!$K$142,'Div 3'!$K$144,'Div 3'!$K$148</definedName>
    <definedName name="OSRRefD20x_7" localSheetId="70">'Div 4'!$K$29,'Div 4'!$K$40,'Div 4'!$K$51,'Div 4'!$K$53,'Div 4'!$K$55,'Div 4'!$K$57,'Div 4'!$K$60,'Div 4'!$K$62,'Div 4'!$K$64,'Div 4'!$K$66,'Div 4'!$K$68,'Div 4'!$K$70,'Div 4'!$K$72,'Div 4'!$K$74,'Div 4'!$K$76,'Div 4'!$K$80,'Div 4'!$K$82,'Div 4'!$K$88,'Div 4'!$K$90,'Div 4'!$K$101,'Div 4'!$K$104,'Div 4'!$K$106,'Div 4'!$K$109</definedName>
    <definedName name="OSRRefD20x_7" localSheetId="91">'Div 5'!$K$19,'Div 5'!$K$30,'Div 5'!$K$41,'Div 5'!$K$43,'Div 5'!$K$45,'Div 5'!$K$47,'Div 5'!$K$50,'Div 5'!$K$52,'Div 5'!$K$54,'Div 5'!$K$56,'Div 5'!$K$60,'Div 5'!$K$62,'Div 5'!$K$66,'Div 5'!$K$68</definedName>
    <definedName name="OSRRefD20x_7" localSheetId="61">'Div 6'!$K$33,'Div 6'!$K$44,'Div 6'!$K$55,'Div 6'!$K$57,'Div 6'!$K$59,'Div 6'!$K$61,'Div 6'!$K$63,'Div 6'!$K$65,'Div 6'!$K$67,'Div 6'!$K$69,'Div 6'!$K$72</definedName>
    <definedName name="OSRRefD20x_7" localSheetId="2">Summary!$K$66,Summary!$K$77,Summary!$K$88,Summary!$K$90,Summary!$K$92,Summary!$K$94,Summary!$K$97,Summary!$K$100,Summary!$K$102,Summary!$K$104,Summary!$K$106,Summary!$K$109,Summary!$K$111,Summary!$K$113,Summary!$K$115,Summary!$K$117,Summary!$K$119,Summary!$K$121,Summary!$K$123,Summary!$K$128,Summary!$K$133,Summary!$K$139,Summary!$K$142,Summary!$K$153,Summary!$K$156,Summary!$K$158,Summary!$K$162</definedName>
    <definedName name="OSRRefD20x_8" localSheetId="40">'200'!$L$18,'200'!$L$20,'200'!$L$22,'200'!$L$24</definedName>
    <definedName name="OSRRefD20x_8" localSheetId="41">'201'!$L$18,'201'!$L$28,'201'!$L$39,'201'!$L$41,'201'!$L$43,'201'!$L$45,'201'!$L$47,'201'!$L$49,'201'!$L$51,'201'!$L$53,'201'!$L$57,'201'!$L$60,'201'!$L$62,'201'!$L$65,'201'!$L$67</definedName>
    <definedName name="OSRRefD20x_8" localSheetId="42">'202'!$L$18,'202'!$L$28,'202'!$L$39,'202'!$L$41,'202'!$L$43,'202'!$L$45,'202'!$L$47,'202'!$L$49,'202'!$L$53,'202'!$L$55,'202'!$L$58,'202'!$L$60,'202'!$L$62</definedName>
    <definedName name="OSRRefD20x_8" localSheetId="43">'203'!$L$18,'203'!$L$29,'203'!$L$40,'203'!$L$42,'203'!$L$44,'203'!$L$46,'203'!$L$48,'203'!$L$50,'203'!$L$52,'203'!$L$56,'203'!$L$59,'203'!$L$62,'203'!$L$67,'203'!$L$69</definedName>
    <definedName name="OSRRefD20x_8" localSheetId="44">'204'!$L$18,'204'!$L$28,'204'!$L$39,'204'!$L$42,'204'!$L$44,'204'!$L$49,'204'!$L$51,'204'!$L$54,'204'!$L$56</definedName>
    <definedName name="OSRRefD20x_8" localSheetId="45">'205'!$L$18,'205'!$L$28,'205'!$L$39,'205'!$L$41,'205'!$L$43,'205'!$L$46,'205'!$L$48,'205'!$L$51</definedName>
    <definedName name="OSRRefD20x_8" localSheetId="46">'206'!$L$18,'206'!$L$28,'206'!$L$39,'206'!$L$41,'206'!$L$44,'206'!$L$46</definedName>
    <definedName name="OSRRefD20x_8" localSheetId="48">'300'!$L$52,'300'!$L$63,'300'!$L$74,'300'!$L$76,'300'!$L$78,'300'!$L$80,'300'!$L$83,'300'!$L$86,'300'!$L$88,'300'!$L$90,'300'!$L$92,'300'!$L$95,'300'!$L$97,'300'!$L$99,'300'!$L$101,'300'!$L$103,'300'!$L$105,'300'!$L$110,'300'!$L$115,'300'!$L$119,'300'!$L$122,'300'!$L$130,'300'!$L$133,'300'!$L$135,'300'!$L$139</definedName>
    <definedName name="OSRRefD20x_8" localSheetId="49">'300 &amp; 317'!$L$58,'300 &amp; 317'!$L$69,'300 &amp; 317'!$L$80,'300 &amp; 317'!$L$82,'300 &amp; 317'!$L$84,'300 &amp; 317'!$L$86,'300 &amp; 317'!$L$89,'300 &amp; 317'!$L$92,'300 &amp; 317'!$L$94,'300 &amp; 317'!$L$96,'300 &amp; 317'!$L$98,'300 &amp; 317'!$L$101,'300 &amp; 317'!$L$103,'300 &amp; 317'!$L$105,'300 &amp; 317'!$L$107,'300 &amp; 317'!$L$109,'300 &amp; 317'!$L$111,'300 &amp; 317'!$L$116,'300 &amp; 317'!$L$121,'300 &amp; 317'!$L$125,'300 &amp; 317'!$L$128,'300 &amp; 317'!$L$136,'300 &amp; 317'!$L$139,'300 &amp; 317'!$L$141,'300 &amp; 317'!$L$145</definedName>
    <definedName name="OSRRefD20x_8" localSheetId="50">'301'!$L$19,'301'!$L$30,'301'!$L$41,'301'!$L$43,'301'!$L$45,'301'!$L$47,'301'!$L$50,'301'!$L$53,'301'!$L$55,'301'!$L$57,'301'!$L$59,'301'!$L$61,'301'!$L$63,'301'!$L$65,'301'!$L$67,'301'!$L$69,'301'!$L$74,'301'!$L$77,'301'!$L$79,'301'!$L$86,'301'!$L$88,'301'!$L$90,'301'!$L$93</definedName>
    <definedName name="OSRRefD20x_8" localSheetId="55">'307'!$L$32,'307'!$L$42,'307'!$L$53,'307'!$L$55,'307'!$L$57,'307'!$L$59,'307'!$L$61,'307'!$L$63,'307'!$L$65,'307'!$L$67,'307'!$L$70,'307'!$L$73,'307'!$L$75,'307'!$L$80</definedName>
    <definedName name="OSRRefD20x_8" localSheetId="51">'308'!$L$33,'308'!$L$44,'308'!$L$55,'308'!$L$57,'308'!$L$59,'308'!$L$61,'308'!$L$63,'308'!$L$66,'308'!$L$68,'308'!$L$70,'308'!$L$74,'308'!$L$77,'308'!$L$80,'308'!$L$83</definedName>
    <definedName name="OSRRefD20x_8" localSheetId="64">'309'!$L$24,'309'!$L$27,'309'!$L$30,'309'!$L$32,'309'!$L$34,'309'!$L$36,'309'!$L$38,'309'!$L$40,'309'!$L$42,'309'!$L$45,'309'!$L$48,'309'!$L$51,'309'!$L$53</definedName>
    <definedName name="OSRRefD20x_8" localSheetId="63">'310'!$L$27,'310'!$L$38,'310'!$L$49,'310'!$L$51,'310'!$L$53,'310'!$L$55,'310'!$L$58,'310'!$L$60,'310'!$L$62,'310'!$L$64,'310'!$L$66,'310'!$L$68,'310'!$L$71,'310'!$L$74,'310'!$L$78,'310'!$L$85,'310'!$L$88,'310'!$L$90</definedName>
    <definedName name="OSRRefD20x_8" localSheetId="71">'310 &amp; 491'!$L$27,'310 &amp; 491'!$L$38,'310 &amp; 491'!$L$49,'310 &amp; 491'!$L$51,'310 &amp; 491'!$L$53,'310 &amp; 491'!$L$55,'310 &amp; 491'!$L$58,'310 &amp; 491'!$L$60,'310 &amp; 491'!$L$62,'310 &amp; 491'!$L$64,'310 &amp; 491'!$L$66,'310 &amp; 491'!$L$68,'310 &amp; 491'!$L$70,'310 &amp; 491'!$L$74,'310 &amp; 491'!$L$77,'310 &amp; 491'!$L$83,'310 &amp; 491'!$L$85,'310 &amp; 491'!$L$95,'310 &amp; 491'!$L$98,'310 &amp; 491'!$L$100,'310 &amp; 491'!$L$103</definedName>
    <definedName name="OSRRefD20x_8" localSheetId="52">'311'!$L$33,'311'!$L$44,'311'!$L$55,'311'!$L$57,'311'!$L$59,'311'!$L$61,'311'!$L$63,'311'!$L$66,'311'!$L$68,'311'!$L$70,'311'!$L$74,'311'!$L$77,'311'!$L$80,'311'!$L$83</definedName>
    <definedName name="OSRRefD20x_8" localSheetId="65">'313'!$L$18,'313'!$L$20,'313'!$L$22</definedName>
    <definedName name="OSRRefD20x_8" localSheetId="57">'315'!$L$42,'315'!$L$52,'315'!$L$63,'315'!$L$65,'315'!$L$67,'315'!$L$69,'315'!$L$71,'315'!$L$73,'315'!$L$75,'315'!$L$78,'315'!$L$80,'315'!$L$82,'315'!$L$84,'315'!$L$87,'315'!$L$91,'315'!$L$94,'315'!$L$99,'315'!$L$101,'315'!$L$103</definedName>
    <definedName name="OSRRefD20x_8" localSheetId="60">'316'!$L$25,'316'!$L$35,'316'!$L$46,'316'!$L$48,'316'!$L$50,'316'!$L$52,'316'!$L$55,'316'!$L$57,'316'!$L$60,'316'!$L$62,'316'!$L$64,'316'!$L$70</definedName>
    <definedName name="OSRRefD20x_8" localSheetId="62">'317'!$L$33,'317'!$L$44,'317'!$L$55,'317'!$L$57,'317'!$L$59,'317'!$L$61,'317'!$L$63,'317'!$L$65,'317'!$L$67,'317'!$L$69,'317'!$L$72</definedName>
    <definedName name="OSRRefD20x_8" localSheetId="66">'321'!$L$22,'321'!$L$33,'321'!$L$44,'321'!$L$46,'321'!$L$48,'321'!$L$50,'321'!$L$52,'321'!$L$54,'321'!$L$57,'321'!$L$60,'321'!$L$64,'321'!$L$69,'321'!$L$71</definedName>
    <definedName name="OSRRefD20x_8" localSheetId="67">'322'!$L$18</definedName>
    <definedName name="OSRRefD20x_8" localSheetId="68">'325'!$L$23,'325'!$L$33,'325'!$L$44,'325'!$L$46,'325'!$L$48,'325'!$L$50,'325'!$L$53,'325'!$L$55,'325'!$L$57,'325'!$L$59,'325'!$L$61,'325'!$L$63,'325'!$L$66,'325'!$L$70,'325'!$L$77,'325'!$L$80,'325'!$L$82</definedName>
    <definedName name="OSRRefD20x_8" localSheetId="58">'326'!$L$26,'326'!$L$36,'326'!$L$47,'326'!$L$49,'326'!$L$51,'326'!$L$53,'326'!$L$55,'326'!$L$57,'326'!$L$59,'326'!$L$61,'326'!$L$63,'326'!$L$65,'326'!$L$68,'326'!$L$71,'326'!$L$74,'326'!$L$78,'326'!$L$80,'326'!$L$83</definedName>
    <definedName name="OSRRefD20x_8" localSheetId="69">'327'!$L$24,'327'!$L$26</definedName>
    <definedName name="OSRRefD20x_8" localSheetId="56">'331'!$L$42,'331'!$L$52,'331'!$L$63,'331'!$L$65,'331'!$L$67,'331'!$L$69,'331'!$L$71,'331'!$L$73,'331'!$L$75,'331'!$L$78,'331'!$L$80,'331'!$L$82,'331'!$L$84,'331'!$L$86,'331'!$L$88,'331'!$L$91,'331'!$L$95,'331'!$L$98,'331'!$L$101,'331'!$L$107,'331'!$L$109,'331'!$L$111,'331'!$L$114</definedName>
    <definedName name="OSRRefD20x_8" localSheetId="59">'332'!$L$25,'332'!$L$35,'332'!$L$46,'332'!$L$48,'332'!$L$50,'332'!$L$52,'332'!$L$55,'332'!$L$57,'332'!$L$60,'332'!$L$62,'332'!$L$64,'332'!$L$70</definedName>
    <definedName name="OSRRefD20x_8" localSheetId="54">'333'!$L$44,'333'!$L$54,'333'!$L$65,'333'!$L$67,'333'!$L$69,'333'!$L$71,'333'!$L$73,'333'!$L$75,'333'!$L$77,'333'!$L$80,'333'!$L$82,'333'!$L$84,'333'!$L$86,'333'!$L$88,'333'!$L$90,'333'!$L$93,'333'!$L$97,'333'!$L$101,'333'!$L$104,'333'!$L$111,'333'!$L$113,'333'!$L$115,'333'!$L$118</definedName>
    <definedName name="OSRRefD20x_8" localSheetId="73">'405'!$L$25,'405'!$L$35,'405'!$L$46,'405'!$L$48,'405'!$L$50,'405'!$L$52,'405'!$L$55,'405'!$L$57,'405'!$L$59,'405'!$L$61,'405'!$L$64,'405'!$L$68,'405'!$L$70,'405'!$L$80,'405'!$L$82,'405'!$L$84</definedName>
    <definedName name="OSRRefD20x_8" localSheetId="74">'406'!$L$18</definedName>
    <definedName name="OSRRefD20x_8" localSheetId="75">'411'!$L$18,'411'!$L$28,'411'!$L$39,'411'!$L$41,'411'!$L$44,'411'!$L$46,'411'!$L$48,'411'!$L$50,'411'!$L$52,'411'!$L$56,'411'!$L$59,'411'!$L$61,'411'!$L$64,'411'!$L$66,'411'!$L$69</definedName>
    <definedName name="OSRRefD20x_8" localSheetId="76">'412'!$L$18,'412'!$L$20,'412'!$L$22,'412'!$L$24</definedName>
    <definedName name="OSRRefD20x_8" localSheetId="77">'413'!$L$18,'413'!$L$20</definedName>
    <definedName name="OSRRefD20x_8" localSheetId="78">'414'!$L$18,'414'!$L$20</definedName>
    <definedName name="OSRRefD20x_8" localSheetId="79">'415'!$L$25,'415'!$L$36,'415'!$L$47,'415'!$L$49,'415'!$L$51,'415'!$L$53,'415'!$L$56,'415'!$L$58,'415'!$L$60,'415'!$L$62,'415'!$L$64,'415'!$L$66,'415'!$L$69,'415'!$L$74,'415'!$L$76,'415'!$L$83,'415'!$L$86,'415'!$L$88</definedName>
    <definedName name="OSRRefD20x_8" localSheetId="80">'418'!$L$22,'418'!$L$32,'418'!$L$43,'418'!$L$45,'418'!$L$47,'418'!$L$50,'418'!$L$52,'418'!$L$54,'418'!$L$56,'418'!$L$59,'418'!$L$63,'418'!$L$65,'418'!$L$72,'418'!$L$75,'418'!$L$77</definedName>
    <definedName name="OSRRefD20x_8" localSheetId="81">'423'!$L$18,'423'!$L$27,'423'!$L$38,'423'!$L$40,'423'!$L$42</definedName>
    <definedName name="OSRRefD20x_8" localSheetId="82">'424'!$L$18,'424'!$L$20</definedName>
    <definedName name="OSRRefD20x_8" localSheetId="83">'425'!$L$20,'425'!$L$22,'425'!$L$24,'425'!$L$26,'425'!$L$28</definedName>
    <definedName name="OSRRefD20x_8" localSheetId="86">'430'!$L$18,'430'!$L$28,'430'!$L$39,'430'!$L$41,'430'!$L$43,'430'!$L$45,'430'!$L$48,'430'!$L$51,'430'!$L$53</definedName>
    <definedName name="OSRRefD20x_8" localSheetId="87">'433'!$L$25,'433'!$L$36,'433'!$L$47,'433'!$L$49,'433'!$L$51,'433'!$L$53,'433'!$L$55,'433'!$L$57,'433'!$L$59,'433'!$L$61,'433'!$L$63,'433'!$L$65,'433'!$L$69,'433'!$L$74,'433'!$L$83,'433'!$L$85</definedName>
    <definedName name="OSRRefD20x_8" localSheetId="88">'435'!$L$21,'435'!$L$24,'435'!$L$26,'435'!$L$28,'435'!$L$30</definedName>
    <definedName name="OSRRefD20x_8" localSheetId="89">'444'!$L$25,'444'!$L$36,'444'!$L$47,'444'!$L$49,'444'!$L$51,'444'!$L$53,'444'!$L$55,'444'!$L$57,'444'!$L$59,'444'!$L$61,'444'!$L$63,'444'!$L$65,'444'!$L$68,'444'!$L$73,'444'!$L$83,'444'!$L$85</definedName>
    <definedName name="OSRRefD20x_8" localSheetId="90">'450'!$L$25,'450'!$L$36,'450'!$L$47,'450'!$L$49,'450'!$L$51,'450'!$L$53,'450'!$L$55,'450'!$L$57,'450'!$L$59,'450'!$L$61,'450'!$L$63,'450'!$L$65,'450'!$L$68,'450'!$L$73,'450'!$L$81,'450'!$L$83,'450'!$L$85</definedName>
    <definedName name="OSRRefD20x_8" localSheetId="72">'491'!$L$26,'491'!$L$37,'491'!$L$48,'491'!$L$50,'491'!$L$52,'491'!$L$54,'491'!$L$57,'491'!$L$59,'491'!$L$61,'491'!$L$63,'491'!$L$65,'491'!$L$67,'491'!$L$69,'491'!$L$73,'491'!$L$75,'491'!$L$81,'491'!$L$83,'491'!$L$93,'491'!$L$96,'491'!$L$98,'491'!$L$101</definedName>
    <definedName name="OSRRefD20x_8" localSheetId="85">'492'!$L$27,'492'!$L$38,'492'!$L$49,'492'!$L$51,'492'!$L$53,'492'!$L$55,'492'!$L$57,'492'!$L$59,'492'!$L$61,'492'!$L$63,'492'!$L$65,'492'!$L$67,'492'!$L$69,'492'!$L$73,'492'!$L$78,'492'!$L$88,'492'!$L$91,'492'!$L$93</definedName>
    <definedName name="OSRRefD20x_8" localSheetId="92">'501'!$L$19,'501'!$L$30,'501'!$L$41,'501'!$L$43,'501'!$L$45,'501'!$L$47,'501'!$L$50,'501'!$L$52,'501'!$L$54,'501'!$L$56,'501'!$L$60,'501'!$L$62,'501'!$L$66,'501'!$L$68</definedName>
    <definedName name="OSRRefD20x_8" localSheetId="39">'Div 2'!$L$18,'Div 2'!$L$30,'Div 2'!$L$41,'Div 2'!$L$43,'Div 2'!$L$45,'Div 2'!$L$47,'Div 2'!$L$50,'Div 2'!$L$52,'Div 2'!$L$54,'Div 2'!$L$56,'Div 2'!$L$58,'Div 2'!$L$60,'Div 2'!$L$62,'Div 2'!$L$67,'Div 2'!$L$72,'Div 2'!$L$75,'Div 2'!$L$78,'Div 2'!$L$84,'Div 2'!$L$87,'Div 2'!$L$89</definedName>
    <definedName name="OSRRefD20x_8" localSheetId="47">'Div 3'!$L$58,'Div 3'!$L$69,'Div 3'!$L$80,'Div 3'!$L$82,'Div 3'!$L$84,'Div 3'!$L$86,'Div 3'!$L$89,'Div 3'!$L$92,'Div 3'!$L$94,'Div 3'!$L$96,'Div 3'!$L$98,'Div 3'!$L$101,'Div 3'!$L$103,'Div 3'!$L$105,'Div 3'!$L$107,'Div 3'!$L$109,'Div 3'!$L$111,'Div 3'!$L$113,'Div 3'!$L$118,'Div 3'!$L$123,'Div 3'!$L$128,'Div 3'!$L$131,'Div 3'!$L$139,'Div 3'!$L$142,'Div 3'!$L$144,'Div 3'!$L$148</definedName>
    <definedName name="OSRRefD20x_8" localSheetId="70">'Div 4'!$L$29,'Div 4'!$L$40,'Div 4'!$L$51,'Div 4'!$L$53,'Div 4'!$L$55,'Div 4'!$L$57,'Div 4'!$L$60,'Div 4'!$L$62,'Div 4'!$L$64,'Div 4'!$L$66,'Div 4'!$L$68,'Div 4'!$L$70,'Div 4'!$L$72,'Div 4'!$L$74,'Div 4'!$L$76,'Div 4'!$L$80,'Div 4'!$L$82,'Div 4'!$L$88,'Div 4'!$L$90,'Div 4'!$L$101,'Div 4'!$L$104,'Div 4'!$L$106,'Div 4'!$L$109</definedName>
    <definedName name="OSRRefD20x_8" localSheetId="91">'Div 5'!$L$19,'Div 5'!$L$30,'Div 5'!$L$41,'Div 5'!$L$43,'Div 5'!$L$45,'Div 5'!$L$47,'Div 5'!$L$50,'Div 5'!$L$52,'Div 5'!$L$54,'Div 5'!$L$56,'Div 5'!$L$60,'Div 5'!$L$62,'Div 5'!$L$66,'Div 5'!$L$68</definedName>
    <definedName name="OSRRefD20x_8" localSheetId="61">'Div 6'!$L$33,'Div 6'!$L$44,'Div 6'!$L$55,'Div 6'!$L$57,'Div 6'!$L$59,'Div 6'!$L$61,'Div 6'!$L$63,'Div 6'!$L$65,'Div 6'!$L$67,'Div 6'!$L$69,'Div 6'!$L$72</definedName>
    <definedName name="OSRRefD20x_8" localSheetId="2">Summary!$L$66,Summary!$L$77,Summary!$L$88,Summary!$L$90,Summary!$L$92,Summary!$L$94,Summary!$L$97,Summary!$L$100,Summary!$L$102,Summary!$L$104,Summary!$L$106,Summary!$L$109,Summary!$L$111,Summary!$L$113,Summary!$L$115,Summary!$L$117,Summary!$L$119,Summary!$L$121,Summary!$L$123,Summary!$L$128,Summary!$L$133,Summary!$L$139,Summary!$L$142,Summary!$L$153,Summary!$L$156,Summary!$L$158,Summary!$L$162</definedName>
    <definedName name="OSRRefD20x_9" localSheetId="40">'200'!$M$18,'200'!$M$20,'200'!$M$22,'200'!$M$24</definedName>
    <definedName name="OSRRefD20x_9" localSheetId="41">'201'!$M$18,'201'!$M$28,'201'!$M$39,'201'!$M$41,'201'!$M$43,'201'!$M$45,'201'!$M$47,'201'!$M$49,'201'!$M$51,'201'!$M$53,'201'!$M$57,'201'!$M$60,'201'!$M$62,'201'!$M$65,'201'!$M$67</definedName>
    <definedName name="OSRRefD20x_9" localSheetId="42">'202'!$M$18,'202'!$M$28,'202'!$M$39,'202'!$M$41,'202'!$M$43,'202'!$M$45,'202'!$M$47,'202'!$M$49,'202'!$M$53,'202'!$M$55,'202'!$M$58,'202'!$M$60,'202'!$M$62</definedName>
    <definedName name="OSRRefD20x_9" localSheetId="43">'203'!$M$18,'203'!$M$29,'203'!$M$40,'203'!$M$42,'203'!$M$44,'203'!$M$46,'203'!$M$48,'203'!$M$50,'203'!$M$52,'203'!$M$56,'203'!$M$59,'203'!$M$62,'203'!$M$67,'203'!$M$69</definedName>
    <definedName name="OSRRefD20x_9" localSheetId="44">'204'!$M$18,'204'!$M$28,'204'!$M$39,'204'!$M$42,'204'!$M$44,'204'!$M$49,'204'!$M$51,'204'!$M$54,'204'!$M$56</definedName>
    <definedName name="OSRRefD20x_9" localSheetId="45">'205'!$M$18,'205'!$M$28,'205'!$M$39,'205'!$M$41,'205'!$M$43,'205'!$M$46,'205'!$M$48,'205'!$M$51</definedName>
    <definedName name="OSRRefD20x_9" localSheetId="46">'206'!$M$18,'206'!$M$28,'206'!$M$39,'206'!$M$41,'206'!$M$44,'206'!$M$46</definedName>
    <definedName name="OSRRefD20x_9" localSheetId="48">'300'!$M$52,'300'!$M$63,'300'!$M$74,'300'!$M$76,'300'!$M$78,'300'!$M$80,'300'!$M$83,'300'!$M$86,'300'!$M$88,'300'!$M$90,'300'!$M$92,'300'!$M$95,'300'!$M$97,'300'!$M$99,'300'!$M$101,'300'!$M$103,'300'!$M$105,'300'!$M$110,'300'!$M$115,'300'!$M$119,'300'!$M$122,'300'!$M$130,'300'!$M$133,'300'!$M$135,'300'!$M$139</definedName>
    <definedName name="OSRRefD20x_9" localSheetId="49">'300 &amp; 317'!$M$58,'300 &amp; 317'!$M$69,'300 &amp; 317'!$M$80,'300 &amp; 317'!$M$82,'300 &amp; 317'!$M$84,'300 &amp; 317'!$M$86,'300 &amp; 317'!$M$89,'300 &amp; 317'!$M$92,'300 &amp; 317'!$M$94,'300 &amp; 317'!$M$96,'300 &amp; 317'!$M$98,'300 &amp; 317'!$M$101,'300 &amp; 317'!$M$103,'300 &amp; 317'!$M$105,'300 &amp; 317'!$M$107,'300 &amp; 317'!$M$109,'300 &amp; 317'!$M$111,'300 &amp; 317'!$M$116,'300 &amp; 317'!$M$121,'300 &amp; 317'!$M$125,'300 &amp; 317'!$M$128,'300 &amp; 317'!$M$136,'300 &amp; 317'!$M$139,'300 &amp; 317'!$M$141,'300 &amp; 317'!$M$145</definedName>
    <definedName name="OSRRefD20x_9" localSheetId="50">'301'!$M$19,'301'!$M$30,'301'!$M$41,'301'!$M$43,'301'!$M$45,'301'!$M$47,'301'!$M$50,'301'!$M$53,'301'!$M$55,'301'!$M$57,'301'!$M$59,'301'!$M$61,'301'!$M$63,'301'!$M$65,'301'!$M$67,'301'!$M$69,'301'!$M$74,'301'!$M$77,'301'!$M$79,'301'!$M$86,'301'!$M$88,'301'!$M$90,'301'!$M$93</definedName>
    <definedName name="OSRRefD20x_9" localSheetId="55">'307'!$M$32,'307'!$M$42,'307'!$M$53,'307'!$M$55,'307'!$M$57,'307'!$M$59,'307'!$M$61,'307'!$M$63,'307'!$M$65,'307'!$M$67,'307'!$M$70,'307'!$M$73,'307'!$M$75,'307'!$M$80</definedName>
    <definedName name="OSRRefD20x_9" localSheetId="51">'308'!$M$33,'308'!$M$44,'308'!$M$55,'308'!$M$57,'308'!$M$59,'308'!$M$61,'308'!$M$63,'308'!$M$66,'308'!$M$68,'308'!$M$70,'308'!$M$74,'308'!$M$77,'308'!$M$80,'308'!$M$83</definedName>
    <definedName name="OSRRefD20x_9" localSheetId="64">'309'!$M$24,'309'!$M$27,'309'!$M$30,'309'!$M$32,'309'!$M$34,'309'!$M$36,'309'!$M$38,'309'!$M$40,'309'!$M$42,'309'!$M$45,'309'!$M$48,'309'!$M$51,'309'!$M$53</definedName>
    <definedName name="OSRRefD20x_9" localSheetId="63">'310'!$M$27,'310'!$M$38,'310'!$M$49,'310'!$M$51,'310'!$M$53,'310'!$M$55,'310'!$M$58,'310'!$M$60,'310'!$M$62,'310'!$M$64,'310'!$M$66,'310'!$M$68,'310'!$M$71,'310'!$M$74,'310'!$M$78,'310'!$M$85,'310'!$M$88,'310'!$M$90</definedName>
    <definedName name="OSRRefD20x_9" localSheetId="71">'310 &amp; 491'!$M$27,'310 &amp; 491'!$M$38,'310 &amp; 491'!$M$49,'310 &amp; 491'!$M$51,'310 &amp; 491'!$M$53,'310 &amp; 491'!$M$55,'310 &amp; 491'!$M$58,'310 &amp; 491'!$M$60,'310 &amp; 491'!$M$62,'310 &amp; 491'!$M$64,'310 &amp; 491'!$M$66,'310 &amp; 491'!$M$68,'310 &amp; 491'!$M$70,'310 &amp; 491'!$M$74,'310 &amp; 491'!$M$77,'310 &amp; 491'!$M$83,'310 &amp; 491'!$M$85,'310 &amp; 491'!$M$95,'310 &amp; 491'!$M$98,'310 &amp; 491'!$M$100,'310 &amp; 491'!$M$103</definedName>
    <definedName name="OSRRefD20x_9" localSheetId="52">'311'!$M$33,'311'!$M$44,'311'!$M$55,'311'!$M$57,'311'!$M$59,'311'!$M$61,'311'!$M$63,'311'!$M$66,'311'!$M$68,'311'!$M$70,'311'!$M$74,'311'!$M$77,'311'!$M$80,'311'!$M$83</definedName>
    <definedName name="OSRRefD20x_9" localSheetId="65">'313'!$M$18,'313'!$M$20,'313'!$M$22</definedName>
    <definedName name="OSRRefD20x_9" localSheetId="57">'315'!$M$42,'315'!$M$52,'315'!$M$63,'315'!$M$65,'315'!$M$67,'315'!$M$69,'315'!$M$71,'315'!$M$73,'315'!$M$75,'315'!$M$78,'315'!$M$80,'315'!$M$82,'315'!$M$84,'315'!$M$87,'315'!$M$91,'315'!$M$94,'315'!$M$99,'315'!$M$101,'315'!$M$103</definedName>
    <definedName name="OSRRefD20x_9" localSheetId="60">'316'!$M$25,'316'!$M$35,'316'!$M$46,'316'!$M$48,'316'!$M$50,'316'!$M$52,'316'!$M$55,'316'!$M$57,'316'!$M$60,'316'!$M$62,'316'!$M$64,'316'!$M$70</definedName>
    <definedName name="OSRRefD20x_9" localSheetId="62">'317'!$M$33,'317'!$M$44,'317'!$M$55,'317'!$M$57,'317'!$M$59,'317'!$M$61,'317'!$M$63,'317'!$M$65,'317'!$M$67,'317'!$M$69,'317'!$M$72</definedName>
    <definedName name="OSRRefD20x_9" localSheetId="66">'321'!$M$22,'321'!$M$33,'321'!$M$44,'321'!$M$46,'321'!$M$48,'321'!$M$50,'321'!$M$52,'321'!$M$54,'321'!$M$57,'321'!$M$60,'321'!$M$64,'321'!$M$69,'321'!$M$71</definedName>
    <definedName name="OSRRefD20x_9" localSheetId="67">'322'!$M$18</definedName>
    <definedName name="OSRRefD20x_9" localSheetId="68">'325'!$M$23,'325'!$M$33,'325'!$M$44,'325'!$M$46,'325'!$M$48,'325'!$M$50,'325'!$M$53,'325'!$M$55,'325'!$M$57,'325'!$M$59,'325'!$M$61,'325'!$M$63,'325'!$M$66,'325'!$M$70,'325'!$M$77,'325'!$M$80,'325'!$M$82</definedName>
    <definedName name="OSRRefD20x_9" localSheetId="58">'326'!$M$26,'326'!$M$36,'326'!$M$47,'326'!$M$49,'326'!$M$51,'326'!$M$53,'326'!$M$55,'326'!$M$57,'326'!$M$59,'326'!$M$61,'326'!$M$63,'326'!$M$65,'326'!$M$68,'326'!$M$71,'326'!$M$74,'326'!$M$78,'326'!$M$80,'326'!$M$83</definedName>
    <definedName name="OSRRefD20x_9" localSheetId="69">'327'!$M$24,'327'!$M$26</definedName>
    <definedName name="OSRRefD20x_9" localSheetId="56">'331'!$M$42,'331'!$M$52,'331'!$M$63,'331'!$M$65,'331'!$M$67,'331'!$M$69,'331'!$M$71,'331'!$M$73,'331'!$M$75,'331'!$M$78,'331'!$M$80,'331'!$M$82,'331'!$M$84,'331'!$M$86,'331'!$M$88,'331'!$M$91,'331'!$M$95,'331'!$M$98,'331'!$M$101,'331'!$M$107,'331'!$M$109,'331'!$M$111,'331'!$M$114</definedName>
    <definedName name="OSRRefD20x_9" localSheetId="59">'332'!$M$25,'332'!$M$35,'332'!$M$46,'332'!$M$48,'332'!$M$50,'332'!$M$52,'332'!$M$55,'332'!$M$57,'332'!$M$60,'332'!$M$62,'332'!$M$64,'332'!$M$70</definedName>
    <definedName name="OSRRefD20x_9" localSheetId="54">'333'!$M$44,'333'!$M$54,'333'!$M$65,'333'!$M$67,'333'!$M$69,'333'!$M$71,'333'!$M$73,'333'!$M$75,'333'!$M$77,'333'!$M$80,'333'!$M$82,'333'!$M$84,'333'!$M$86,'333'!$M$88,'333'!$M$90,'333'!$M$93,'333'!$M$97,'333'!$M$101,'333'!$M$104,'333'!$M$111,'333'!$M$113,'333'!$M$115,'333'!$M$118</definedName>
    <definedName name="OSRRefD20x_9" localSheetId="73">'405'!$M$25,'405'!$M$35,'405'!$M$46,'405'!$M$48,'405'!$M$50,'405'!$M$52,'405'!$M$55,'405'!$M$57,'405'!$M$59,'405'!$M$61,'405'!$M$64,'405'!$M$68,'405'!$M$70,'405'!$M$80,'405'!$M$82,'405'!$M$84</definedName>
    <definedName name="OSRRefD20x_9" localSheetId="74">'406'!$M$18</definedName>
    <definedName name="OSRRefD20x_9" localSheetId="75">'411'!$M$18,'411'!$M$28,'411'!$M$39,'411'!$M$41,'411'!$M$44,'411'!$M$46,'411'!$M$48,'411'!$M$50,'411'!$M$52,'411'!$M$56,'411'!$M$59,'411'!$M$61,'411'!$M$64,'411'!$M$66,'411'!$M$69</definedName>
    <definedName name="OSRRefD20x_9" localSheetId="76">'412'!$M$18,'412'!$M$20,'412'!$M$22,'412'!$M$24</definedName>
    <definedName name="OSRRefD20x_9" localSheetId="77">'413'!$M$18,'413'!$M$20</definedName>
    <definedName name="OSRRefD20x_9" localSheetId="78">'414'!$M$18,'414'!$M$20</definedName>
    <definedName name="OSRRefD20x_9" localSheetId="79">'415'!$M$25,'415'!$M$36,'415'!$M$47,'415'!$M$49,'415'!$M$51,'415'!$M$53,'415'!$M$56,'415'!$M$58,'415'!$M$60,'415'!$M$62,'415'!$M$64,'415'!$M$66,'415'!$M$69,'415'!$M$74,'415'!$M$76,'415'!$M$83,'415'!$M$86,'415'!$M$88</definedName>
    <definedName name="OSRRefD20x_9" localSheetId="80">'418'!$M$22,'418'!$M$32,'418'!$M$43,'418'!$M$45,'418'!$M$47,'418'!$M$50,'418'!$M$52,'418'!$M$54,'418'!$M$56,'418'!$M$59,'418'!$M$63,'418'!$M$65,'418'!$M$72,'418'!$M$75,'418'!$M$77</definedName>
    <definedName name="OSRRefD20x_9" localSheetId="81">'423'!$M$18,'423'!$M$27,'423'!$M$38,'423'!$M$40,'423'!$M$42</definedName>
    <definedName name="OSRRefD20x_9" localSheetId="82">'424'!$M$18,'424'!$M$20</definedName>
    <definedName name="OSRRefD20x_9" localSheetId="83">'425'!$M$20,'425'!$M$22,'425'!$M$24,'425'!$M$26,'425'!$M$28</definedName>
    <definedName name="OSRRefD20x_9" localSheetId="86">'430'!$M$18,'430'!$M$28,'430'!$M$39,'430'!$M$41,'430'!$M$43,'430'!$M$45,'430'!$M$48,'430'!$M$51,'430'!$M$53</definedName>
    <definedName name="OSRRefD20x_9" localSheetId="87">'433'!$M$25,'433'!$M$36,'433'!$M$47,'433'!$M$49,'433'!$M$51,'433'!$M$53,'433'!$M$55,'433'!$M$57,'433'!$M$59,'433'!$M$61,'433'!$M$63,'433'!$M$65,'433'!$M$69,'433'!$M$74,'433'!$M$83,'433'!$M$85</definedName>
    <definedName name="OSRRefD20x_9" localSheetId="88">'435'!$M$21,'435'!$M$24,'435'!$M$26,'435'!$M$28,'435'!$M$30</definedName>
    <definedName name="OSRRefD20x_9" localSheetId="89">'444'!$M$25,'444'!$M$36,'444'!$M$47,'444'!$M$49,'444'!$M$51,'444'!$M$53,'444'!$M$55,'444'!$M$57,'444'!$M$59,'444'!$M$61,'444'!$M$63,'444'!$M$65,'444'!$M$68,'444'!$M$73,'444'!$M$83,'444'!$M$85</definedName>
    <definedName name="OSRRefD20x_9" localSheetId="90">'450'!$M$25,'450'!$M$36,'450'!$M$47,'450'!$M$49,'450'!$M$51,'450'!$M$53,'450'!$M$55,'450'!$M$57,'450'!$M$59,'450'!$M$61,'450'!$M$63,'450'!$M$65,'450'!$M$68,'450'!$M$73,'450'!$M$81,'450'!$M$83,'450'!$M$85</definedName>
    <definedName name="OSRRefD20x_9" localSheetId="72">'491'!$M$26,'491'!$M$37,'491'!$M$48,'491'!$M$50,'491'!$M$52,'491'!$M$54,'491'!$M$57,'491'!$M$59,'491'!$M$61,'491'!$M$63,'491'!$M$65,'491'!$M$67,'491'!$M$69,'491'!$M$73,'491'!$M$75,'491'!$M$81,'491'!$M$83,'491'!$M$93,'491'!$M$96,'491'!$M$98,'491'!$M$101</definedName>
    <definedName name="OSRRefD20x_9" localSheetId="85">'492'!$M$27,'492'!$M$38,'492'!$M$49,'492'!$M$51,'492'!$M$53,'492'!$M$55,'492'!$M$57,'492'!$M$59,'492'!$M$61,'492'!$M$63,'492'!$M$65,'492'!$M$67,'492'!$M$69,'492'!$M$73,'492'!$M$78,'492'!$M$88,'492'!$M$91,'492'!$M$93</definedName>
    <definedName name="OSRRefD20x_9" localSheetId="92">'501'!$M$19,'501'!$M$30,'501'!$M$41,'501'!$M$43,'501'!$M$45,'501'!$M$47,'501'!$M$50,'501'!$M$52,'501'!$M$54,'501'!$M$56,'501'!$M$60,'501'!$M$62,'501'!$M$66,'501'!$M$68</definedName>
    <definedName name="OSRRefD20x_9" localSheetId="39">'Div 2'!$M$18,'Div 2'!$M$30,'Div 2'!$M$41,'Div 2'!$M$43,'Div 2'!$M$45,'Div 2'!$M$47,'Div 2'!$M$50,'Div 2'!$M$52,'Div 2'!$M$54,'Div 2'!$M$56,'Div 2'!$M$58,'Div 2'!$M$60,'Div 2'!$M$62,'Div 2'!$M$67,'Div 2'!$M$72,'Div 2'!$M$75,'Div 2'!$M$78,'Div 2'!$M$84,'Div 2'!$M$87,'Div 2'!$M$89</definedName>
    <definedName name="OSRRefD20x_9" localSheetId="47">'Div 3'!$M$58,'Div 3'!$M$69,'Div 3'!$M$80,'Div 3'!$M$82,'Div 3'!$M$84,'Div 3'!$M$86,'Div 3'!$M$89,'Div 3'!$M$92,'Div 3'!$M$94,'Div 3'!$M$96,'Div 3'!$M$98,'Div 3'!$M$101,'Div 3'!$M$103,'Div 3'!$M$105,'Div 3'!$M$107,'Div 3'!$M$109,'Div 3'!$M$111,'Div 3'!$M$113,'Div 3'!$M$118,'Div 3'!$M$123,'Div 3'!$M$128,'Div 3'!$M$131,'Div 3'!$M$139,'Div 3'!$M$142,'Div 3'!$M$144,'Div 3'!$M$148</definedName>
    <definedName name="OSRRefD20x_9" localSheetId="70">'Div 4'!$M$29,'Div 4'!$M$40,'Div 4'!$M$51,'Div 4'!$M$53,'Div 4'!$M$55,'Div 4'!$M$57,'Div 4'!$M$60,'Div 4'!$M$62,'Div 4'!$M$64,'Div 4'!$M$66,'Div 4'!$M$68,'Div 4'!$M$70,'Div 4'!$M$72,'Div 4'!$M$74,'Div 4'!$M$76,'Div 4'!$M$80,'Div 4'!$M$82,'Div 4'!$M$88,'Div 4'!$M$90,'Div 4'!$M$101,'Div 4'!$M$104,'Div 4'!$M$106,'Div 4'!$M$109</definedName>
    <definedName name="OSRRefD20x_9" localSheetId="91">'Div 5'!$M$19,'Div 5'!$M$30,'Div 5'!$M$41,'Div 5'!$M$43,'Div 5'!$M$45,'Div 5'!$M$47,'Div 5'!$M$50,'Div 5'!$M$52,'Div 5'!$M$54,'Div 5'!$M$56,'Div 5'!$M$60,'Div 5'!$M$62,'Div 5'!$M$66,'Div 5'!$M$68</definedName>
    <definedName name="OSRRefD20x_9" localSheetId="61">'Div 6'!$M$33,'Div 6'!$M$44,'Div 6'!$M$55,'Div 6'!$M$57,'Div 6'!$M$59,'Div 6'!$M$61,'Div 6'!$M$63,'Div 6'!$M$65,'Div 6'!$M$67,'Div 6'!$M$69,'Div 6'!$M$72</definedName>
    <definedName name="OSRRefD20x_9" localSheetId="2">Summary!$M$66,Summary!$M$77,Summary!$M$88,Summary!$M$90,Summary!$M$92,Summary!$M$94,Summary!$M$97,Summary!$M$100,Summary!$M$102,Summary!$M$104,Summary!$M$106,Summary!$M$109,Summary!$M$111,Summary!$M$113,Summary!$M$115,Summary!$M$117,Summary!$M$119,Summary!$M$121,Summary!$M$123,Summary!$M$128,Summary!$M$133,Summary!$M$139,Summary!$M$142,Summary!$M$153,Summary!$M$156,Summary!$M$158,Summary!$M$162</definedName>
    <definedName name="OSRRefD21_0_0x" localSheetId="40">'200'!$D$19:$M$19</definedName>
    <definedName name="OSRRefD21_0_0x" localSheetId="41">'201'!$D$19:$M$19</definedName>
    <definedName name="OSRRefD21_0_0x" localSheetId="42">'202'!$D$19:$M$19</definedName>
    <definedName name="OSRRefD21_0_0x" localSheetId="43">'203'!$D$19:$M$19</definedName>
    <definedName name="OSRRefD21_0_0x" localSheetId="44">'204'!$D$19:$M$19</definedName>
    <definedName name="OSRRefD21_0_0x" localSheetId="45">'205'!$D$19:$M$19</definedName>
    <definedName name="OSRRefD21_0_0x" localSheetId="46">'206'!$D$19:$M$19</definedName>
    <definedName name="OSRRefD21_0_0x" localSheetId="48">'300'!$D$53:$M$53</definedName>
    <definedName name="OSRRefD21_0_0x" localSheetId="49">'300 &amp; 317'!$D$59:$M$59</definedName>
    <definedName name="OSRRefD21_0_0x" localSheetId="50">'301'!$D$20:$M$20</definedName>
    <definedName name="OSRRefD21_0_0x" localSheetId="55">'307'!$D$33:$M$33</definedName>
    <definedName name="OSRRefD21_0_0x" localSheetId="51">'308'!$D$34:$M$34</definedName>
    <definedName name="OSRRefD21_0_0x" localSheetId="64">'309'!$D$25:$M$25</definedName>
    <definedName name="OSRRefD21_0_0x" localSheetId="63">'310'!$D$28:$M$28</definedName>
    <definedName name="OSRRefD21_0_0x" localSheetId="71">'310 &amp; 491'!$D$28:$M$28</definedName>
    <definedName name="OSRRefD21_0_0x" localSheetId="52">'311'!$D$34:$M$34</definedName>
    <definedName name="OSRRefD21_0_0x" localSheetId="65">'313'!$D$19:$M$19</definedName>
    <definedName name="OSRRefD21_0_0x" localSheetId="57">'315'!$D$43:$M$43</definedName>
    <definedName name="OSRRefD21_0_0x" localSheetId="60">'316'!$D$26:$M$26</definedName>
    <definedName name="OSRRefD21_0_0x" localSheetId="62">'317'!$D$34:$M$34</definedName>
    <definedName name="OSRRefD21_0_0x" localSheetId="66">'321'!$D$23:$M$23</definedName>
    <definedName name="OSRRefD21_0_0x" localSheetId="67">'322'!$D$19:$M$19</definedName>
    <definedName name="OSRRefD21_0_0x" localSheetId="68">'325'!$D$24:$M$24</definedName>
    <definedName name="OSRRefD21_0_0x" localSheetId="58">'326'!$D$27:$M$27</definedName>
    <definedName name="OSRRefD21_0_0x" localSheetId="69">'327'!$D$25:$M$25</definedName>
    <definedName name="OSRRefD21_0_0x" localSheetId="56">'331'!$D$43:$M$43</definedName>
    <definedName name="OSRRefD21_0_0x" localSheetId="59">'332'!$D$26:$M$26</definedName>
    <definedName name="OSRRefD21_0_0x" localSheetId="54">'333'!$D$45:$M$45</definedName>
    <definedName name="OSRRefD21_0_0x" localSheetId="73">'405'!$D$26:$M$26</definedName>
    <definedName name="OSRRefD21_0_0x" localSheetId="74">'406'!$D$19:$M$19</definedName>
    <definedName name="OSRRefD21_0_0x" localSheetId="75">'411'!$D$19:$M$19</definedName>
    <definedName name="OSRRefD21_0_0x" localSheetId="76">'412'!$D$19:$M$19</definedName>
    <definedName name="OSRRefD21_0_0x" localSheetId="77">'413'!$D$19:$M$19</definedName>
    <definedName name="OSRRefD21_0_0x" localSheetId="78">'414'!$D$19:$M$19</definedName>
    <definedName name="OSRRefD21_0_0x" localSheetId="79">'415'!$D$26:$M$26</definedName>
    <definedName name="OSRRefD21_0_0x" localSheetId="80">'418'!$D$23:$M$23</definedName>
    <definedName name="OSRRefD21_0_0x" localSheetId="81">'423'!$D$19:$M$19</definedName>
    <definedName name="OSRRefD21_0_0x" localSheetId="82">'424'!$D$19:$M$19</definedName>
    <definedName name="OSRRefD21_0_0x" localSheetId="83">'425'!$D$21:$M$21</definedName>
    <definedName name="OSRRefD21_0_0x" localSheetId="86">'430'!$D$19:$M$19</definedName>
    <definedName name="OSRRefD21_0_0x" localSheetId="87">'433'!$D$26:$M$26</definedName>
    <definedName name="OSRRefD21_0_0x" localSheetId="88">'435'!$D$22:$M$22</definedName>
    <definedName name="OSRRefD21_0_0x" localSheetId="89">'444'!$D$26:$M$26</definedName>
    <definedName name="OSRRefD21_0_0x" localSheetId="90">'450'!$D$26:$M$26</definedName>
    <definedName name="OSRRefD21_0_0x" localSheetId="72">'491'!$D$27:$M$27</definedName>
    <definedName name="OSRRefD21_0_0x" localSheetId="85">'492'!$D$28:$M$28</definedName>
    <definedName name="OSRRefD21_0_0x" localSheetId="92">'501'!$D$20:$M$20</definedName>
    <definedName name="OSRRefD21_0_0x" localSheetId="39">'Div 2'!$D$19:$M$19</definedName>
    <definedName name="OSRRefD21_0_0x" localSheetId="47">'Div 3'!$D$59:$M$59</definedName>
    <definedName name="OSRRefD21_0_0x" localSheetId="70">'Div 4'!$D$30:$M$30</definedName>
    <definedName name="OSRRefD21_0_0x" localSheetId="91">'Div 5'!$D$20:$M$20</definedName>
    <definedName name="OSRRefD21_0_0x" localSheetId="61">'Div 6'!$D$34:$M$34</definedName>
    <definedName name="OSRRefD21_0_0x" localSheetId="2">Summary!$D$67:$M$67</definedName>
    <definedName name="OSRRefD21_0_10x" localSheetId="39">'Div 2'!$D$29:$M$29</definedName>
    <definedName name="OSRRefD21_0_1x" localSheetId="41">'201'!$D$20:$M$20</definedName>
    <definedName name="OSRRefD21_0_1x" localSheetId="42">'202'!$D$20:$M$20</definedName>
    <definedName name="OSRRefD21_0_1x" localSheetId="43">'203'!$D$20:$M$20</definedName>
    <definedName name="OSRRefD21_0_1x" localSheetId="44">'204'!$D$20:$M$20</definedName>
    <definedName name="OSRRefD21_0_1x" localSheetId="45">'205'!$D$20:$M$20</definedName>
    <definedName name="OSRRefD21_0_1x" localSheetId="46">'206'!$D$20:$M$20</definedName>
    <definedName name="OSRRefD21_0_1x" localSheetId="48">'300'!$D$54:$M$54</definedName>
    <definedName name="OSRRefD21_0_1x" localSheetId="49">'300 &amp; 317'!$D$60:$M$60</definedName>
    <definedName name="OSRRefD21_0_1x" localSheetId="50">'301'!$D$21:$M$21</definedName>
    <definedName name="OSRRefD21_0_1x" localSheetId="55">'307'!$D$34:$M$34</definedName>
    <definedName name="OSRRefD21_0_1x" localSheetId="51">'308'!$D$35:$M$35</definedName>
    <definedName name="OSRRefD21_0_1x" localSheetId="64">'309'!$D$26:$M$26</definedName>
    <definedName name="OSRRefD21_0_1x" localSheetId="63">'310'!$D$29:$M$29</definedName>
    <definedName name="OSRRefD21_0_1x" localSheetId="71">'310 &amp; 491'!$D$29:$M$29</definedName>
    <definedName name="OSRRefD21_0_1x" localSheetId="52">'311'!$D$35:$M$35</definedName>
    <definedName name="OSRRefD21_0_1x" localSheetId="57">'315'!$D$44:$M$44</definedName>
    <definedName name="OSRRefD21_0_1x" localSheetId="60">'316'!$D$27:$M$27</definedName>
    <definedName name="OSRRefD21_0_1x" localSheetId="62">'317'!$D$35:$M$35</definedName>
    <definedName name="OSRRefD21_0_1x" localSheetId="66">'321'!$D$24:$M$24</definedName>
    <definedName name="OSRRefD21_0_1x" localSheetId="68">'325'!$D$25:$M$25</definedName>
    <definedName name="OSRRefD21_0_1x" localSheetId="58">'326'!$D$28:$M$28</definedName>
    <definedName name="OSRRefD21_0_1x" localSheetId="56">'331'!$D$44:$M$44</definedName>
    <definedName name="OSRRefD21_0_1x" localSheetId="59">'332'!$D$27:$M$27</definedName>
    <definedName name="OSRRefD21_0_1x" localSheetId="54">'333'!$D$46:$M$46</definedName>
    <definedName name="OSRRefD21_0_1x" localSheetId="73">'405'!$D$27:$M$27</definedName>
    <definedName name="OSRRefD21_0_1x" localSheetId="75">'411'!$D$20:$M$20</definedName>
    <definedName name="OSRRefD21_0_1x" localSheetId="79">'415'!$D$27:$M$27</definedName>
    <definedName name="OSRRefD21_0_1x" localSheetId="80">'418'!$D$24:$M$24</definedName>
    <definedName name="OSRRefD21_0_1x" localSheetId="81">'423'!$D$20:$M$20</definedName>
    <definedName name="OSRRefD21_0_1x" localSheetId="86">'430'!$D$20:$M$20</definedName>
    <definedName name="OSRRefD21_0_1x" localSheetId="87">'433'!$D$27:$M$27</definedName>
    <definedName name="OSRRefD21_0_1x" localSheetId="88">'435'!$D$23:$M$23</definedName>
    <definedName name="OSRRefD21_0_1x" localSheetId="89">'444'!$D$27:$M$27</definedName>
    <definedName name="OSRRefD21_0_1x" localSheetId="90">'450'!$D$27:$M$27</definedName>
    <definedName name="OSRRefD21_0_1x" localSheetId="72">'491'!$D$28:$M$28</definedName>
    <definedName name="OSRRefD21_0_1x" localSheetId="85">'492'!$D$29:$M$29</definedName>
    <definedName name="OSRRefD21_0_1x" localSheetId="92">'501'!$D$21:$M$21</definedName>
    <definedName name="OSRRefD21_0_1x" localSheetId="39">'Div 2'!$D$20:$M$20</definedName>
    <definedName name="OSRRefD21_0_1x" localSheetId="47">'Div 3'!$D$60:$M$60</definedName>
    <definedName name="OSRRefD21_0_1x" localSheetId="70">'Div 4'!$D$31:$M$31</definedName>
    <definedName name="OSRRefD21_0_1x" localSheetId="91">'Div 5'!$D$21:$M$21</definedName>
    <definedName name="OSRRefD21_0_1x" localSheetId="61">'Div 6'!$D$35:$M$35</definedName>
    <definedName name="OSRRefD21_0_1x" localSheetId="2">Summary!$D$68:$M$68</definedName>
    <definedName name="OSRRefD21_0_2x" localSheetId="41">'201'!$D$21:$M$21</definedName>
    <definedName name="OSRRefD21_0_2x" localSheetId="42">'202'!$D$21:$M$21</definedName>
    <definedName name="OSRRefD21_0_2x" localSheetId="43">'203'!$D$21:$M$21</definedName>
    <definedName name="OSRRefD21_0_2x" localSheetId="44">'204'!$D$21:$M$21</definedName>
    <definedName name="OSRRefD21_0_2x" localSheetId="45">'205'!$D$21:$M$21</definedName>
    <definedName name="OSRRefD21_0_2x" localSheetId="46">'206'!$D$21:$M$21</definedName>
    <definedName name="OSRRefD21_0_2x" localSheetId="48">'300'!$D$55:$M$55</definedName>
    <definedName name="OSRRefD21_0_2x" localSheetId="49">'300 &amp; 317'!$D$61:$M$61</definedName>
    <definedName name="OSRRefD21_0_2x" localSheetId="50">'301'!$D$22:$M$22</definedName>
    <definedName name="OSRRefD21_0_2x" localSheetId="55">'307'!$D$35:$M$35</definedName>
    <definedName name="OSRRefD21_0_2x" localSheetId="51">'308'!$D$36:$M$36</definedName>
    <definedName name="OSRRefD21_0_2x" localSheetId="63">'310'!$D$30:$M$30</definedName>
    <definedName name="OSRRefD21_0_2x" localSheetId="71">'310 &amp; 491'!$D$30:$M$30</definedName>
    <definedName name="OSRRefD21_0_2x" localSheetId="52">'311'!$D$36:$M$36</definedName>
    <definedName name="OSRRefD21_0_2x" localSheetId="57">'315'!$D$45:$M$45</definedName>
    <definedName name="OSRRefD21_0_2x" localSheetId="60">'316'!$D$28:$M$28</definedName>
    <definedName name="OSRRefD21_0_2x" localSheetId="62">'317'!$D$36:$M$36</definedName>
    <definedName name="OSRRefD21_0_2x" localSheetId="66">'321'!$D$25:$M$25</definedName>
    <definedName name="OSRRefD21_0_2x" localSheetId="68">'325'!$D$26:$M$26</definedName>
    <definedName name="OSRRefD21_0_2x" localSheetId="58">'326'!$D$29:$M$29</definedName>
    <definedName name="OSRRefD21_0_2x" localSheetId="56">'331'!$D$45:$M$45</definedName>
    <definedName name="OSRRefD21_0_2x" localSheetId="59">'332'!$D$28:$M$28</definedName>
    <definedName name="OSRRefD21_0_2x" localSheetId="54">'333'!$D$47:$M$47</definedName>
    <definedName name="OSRRefD21_0_2x" localSheetId="73">'405'!$D$28:$M$28</definedName>
    <definedName name="OSRRefD21_0_2x" localSheetId="75">'411'!$D$21:$M$21</definedName>
    <definedName name="OSRRefD21_0_2x" localSheetId="79">'415'!$D$28:$M$28</definedName>
    <definedName name="OSRRefD21_0_2x" localSheetId="80">'418'!$D$25:$M$25</definedName>
    <definedName name="OSRRefD21_0_2x" localSheetId="81">'423'!$D$21:$M$21</definedName>
    <definedName name="OSRRefD21_0_2x" localSheetId="86">'430'!$D$21:$M$21</definedName>
    <definedName name="OSRRefD21_0_2x" localSheetId="87">'433'!$D$28:$M$28</definedName>
    <definedName name="OSRRefD21_0_2x" localSheetId="89">'444'!$D$28:$M$28</definedName>
    <definedName name="OSRRefD21_0_2x" localSheetId="90">'450'!$D$28:$M$28</definedName>
    <definedName name="OSRRefD21_0_2x" localSheetId="72">'491'!$D$29:$M$29</definedName>
    <definedName name="OSRRefD21_0_2x" localSheetId="85">'492'!$D$30:$M$30</definedName>
    <definedName name="OSRRefD21_0_2x" localSheetId="92">'501'!$D$22:$M$22</definedName>
    <definedName name="OSRRefD21_0_2x" localSheetId="39">'Div 2'!$D$21:$M$21</definedName>
    <definedName name="OSRRefD21_0_2x" localSheetId="47">'Div 3'!$D$61:$M$61</definedName>
    <definedName name="OSRRefD21_0_2x" localSheetId="70">'Div 4'!$D$32:$M$32</definedName>
    <definedName name="OSRRefD21_0_2x" localSheetId="91">'Div 5'!$D$22:$M$22</definedName>
    <definedName name="OSRRefD21_0_2x" localSheetId="61">'Div 6'!$D$36:$M$36</definedName>
    <definedName name="OSRRefD21_0_2x" localSheetId="2">Summary!$D$69:$M$69</definedName>
    <definedName name="OSRRefD21_0_3x" localSheetId="41">'201'!$D$22:$M$22</definedName>
    <definedName name="OSRRefD21_0_3x" localSheetId="42">'202'!$D$22:$M$22</definedName>
    <definedName name="OSRRefD21_0_3x" localSheetId="43">'203'!$D$22:$M$22</definedName>
    <definedName name="OSRRefD21_0_3x" localSheetId="44">'204'!$D$22:$M$22</definedName>
    <definedName name="OSRRefD21_0_3x" localSheetId="45">'205'!$D$22:$M$22</definedName>
    <definedName name="OSRRefD21_0_3x" localSheetId="46">'206'!$D$22:$M$22</definedName>
    <definedName name="OSRRefD21_0_3x" localSheetId="48">'300'!$D$56:$M$56</definedName>
    <definedName name="OSRRefD21_0_3x" localSheetId="49">'300 &amp; 317'!$D$62:$M$62</definedName>
    <definedName name="OSRRefD21_0_3x" localSheetId="50">'301'!$D$23:$M$23</definedName>
    <definedName name="OSRRefD21_0_3x" localSheetId="55">'307'!$D$36:$M$36</definedName>
    <definedName name="OSRRefD21_0_3x" localSheetId="51">'308'!$D$37:$M$37</definedName>
    <definedName name="OSRRefD21_0_3x" localSheetId="63">'310'!$D$31:$M$31</definedName>
    <definedName name="OSRRefD21_0_3x" localSheetId="71">'310 &amp; 491'!$D$31:$M$31</definedName>
    <definedName name="OSRRefD21_0_3x" localSheetId="52">'311'!$D$37:$M$37</definedName>
    <definedName name="OSRRefD21_0_3x" localSheetId="57">'315'!$D$46:$M$46</definedName>
    <definedName name="OSRRefD21_0_3x" localSheetId="60">'316'!$D$29:$M$29</definedName>
    <definedName name="OSRRefD21_0_3x" localSheetId="62">'317'!$D$37:$M$37</definedName>
    <definedName name="OSRRefD21_0_3x" localSheetId="66">'321'!$D$26:$M$26</definedName>
    <definedName name="OSRRefD21_0_3x" localSheetId="68">'325'!$D$27:$M$27</definedName>
    <definedName name="OSRRefD21_0_3x" localSheetId="58">'326'!$D$30:$M$30</definedName>
    <definedName name="OSRRefD21_0_3x" localSheetId="56">'331'!$D$46:$M$46</definedName>
    <definedName name="OSRRefD21_0_3x" localSheetId="59">'332'!$D$29:$M$29</definedName>
    <definedName name="OSRRefD21_0_3x" localSheetId="54">'333'!$D$48:$M$48</definedName>
    <definedName name="OSRRefD21_0_3x" localSheetId="73">'405'!$D$29:$M$29</definedName>
    <definedName name="OSRRefD21_0_3x" localSheetId="75">'411'!$D$22:$M$22</definedName>
    <definedName name="OSRRefD21_0_3x" localSheetId="79">'415'!$D$29:$M$29</definedName>
    <definedName name="OSRRefD21_0_3x" localSheetId="80">'418'!$D$26:$M$26</definedName>
    <definedName name="OSRRefD21_0_3x" localSheetId="81">'423'!$D$22:$M$22</definedName>
    <definedName name="OSRRefD21_0_3x" localSheetId="86">'430'!$D$22:$M$22</definedName>
    <definedName name="OSRRefD21_0_3x" localSheetId="87">'433'!$D$29:$M$29</definedName>
    <definedName name="OSRRefD21_0_3x" localSheetId="89">'444'!$D$29:$M$29</definedName>
    <definedName name="OSRRefD21_0_3x" localSheetId="90">'450'!$D$29:$M$29</definedName>
    <definedName name="OSRRefD21_0_3x" localSheetId="72">'491'!$D$30:$M$30</definedName>
    <definedName name="OSRRefD21_0_3x" localSheetId="85">'492'!$D$31:$M$31</definedName>
    <definedName name="OSRRefD21_0_3x" localSheetId="92">'501'!$D$23:$M$23</definedName>
    <definedName name="OSRRefD21_0_3x" localSheetId="39">'Div 2'!$D$22:$M$22</definedName>
    <definedName name="OSRRefD21_0_3x" localSheetId="47">'Div 3'!$D$62:$M$62</definedName>
    <definedName name="OSRRefD21_0_3x" localSheetId="70">'Div 4'!$D$33:$M$33</definedName>
    <definedName name="OSRRefD21_0_3x" localSheetId="91">'Div 5'!$D$23:$M$23</definedName>
    <definedName name="OSRRefD21_0_3x" localSheetId="61">'Div 6'!$D$37:$M$37</definedName>
    <definedName name="OSRRefD21_0_3x" localSheetId="2">Summary!$D$70:$M$70</definedName>
    <definedName name="OSRRefD21_0_4x" localSheetId="41">'201'!$D$23:$M$23</definedName>
    <definedName name="OSRRefD21_0_4x" localSheetId="42">'202'!$D$23:$M$23</definedName>
    <definedName name="OSRRefD21_0_4x" localSheetId="43">'203'!$D$23:$M$23</definedName>
    <definedName name="OSRRefD21_0_4x" localSheetId="44">'204'!$D$23:$M$23</definedName>
    <definedName name="OSRRefD21_0_4x" localSheetId="45">'205'!$D$23:$M$23</definedName>
    <definedName name="OSRRefD21_0_4x" localSheetId="46">'206'!$D$23:$M$23</definedName>
    <definedName name="OSRRefD21_0_4x" localSheetId="48">'300'!$D$57:$M$57</definedName>
    <definedName name="OSRRefD21_0_4x" localSheetId="49">'300 &amp; 317'!$D$63:$M$63</definedName>
    <definedName name="OSRRefD21_0_4x" localSheetId="50">'301'!$D$24:$M$24</definedName>
    <definedName name="OSRRefD21_0_4x" localSheetId="55">'307'!$D$37:$M$37</definedName>
    <definedName name="OSRRefD21_0_4x" localSheetId="51">'308'!$D$38:$M$38</definedName>
    <definedName name="OSRRefD21_0_4x" localSheetId="63">'310'!$D$32:$M$32</definedName>
    <definedName name="OSRRefD21_0_4x" localSheetId="71">'310 &amp; 491'!$D$32:$M$32</definedName>
    <definedName name="OSRRefD21_0_4x" localSheetId="52">'311'!$D$38:$M$38</definedName>
    <definedName name="OSRRefD21_0_4x" localSheetId="57">'315'!$D$47:$M$47</definedName>
    <definedName name="OSRRefD21_0_4x" localSheetId="60">'316'!$D$30:$M$30</definedName>
    <definedName name="OSRRefD21_0_4x" localSheetId="62">'317'!$D$38:$M$38</definedName>
    <definedName name="OSRRefD21_0_4x" localSheetId="66">'321'!$D$27:$M$27</definedName>
    <definedName name="OSRRefD21_0_4x" localSheetId="68">'325'!$D$28:$M$28</definedName>
    <definedName name="OSRRefD21_0_4x" localSheetId="58">'326'!$D$31:$M$31</definedName>
    <definedName name="OSRRefD21_0_4x" localSheetId="56">'331'!$D$47:$M$47</definedName>
    <definedName name="OSRRefD21_0_4x" localSheetId="59">'332'!$D$30:$M$30</definedName>
    <definedName name="OSRRefD21_0_4x" localSheetId="54">'333'!$D$49:$M$49</definedName>
    <definedName name="OSRRefD21_0_4x" localSheetId="73">'405'!$D$30:$M$30</definedName>
    <definedName name="OSRRefD21_0_4x" localSheetId="75">'411'!$D$23:$M$23</definedName>
    <definedName name="OSRRefD21_0_4x" localSheetId="79">'415'!$D$30:$M$30</definedName>
    <definedName name="OSRRefD21_0_4x" localSheetId="80">'418'!$D$27:$M$27</definedName>
    <definedName name="OSRRefD21_0_4x" localSheetId="81">'423'!$D$23:$M$23</definedName>
    <definedName name="OSRRefD21_0_4x" localSheetId="86">'430'!$D$23:$M$23</definedName>
    <definedName name="OSRRefD21_0_4x" localSheetId="87">'433'!$D$30:$M$30</definedName>
    <definedName name="OSRRefD21_0_4x" localSheetId="89">'444'!$D$30:$M$30</definedName>
    <definedName name="OSRRefD21_0_4x" localSheetId="90">'450'!$D$30:$M$30</definedName>
    <definedName name="OSRRefD21_0_4x" localSheetId="72">'491'!$D$31:$M$31</definedName>
    <definedName name="OSRRefD21_0_4x" localSheetId="85">'492'!$D$32:$M$32</definedName>
    <definedName name="OSRRefD21_0_4x" localSheetId="92">'501'!$D$24:$M$24</definedName>
    <definedName name="OSRRefD21_0_4x" localSheetId="39">'Div 2'!$D$23:$M$23</definedName>
    <definedName name="OSRRefD21_0_4x" localSheetId="47">'Div 3'!$D$63:$M$63</definedName>
    <definedName name="OSRRefD21_0_4x" localSheetId="70">'Div 4'!$D$34:$M$34</definedName>
    <definedName name="OSRRefD21_0_4x" localSheetId="91">'Div 5'!$D$24:$M$24</definedName>
    <definedName name="OSRRefD21_0_4x" localSheetId="61">'Div 6'!$D$38:$M$38</definedName>
    <definedName name="OSRRefD21_0_4x" localSheetId="2">Summary!$D$71:$M$71</definedName>
    <definedName name="OSRRefD21_0_5x" localSheetId="41">'201'!$D$24:$M$24</definedName>
    <definedName name="OSRRefD21_0_5x" localSheetId="42">'202'!$D$24:$M$24</definedName>
    <definedName name="OSRRefD21_0_5x" localSheetId="43">'203'!$D$24:$M$24</definedName>
    <definedName name="OSRRefD21_0_5x" localSheetId="44">'204'!$D$24:$M$24</definedName>
    <definedName name="OSRRefD21_0_5x" localSheetId="45">'205'!$D$24:$M$24</definedName>
    <definedName name="OSRRefD21_0_5x" localSheetId="46">'206'!$D$24:$M$24</definedName>
    <definedName name="OSRRefD21_0_5x" localSheetId="48">'300'!$D$58:$M$58</definedName>
    <definedName name="OSRRefD21_0_5x" localSheetId="49">'300 &amp; 317'!$D$64:$M$64</definedName>
    <definedName name="OSRRefD21_0_5x" localSheetId="50">'301'!$D$25:$M$25</definedName>
    <definedName name="OSRRefD21_0_5x" localSheetId="55">'307'!$D$38:$M$38</definedName>
    <definedName name="OSRRefD21_0_5x" localSheetId="51">'308'!$D$39:$M$39</definedName>
    <definedName name="OSRRefD21_0_5x" localSheetId="63">'310'!$D$33:$M$33</definedName>
    <definedName name="OSRRefD21_0_5x" localSheetId="71">'310 &amp; 491'!$D$33:$M$33</definedName>
    <definedName name="OSRRefD21_0_5x" localSheetId="52">'311'!$D$39:$M$39</definedName>
    <definedName name="OSRRefD21_0_5x" localSheetId="57">'315'!$D$48:$M$48</definedName>
    <definedName name="OSRRefD21_0_5x" localSheetId="60">'316'!$D$31:$M$31</definedName>
    <definedName name="OSRRefD21_0_5x" localSheetId="62">'317'!$D$39:$M$39</definedName>
    <definedName name="OSRRefD21_0_5x" localSheetId="66">'321'!$D$28:$M$28</definedName>
    <definedName name="OSRRefD21_0_5x" localSheetId="68">'325'!$D$29:$M$29</definedName>
    <definedName name="OSRRefD21_0_5x" localSheetId="58">'326'!$D$32:$M$32</definedName>
    <definedName name="OSRRefD21_0_5x" localSheetId="56">'331'!$D$48:$M$48</definedName>
    <definedName name="OSRRefD21_0_5x" localSheetId="59">'332'!$D$31:$M$31</definedName>
    <definedName name="OSRRefD21_0_5x" localSheetId="54">'333'!$D$50:$M$50</definedName>
    <definedName name="OSRRefD21_0_5x" localSheetId="73">'405'!$D$31:$M$31</definedName>
    <definedName name="OSRRefD21_0_5x" localSheetId="75">'411'!$D$24:$M$24</definedName>
    <definedName name="OSRRefD21_0_5x" localSheetId="79">'415'!$D$31:$M$31</definedName>
    <definedName name="OSRRefD21_0_5x" localSheetId="80">'418'!$D$28:$M$28</definedName>
    <definedName name="OSRRefD21_0_5x" localSheetId="81">'423'!$D$24:$M$24</definedName>
    <definedName name="OSRRefD21_0_5x" localSheetId="86">'430'!$D$24:$M$24</definedName>
    <definedName name="OSRRefD21_0_5x" localSheetId="87">'433'!$D$31:$M$31</definedName>
    <definedName name="OSRRefD21_0_5x" localSheetId="89">'444'!$D$31:$M$31</definedName>
    <definedName name="OSRRefD21_0_5x" localSheetId="90">'450'!$D$31:$M$31</definedName>
    <definedName name="OSRRefD21_0_5x" localSheetId="72">'491'!$D$32:$M$32</definedName>
    <definedName name="OSRRefD21_0_5x" localSheetId="85">'492'!$D$33:$M$33</definedName>
    <definedName name="OSRRefD21_0_5x" localSheetId="92">'501'!$D$25:$M$25</definedName>
    <definedName name="OSRRefD21_0_5x" localSheetId="39">'Div 2'!$D$24:$M$24</definedName>
    <definedName name="OSRRefD21_0_5x" localSheetId="47">'Div 3'!$D$64:$M$64</definedName>
    <definedName name="OSRRefD21_0_5x" localSheetId="70">'Div 4'!$D$35:$M$35</definedName>
    <definedName name="OSRRefD21_0_5x" localSheetId="91">'Div 5'!$D$25:$M$25</definedName>
    <definedName name="OSRRefD21_0_5x" localSheetId="61">'Div 6'!$D$39:$M$39</definedName>
    <definedName name="OSRRefD21_0_5x" localSheetId="2">Summary!$D$72:$M$72</definedName>
    <definedName name="OSRRefD21_0_6x" localSheetId="41">'201'!$D$25:$M$25</definedName>
    <definedName name="OSRRefD21_0_6x" localSheetId="42">'202'!$D$25:$M$25</definedName>
    <definedName name="OSRRefD21_0_6x" localSheetId="43">'203'!$D$25:$M$25</definedName>
    <definedName name="OSRRefD21_0_6x" localSheetId="44">'204'!$D$25:$M$25</definedName>
    <definedName name="OSRRefD21_0_6x" localSheetId="45">'205'!$D$25:$M$25</definedName>
    <definedName name="OSRRefD21_0_6x" localSheetId="46">'206'!$D$25:$M$25</definedName>
    <definedName name="OSRRefD21_0_6x" localSheetId="48">'300'!$D$59:$M$59</definedName>
    <definedName name="OSRRefD21_0_6x" localSheetId="49">'300 &amp; 317'!$D$65:$M$65</definedName>
    <definedName name="OSRRefD21_0_6x" localSheetId="50">'301'!$D$26:$M$26</definedName>
    <definedName name="OSRRefD21_0_6x" localSheetId="55">'307'!$D$39:$M$39</definedName>
    <definedName name="OSRRefD21_0_6x" localSheetId="51">'308'!$D$40:$M$40</definedName>
    <definedName name="OSRRefD21_0_6x" localSheetId="63">'310'!$D$34:$M$34</definedName>
    <definedName name="OSRRefD21_0_6x" localSheetId="71">'310 &amp; 491'!$D$34:$M$34</definedName>
    <definedName name="OSRRefD21_0_6x" localSheetId="52">'311'!$D$40:$M$40</definedName>
    <definedName name="OSRRefD21_0_6x" localSheetId="57">'315'!$D$49:$M$49</definedName>
    <definedName name="OSRRefD21_0_6x" localSheetId="60">'316'!$D$32:$M$32</definedName>
    <definedName name="OSRRefD21_0_6x" localSheetId="62">'317'!$D$40:$M$40</definedName>
    <definedName name="OSRRefD21_0_6x" localSheetId="66">'321'!$D$29:$M$29</definedName>
    <definedName name="OSRRefD21_0_6x" localSheetId="68">'325'!$D$30:$M$30</definedName>
    <definedName name="OSRRefD21_0_6x" localSheetId="58">'326'!$D$33:$M$33</definedName>
    <definedName name="OSRRefD21_0_6x" localSheetId="56">'331'!$D$49:$M$49</definedName>
    <definedName name="OSRRefD21_0_6x" localSheetId="59">'332'!$D$32:$M$32</definedName>
    <definedName name="OSRRefD21_0_6x" localSheetId="54">'333'!$D$51:$M$51</definedName>
    <definedName name="OSRRefD21_0_6x" localSheetId="73">'405'!$D$32:$M$32</definedName>
    <definedName name="OSRRefD21_0_6x" localSheetId="75">'411'!$D$25:$M$25</definedName>
    <definedName name="OSRRefD21_0_6x" localSheetId="79">'415'!$D$32:$M$32</definedName>
    <definedName name="OSRRefD21_0_6x" localSheetId="80">'418'!$D$29:$M$29</definedName>
    <definedName name="OSRRefD21_0_6x" localSheetId="81">'423'!$D$25:$M$25</definedName>
    <definedName name="OSRRefD21_0_6x" localSheetId="86">'430'!$D$25:$M$25</definedName>
    <definedName name="OSRRefD21_0_6x" localSheetId="87">'433'!$D$32:$M$32</definedName>
    <definedName name="OSRRefD21_0_6x" localSheetId="89">'444'!$D$32:$M$32</definedName>
    <definedName name="OSRRefD21_0_6x" localSheetId="90">'450'!$D$32:$M$32</definedName>
    <definedName name="OSRRefD21_0_6x" localSheetId="72">'491'!$D$33:$M$33</definedName>
    <definedName name="OSRRefD21_0_6x" localSheetId="85">'492'!$D$34:$M$34</definedName>
    <definedName name="OSRRefD21_0_6x" localSheetId="92">'501'!$D$26:$M$26</definedName>
    <definedName name="OSRRefD21_0_6x" localSheetId="39">'Div 2'!$D$25:$M$25</definedName>
    <definedName name="OSRRefD21_0_6x" localSheetId="47">'Div 3'!$D$65:$M$65</definedName>
    <definedName name="OSRRefD21_0_6x" localSheetId="70">'Div 4'!$D$36:$M$36</definedName>
    <definedName name="OSRRefD21_0_6x" localSheetId="91">'Div 5'!$D$26:$M$26</definedName>
    <definedName name="OSRRefD21_0_6x" localSheetId="61">'Div 6'!$D$40:$M$40</definedName>
    <definedName name="OSRRefD21_0_6x" localSheetId="2">Summary!$D$73:$M$73</definedName>
    <definedName name="OSRRefD21_0_7x" localSheetId="41">'201'!$D$26:$M$26</definedName>
    <definedName name="OSRRefD21_0_7x" localSheetId="42">'202'!$D$26:$M$26</definedName>
    <definedName name="OSRRefD21_0_7x" localSheetId="43">'203'!$D$26:$M$26</definedName>
    <definedName name="OSRRefD21_0_7x" localSheetId="44">'204'!$D$26:$M$26</definedName>
    <definedName name="OSRRefD21_0_7x" localSheetId="45">'205'!$D$26:$M$26</definedName>
    <definedName name="OSRRefD21_0_7x" localSheetId="46">'206'!$D$26:$M$26</definedName>
    <definedName name="OSRRefD21_0_7x" localSheetId="48">'300'!$D$60:$M$60</definedName>
    <definedName name="OSRRefD21_0_7x" localSheetId="49">'300 &amp; 317'!$D$66:$M$66</definedName>
    <definedName name="OSRRefD21_0_7x" localSheetId="50">'301'!$D$27:$M$27</definedName>
    <definedName name="OSRRefD21_0_7x" localSheetId="55">'307'!$D$40:$M$40</definedName>
    <definedName name="OSRRefD21_0_7x" localSheetId="51">'308'!$D$41:$M$41</definedName>
    <definedName name="OSRRefD21_0_7x" localSheetId="63">'310'!$D$35:$M$35</definedName>
    <definedName name="OSRRefD21_0_7x" localSheetId="71">'310 &amp; 491'!$D$35:$M$35</definedName>
    <definedName name="OSRRefD21_0_7x" localSheetId="52">'311'!$D$41:$M$41</definedName>
    <definedName name="OSRRefD21_0_7x" localSheetId="57">'315'!$D$50:$M$50</definedName>
    <definedName name="OSRRefD21_0_7x" localSheetId="60">'316'!$D$33:$M$33</definedName>
    <definedName name="OSRRefD21_0_7x" localSheetId="62">'317'!$D$41:$M$41</definedName>
    <definedName name="OSRRefD21_0_7x" localSheetId="66">'321'!$D$30:$M$30</definedName>
    <definedName name="OSRRefD21_0_7x" localSheetId="68">'325'!$D$31:$M$31</definedName>
    <definedName name="OSRRefD21_0_7x" localSheetId="58">'326'!$D$34:$M$34</definedName>
    <definedName name="OSRRefD21_0_7x" localSheetId="56">'331'!$D$50:$M$50</definedName>
    <definedName name="OSRRefD21_0_7x" localSheetId="59">'332'!$D$33:$M$33</definedName>
    <definedName name="OSRRefD21_0_7x" localSheetId="54">'333'!$D$52:$M$52</definedName>
    <definedName name="OSRRefD21_0_7x" localSheetId="73">'405'!$D$33:$M$33</definedName>
    <definedName name="OSRRefD21_0_7x" localSheetId="75">'411'!$D$26:$M$26</definedName>
    <definedName name="OSRRefD21_0_7x" localSheetId="79">'415'!$D$33:$M$33</definedName>
    <definedName name="OSRRefD21_0_7x" localSheetId="80">'418'!$D$30:$M$30</definedName>
    <definedName name="OSRRefD21_0_7x" localSheetId="81">'423'!$D$26:$M$26</definedName>
    <definedName name="OSRRefD21_0_7x" localSheetId="86">'430'!$D$26:$M$26</definedName>
    <definedName name="OSRRefD21_0_7x" localSheetId="87">'433'!$D$33:$M$33</definedName>
    <definedName name="OSRRefD21_0_7x" localSheetId="89">'444'!$D$33:$M$33</definedName>
    <definedName name="OSRRefD21_0_7x" localSheetId="90">'450'!$D$33:$M$33</definedName>
    <definedName name="OSRRefD21_0_7x" localSheetId="72">'491'!$D$34:$M$34</definedName>
    <definedName name="OSRRefD21_0_7x" localSheetId="85">'492'!$D$35:$M$35</definedName>
    <definedName name="OSRRefD21_0_7x" localSheetId="92">'501'!$D$27:$M$27</definedName>
    <definedName name="OSRRefD21_0_7x" localSheetId="39">'Div 2'!$D$26:$M$26</definedName>
    <definedName name="OSRRefD21_0_7x" localSheetId="47">'Div 3'!$D$66:$M$66</definedName>
    <definedName name="OSRRefD21_0_7x" localSheetId="70">'Div 4'!$D$37:$M$37</definedName>
    <definedName name="OSRRefD21_0_7x" localSheetId="91">'Div 5'!$D$27:$M$27</definedName>
    <definedName name="OSRRefD21_0_7x" localSheetId="61">'Div 6'!$D$41:$M$41</definedName>
    <definedName name="OSRRefD21_0_7x" localSheetId="2">Summary!$D$74:$M$74</definedName>
    <definedName name="OSRRefD21_0_8x" localSheetId="41">'201'!$D$27:$M$27</definedName>
    <definedName name="OSRRefD21_0_8x" localSheetId="42">'202'!$D$27:$M$27</definedName>
    <definedName name="OSRRefD21_0_8x" localSheetId="43">'203'!$D$27:$M$27</definedName>
    <definedName name="OSRRefD21_0_8x" localSheetId="44">'204'!$D$27:$M$27</definedName>
    <definedName name="OSRRefD21_0_8x" localSheetId="45">'205'!$D$27:$M$27</definedName>
    <definedName name="OSRRefD21_0_8x" localSheetId="46">'206'!$D$27:$M$27</definedName>
    <definedName name="OSRRefD21_0_8x" localSheetId="48">'300'!$D$61:$M$61</definedName>
    <definedName name="OSRRefD21_0_8x" localSheetId="49">'300 &amp; 317'!$D$67:$M$67</definedName>
    <definedName name="OSRRefD21_0_8x" localSheetId="50">'301'!$D$28:$M$28</definedName>
    <definedName name="OSRRefD21_0_8x" localSheetId="55">'307'!$D$41:$M$41</definedName>
    <definedName name="OSRRefD21_0_8x" localSheetId="51">'308'!$D$42:$M$42</definedName>
    <definedName name="OSRRefD21_0_8x" localSheetId="63">'310'!$D$36:$M$36</definedName>
    <definedName name="OSRRefD21_0_8x" localSheetId="71">'310 &amp; 491'!$D$36:$M$36</definedName>
    <definedName name="OSRRefD21_0_8x" localSheetId="52">'311'!$D$42:$M$42</definedName>
    <definedName name="OSRRefD21_0_8x" localSheetId="57">'315'!$D$51:$M$51</definedName>
    <definedName name="OSRRefD21_0_8x" localSheetId="60">'316'!$D$34:$M$34</definedName>
    <definedName name="OSRRefD21_0_8x" localSheetId="62">'317'!$D$42:$M$42</definedName>
    <definedName name="OSRRefD21_0_8x" localSheetId="66">'321'!$D$31:$M$31</definedName>
    <definedName name="OSRRefD21_0_8x" localSheetId="68">'325'!$D$32:$M$32</definedName>
    <definedName name="OSRRefD21_0_8x" localSheetId="58">'326'!$D$35:$M$35</definedName>
    <definedName name="OSRRefD21_0_8x" localSheetId="56">'331'!$D$51:$M$51</definedName>
    <definedName name="OSRRefD21_0_8x" localSheetId="59">'332'!$D$34:$M$34</definedName>
    <definedName name="OSRRefD21_0_8x" localSheetId="54">'333'!$D$53:$M$53</definedName>
    <definedName name="OSRRefD21_0_8x" localSheetId="73">'405'!$D$34:$M$34</definedName>
    <definedName name="OSRRefD21_0_8x" localSheetId="75">'411'!$D$27:$M$27</definedName>
    <definedName name="OSRRefD21_0_8x" localSheetId="79">'415'!$D$34:$M$34</definedName>
    <definedName name="OSRRefD21_0_8x" localSheetId="80">'418'!$D$31:$M$31</definedName>
    <definedName name="OSRRefD21_0_8x" localSheetId="86">'430'!$D$27:$M$27</definedName>
    <definedName name="OSRRefD21_0_8x" localSheetId="87">'433'!$D$34:$M$34</definedName>
    <definedName name="OSRRefD21_0_8x" localSheetId="89">'444'!$D$34:$M$34</definedName>
    <definedName name="OSRRefD21_0_8x" localSheetId="90">'450'!$D$34:$M$34</definedName>
    <definedName name="OSRRefD21_0_8x" localSheetId="72">'491'!$D$35:$M$35</definedName>
    <definedName name="OSRRefD21_0_8x" localSheetId="85">'492'!$D$36:$M$36</definedName>
    <definedName name="OSRRefD21_0_8x" localSheetId="92">'501'!$D$28:$M$28</definedName>
    <definedName name="OSRRefD21_0_8x" localSheetId="39">'Div 2'!$D$27:$M$27</definedName>
    <definedName name="OSRRefD21_0_8x" localSheetId="47">'Div 3'!$D$67:$M$67</definedName>
    <definedName name="OSRRefD21_0_8x" localSheetId="70">'Div 4'!$D$38:$M$38</definedName>
    <definedName name="OSRRefD21_0_8x" localSheetId="91">'Div 5'!$D$28:$M$28</definedName>
    <definedName name="OSRRefD21_0_8x" localSheetId="61">'Div 6'!$D$42:$M$42</definedName>
    <definedName name="OSRRefD21_0_8x" localSheetId="2">Summary!$D$75:$M$75</definedName>
    <definedName name="OSRRefD21_0_9x" localSheetId="43">'203'!$D$28:$M$28</definedName>
    <definedName name="OSRRefD21_0_9x" localSheetId="48">'300'!$D$62:$M$62</definedName>
    <definedName name="OSRRefD21_0_9x" localSheetId="49">'300 &amp; 317'!$D$68:$M$68</definedName>
    <definedName name="OSRRefD21_0_9x" localSheetId="50">'301'!$D$29:$M$29</definedName>
    <definedName name="OSRRefD21_0_9x" localSheetId="51">'308'!$D$43:$M$43</definedName>
    <definedName name="OSRRefD21_0_9x" localSheetId="63">'310'!$D$37:$M$37</definedName>
    <definedName name="OSRRefD21_0_9x" localSheetId="71">'310 &amp; 491'!$D$37:$M$37</definedName>
    <definedName name="OSRRefD21_0_9x" localSheetId="52">'311'!$D$43:$M$43</definedName>
    <definedName name="OSRRefD21_0_9x" localSheetId="62">'317'!$D$43:$M$43</definedName>
    <definedName name="OSRRefD21_0_9x" localSheetId="66">'321'!$D$32:$M$32</definedName>
    <definedName name="OSRRefD21_0_9x" localSheetId="79">'415'!$D$35:$M$35</definedName>
    <definedName name="OSRRefD21_0_9x" localSheetId="87">'433'!$D$35:$M$35</definedName>
    <definedName name="OSRRefD21_0_9x" localSheetId="89">'444'!$D$35:$M$35</definedName>
    <definedName name="OSRRefD21_0_9x" localSheetId="90">'450'!$D$35:$M$35</definedName>
    <definedName name="OSRRefD21_0_9x" localSheetId="72">'491'!$D$36:$M$36</definedName>
    <definedName name="OSRRefD21_0_9x" localSheetId="85">'492'!$D$37:$M$37</definedName>
    <definedName name="OSRRefD21_0_9x" localSheetId="92">'501'!$D$29:$M$29</definedName>
    <definedName name="OSRRefD21_0_9x" localSheetId="39">'Div 2'!$D$28:$M$28</definedName>
    <definedName name="OSRRefD21_0_9x" localSheetId="47">'Div 3'!$D$68:$M$68</definedName>
    <definedName name="OSRRefD21_0_9x" localSheetId="70">'Div 4'!$D$39:$M$39</definedName>
    <definedName name="OSRRefD21_0_9x" localSheetId="91">'Div 5'!$D$29:$M$29</definedName>
    <definedName name="OSRRefD21_0_9x" localSheetId="61">'Div 6'!$D$43:$M$43</definedName>
    <definedName name="OSRRefD21_0_9x" localSheetId="2">Summary!$D$76:$M$76</definedName>
    <definedName name="OSRRefD21_0x_0" localSheetId="40">'200'!$D$19</definedName>
    <definedName name="OSRRefD21_0x_0" localSheetId="41">'201'!$D$19:$D$27</definedName>
    <definedName name="OSRRefD21_0x_0" localSheetId="42">'202'!$D$19:$D$27</definedName>
    <definedName name="OSRRefD21_0x_0" localSheetId="43">'203'!$D$19:$D$28</definedName>
    <definedName name="OSRRefD21_0x_0" localSheetId="44">'204'!$D$19:$D$27</definedName>
    <definedName name="OSRRefD21_0x_0" localSheetId="45">'205'!$D$19:$D$27</definedName>
    <definedName name="OSRRefD21_0x_0" localSheetId="46">'206'!$D$19:$D$27</definedName>
    <definedName name="OSRRefD21_0x_0" localSheetId="48">'300'!$D$53:$D$62</definedName>
    <definedName name="OSRRefD21_0x_0" localSheetId="49">'300 &amp; 317'!$D$59:$D$68</definedName>
    <definedName name="OSRRefD21_0x_0" localSheetId="50">'301'!$D$20:$D$29</definedName>
    <definedName name="OSRRefD21_0x_0" localSheetId="55">'307'!$D$33:$D$41</definedName>
    <definedName name="OSRRefD21_0x_0" localSheetId="51">'308'!$D$34:$D$43</definedName>
    <definedName name="OSRRefD21_0x_0" localSheetId="64">'309'!$D$25:$D$26</definedName>
    <definedName name="OSRRefD21_0x_0" localSheetId="63">'310'!$D$28:$D$37</definedName>
    <definedName name="OSRRefD21_0x_0" localSheetId="71">'310 &amp; 491'!$D$28:$D$37</definedName>
    <definedName name="OSRRefD21_0x_0" localSheetId="52">'311'!$D$34:$D$43</definedName>
    <definedName name="OSRRefD21_0x_0" localSheetId="65">'313'!$D$19</definedName>
    <definedName name="OSRRefD21_0x_0" localSheetId="57">'315'!$D$43:$D$51</definedName>
    <definedName name="OSRRefD21_0x_0" localSheetId="60">'316'!$D$26:$D$34</definedName>
    <definedName name="OSRRefD21_0x_0" localSheetId="62">'317'!$D$34:$D$43</definedName>
    <definedName name="OSRRefD21_0x_0" localSheetId="66">'321'!$D$23:$D$32</definedName>
    <definedName name="OSRRefD21_0x_0" localSheetId="67">'322'!$D$19</definedName>
    <definedName name="OSRRefD21_0x_0" localSheetId="68">'325'!$D$24:$D$32</definedName>
    <definedName name="OSRRefD21_0x_0" localSheetId="58">'326'!$D$27:$D$35</definedName>
    <definedName name="OSRRefD21_0x_0" localSheetId="69">'327'!$D$25</definedName>
    <definedName name="OSRRefD21_0x_0" localSheetId="56">'331'!$D$43:$D$51</definedName>
    <definedName name="OSRRefD21_0x_0" localSheetId="59">'332'!$D$26:$D$34</definedName>
    <definedName name="OSRRefD21_0x_0" localSheetId="54">'333'!$D$45:$D$53</definedName>
    <definedName name="OSRRefD21_0x_0" localSheetId="73">'405'!$D$26:$D$34</definedName>
    <definedName name="OSRRefD21_0x_0" localSheetId="74">'406'!$D$19</definedName>
    <definedName name="OSRRefD21_0x_0" localSheetId="75">'411'!$D$19:$D$27</definedName>
    <definedName name="OSRRefD21_0x_0" localSheetId="76">'412'!$D$19</definedName>
    <definedName name="OSRRefD21_0x_0" localSheetId="77">'413'!$D$19</definedName>
    <definedName name="OSRRefD21_0x_0" localSheetId="78">'414'!$D$19</definedName>
    <definedName name="OSRRefD21_0x_0" localSheetId="79">'415'!$D$26:$D$35</definedName>
    <definedName name="OSRRefD21_0x_0" localSheetId="80">'418'!$D$23:$D$31</definedName>
    <definedName name="OSRRefD21_0x_0" localSheetId="81">'423'!$D$19:$D$26</definedName>
    <definedName name="OSRRefD21_0x_0" localSheetId="82">'424'!$D$19</definedName>
    <definedName name="OSRRefD21_0x_0" localSheetId="83">'425'!$D$21</definedName>
    <definedName name="OSRRefD21_0x_0" localSheetId="86">'430'!$D$19:$D$27</definedName>
    <definedName name="OSRRefD21_0x_0" localSheetId="87">'433'!$D$26:$D$35</definedName>
    <definedName name="OSRRefD21_0x_0" localSheetId="88">'435'!$D$22:$D$23</definedName>
    <definedName name="OSRRefD21_0x_0" localSheetId="89">'444'!$D$26:$D$35</definedName>
    <definedName name="OSRRefD21_0x_0" localSheetId="90">'450'!$D$26:$D$35</definedName>
    <definedName name="OSRRefD21_0x_0" localSheetId="72">'491'!$D$27:$D$36</definedName>
    <definedName name="OSRRefD21_0x_0" localSheetId="85">'492'!$D$28:$D$37</definedName>
    <definedName name="OSRRefD21_0x_0" localSheetId="92">'501'!$D$20:$D$29</definedName>
    <definedName name="OSRRefD21_0x_0" localSheetId="39">'Div 2'!$D$19:$D$29</definedName>
    <definedName name="OSRRefD21_0x_0" localSheetId="47">'Div 3'!$D$59:$D$68</definedName>
    <definedName name="OSRRefD21_0x_0" localSheetId="70">'Div 4'!$D$30:$D$39</definedName>
    <definedName name="OSRRefD21_0x_0" localSheetId="91">'Div 5'!$D$20:$D$29</definedName>
    <definedName name="OSRRefD21_0x_0" localSheetId="61">'Div 6'!$D$34:$D$43</definedName>
    <definedName name="OSRRefD21_0x_0" localSheetId="2">Summary!$D$67:$D$76</definedName>
    <definedName name="OSRRefD21_0x_1" localSheetId="40">'200'!$E$19</definedName>
    <definedName name="OSRRefD21_0x_1" localSheetId="41">'201'!$E$19:$E$27</definedName>
    <definedName name="OSRRefD21_0x_1" localSheetId="42">'202'!$E$19:$E$27</definedName>
    <definedName name="OSRRefD21_0x_1" localSheetId="43">'203'!$E$19:$E$28</definedName>
    <definedName name="OSRRefD21_0x_1" localSheetId="44">'204'!$E$19:$E$27</definedName>
    <definedName name="OSRRefD21_0x_1" localSheetId="45">'205'!$E$19:$E$27</definedName>
    <definedName name="OSRRefD21_0x_1" localSheetId="46">'206'!$E$19:$E$27</definedName>
    <definedName name="OSRRefD21_0x_1" localSheetId="48">'300'!$E$53:$E$62</definedName>
    <definedName name="OSRRefD21_0x_1" localSheetId="49">'300 &amp; 317'!$E$59:$E$68</definedName>
    <definedName name="OSRRefD21_0x_1" localSheetId="50">'301'!$E$20:$E$29</definedName>
    <definedName name="OSRRefD21_0x_1" localSheetId="55">'307'!$E$33:$E$41</definedName>
    <definedName name="OSRRefD21_0x_1" localSheetId="51">'308'!$E$34:$E$43</definedName>
    <definedName name="OSRRefD21_0x_1" localSheetId="64">'309'!$E$25:$E$26</definedName>
    <definedName name="OSRRefD21_0x_1" localSheetId="63">'310'!$E$28:$E$37</definedName>
    <definedName name="OSRRefD21_0x_1" localSheetId="71">'310 &amp; 491'!$E$28:$E$37</definedName>
    <definedName name="OSRRefD21_0x_1" localSheetId="52">'311'!$E$34:$E$43</definedName>
    <definedName name="OSRRefD21_0x_1" localSheetId="65">'313'!$E$19</definedName>
    <definedName name="OSRRefD21_0x_1" localSheetId="57">'315'!$E$43:$E$51</definedName>
    <definedName name="OSRRefD21_0x_1" localSheetId="60">'316'!$E$26:$E$34</definedName>
    <definedName name="OSRRefD21_0x_1" localSheetId="62">'317'!$E$34:$E$43</definedName>
    <definedName name="OSRRefD21_0x_1" localSheetId="66">'321'!$E$23:$E$32</definedName>
    <definedName name="OSRRefD21_0x_1" localSheetId="67">'322'!$E$19</definedName>
    <definedName name="OSRRefD21_0x_1" localSheetId="68">'325'!$E$24:$E$32</definedName>
    <definedName name="OSRRefD21_0x_1" localSheetId="58">'326'!$E$27:$E$35</definedName>
    <definedName name="OSRRefD21_0x_1" localSheetId="69">'327'!$E$25</definedName>
    <definedName name="OSRRefD21_0x_1" localSheetId="56">'331'!$E$43:$E$51</definedName>
    <definedName name="OSRRefD21_0x_1" localSheetId="59">'332'!$E$26:$E$34</definedName>
    <definedName name="OSRRefD21_0x_1" localSheetId="54">'333'!$E$45:$E$53</definedName>
    <definedName name="OSRRefD21_0x_1" localSheetId="73">'405'!$E$26:$E$34</definedName>
    <definedName name="OSRRefD21_0x_1" localSheetId="74">'406'!$E$19</definedName>
    <definedName name="OSRRefD21_0x_1" localSheetId="75">'411'!$E$19:$E$27</definedName>
    <definedName name="OSRRefD21_0x_1" localSheetId="76">'412'!$E$19</definedName>
    <definedName name="OSRRefD21_0x_1" localSheetId="77">'413'!$E$19</definedName>
    <definedName name="OSRRefD21_0x_1" localSheetId="78">'414'!$E$19</definedName>
    <definedName name="OSRRefD21_0x_1" localSheetId="79">'415'!$E$26:$E$35</definedName>
    <definedName name="OSRRefD21_0x_1" localSheetId="80">'418'!$E$23:$E$31</definedName>
    <definedName name="OSRRefD21_0x_1" localSheetId="81">'423'!$E$19:$E$26</definedName>
    <definedName name="OSRRefD21_0x_1" localSheetId="82">'424'!$E$19</definedName>
    <definedName name="OSRRefD21_0x_1" localSheetId="83">'425'!$E$21</definedName>
    <definedName name="OSRRefD21_0x_1" localSheetId="86">'430'!$E$19:$E$27</definedName>
    <definedName name="OSRRefD21_0x_1" localSheetId="87">'433'!$E$26:$E$35</definedName>
    <definedName name="OSRRefD21_0x_1" localSheetId="88">'435'!$E$22:$E$23</definedName>
    <definedName name="OSRRefD21_0x_1" localSheetId="89">'444'!$E$26:$E$35</definedName>
    <definedName name="OSRRefD21_0x_1" localSheetId="90">'450'!$E$26:$E$35</definedName>
    <definedName name="OSRRefD21_0x_1" localSheetId="72">'491'!$E$27:$E$36</definedName>
    <definedName name="OSRRefD21_0x_1" localSheetId="85">'492'!$E$28:$E$37</definedName>
    <definedName name="OSRRefD21_0x_1" localSheetId="92">'501'!$E$20:$E$29</definedName>
    <definedName name="OSRRefD21_0x_1" localSheetId="39">'Div 2'!$E$19:$E$29</definedName>
    <definedName name="OSRRefD21_0x_1" localSheetId="47">'Div 3'!$E$59:$E$68</definedName>
    <definedName name="OSRRefD21_0x_1" localSheetId="70">'Div 4'!$E$30:$E$39</definedName>
    <definedName name="OSRRefD21_0x_1" localSheetId="91">'Div 5'!$E$20:$E$29</definedName>
    <definedName name="OSRRefD21_0x_1" localSheetId="61">'Div 6'!$E$34:$E$43</definedName>
    <definedName name="OSRRefD21_0x_1" localSheetId="2">Summary!$E$67:$E$76</definedName>
    <definedName name="OSRRefD21_0x_2" localSheetId="40">'200'!$F$19</definedName>
    <definedName name="OSRRefD21_0x_2" localSheetId="41">'201'!$F$19:$F$27</definedName>
    <definedName name="OSRRefD21_0x_2" localSheetId="42">'202'!$F$19:$F$27</definedName>
    <definedName name="OSRRefD21_0x_2" localSheetId="43">'203'!$F$19:$F$28</definedName>
    <definedName name="OSRRefD21_0x_2" localSheetId="44">'204'!$F$19:$F$27</definedName>
    <definedName name="OSRRefD21_0x_2" localSheetId="45">'205'!$F$19:$F$27</definedName>
    <definedName name="OSRRefD21_0x_2" localSheetId="46">'206'!$F$19:$F$27</definedName>
    <definedName name="OSRRefD21_0x_2" localSheetId="48">'300'!$F$53:$F$62</definedName>
    <definedName name="OSRRefD21_0x_2" localSheetId="49">'300 &amp; 317'!$F$59:$F$68</definedName>
    <definedName name="OSRRefD21_0x_2" localSheetId="50">'301'!$F$20:$F$29</definedName>
    <definedName name="OSRRefD21_0x_2" localSheetId="55">'307'!$F$33:$F$41</definedName>
    <definedName name="OSRRefD21_0x_2" localSheetId="51">'308'!$F$34:$F$43</definedName>
    <definedName name="OSRRefD21_0x_2" localSheetId="64">'309'!$F$25:$F$26</definedName>
    <definedName name="OSRRefD21_0x_2" localSheetId="63">'310'!$F$28:$F$37</definedName>
    <definedName name="OSRRefD21_0x_2" localSheetId="71">'310 &amp; 491'!$F$28:$F$37</definedName>
    <definedName name="OSRRefD21_0x_2" localSheetId="52">'311'!$F$34:$F$43</definedName>
    <definedName name="OSRRefD21_0x_2" localSheetId="65">'313'!$F$19</definedName>
    <definedName name="OSRRefD21_0x_2" localSheetId="57">'315'!$F$43:$F$51</definedName>
    <definedName name="OSRRefD21_0x_2" localSheetId="60">'316'!$F$26:$F$34</definedName>
    <definedName name="OSRRefD21_0x_2" localSheetId="62">'317'!$F$34:$F$43</definedName>
    <definedName name="OSRRefD21_0x_2" localSheetId="66">'321'!$F$23:$F$32</definedName>
    <definedName name="OSRRefD21_0x_2" localSheetId="67">'322'!$F$19</definedName>
    <definedName name="OSRRefD21_0x_2" localSheetId="68">'325'!$F$24:$F$32</definedName>
    <definedName name="OSRRefD21_0x_2" localSheetId="58">'326'!$F$27:$F$35</definedName>
    <definedName name="OSRRefD21_0x_2" localSheetId="69">'327'!$F$25</definedName>
    <definedName name="OSRRefD21_0x_2" localSheetId="56">'331'!$F$43:$F$51</definedName>
    <definedName name="OSRRefD21_0x_2" localSheetId="59">'332'!$F$26:$F$34</definedName>
    <definedName name="OSRRefD21_0x_2" localSheetId="54">'333'!$F$45:$F$53</definedName>
    <definedName name="OSRRefD21_0x_2" localSheetId="73">'405'!$F$26:$F$34</definedName>
    <definedName name="OSRRefD21_0x_2" localSheetId="74">'406'!$F$19</definedName>
    <definedName name="OSRRefD21_0x_2" localSheetId="75">'411'!$F$19:$F$27</definedName>
    <definedName name="OSRRefD21_0x_2" localSheetId="76">'412'!$F$19</definedName>
    <definedName name="OSRRefD21_0x_2" localSheetId="77">'413'!$F$19</definedName>
    <definedName name="OSRRefD21_0x_2" localSheetId="78">'414'!$F$19</definedName>
    <definedName name="OSRRefD21_0x_2" localSheetId="79">'415'!$F$26:$F$35</definedName>
    <definedName name="OSRRefD21_0x_2" localSheetId="80">'418'!$F$23:$F$31</definedName>
    <definedName name="OSRRefD21_0x_2" localSheetId="81">'423'!$F$19:$F$26</definedName>
    <definedName name="OSRRefD21_0x_2" localSheetId="82">'424'!$F$19</definedName>
    <definedName name="OSRRefD21_0x_2" localSheetId="83">'425'!$F$21</definedName>
    <definedName name="OSRRefD21_0x_2" localSheetId="86">'430'!$F$19:$F$27</definedName>
    <definedName name="OSRRefD21_0x_2" localSheetId="87">'433'!$F$26:$F$35</definedName>
    <definedName name="OSRRefD21_0x_2" localSheetId="88">'435'!$F$22:$F$23</definedName>
    <definedName name="OSRRefD21_0x_2" localSheetId="89">'444'!$F$26:$F$35</definedName>
    <definedName name="OSRRefD21_0x_2" localSheetId="90">'450'!$F$26:$F$35</definedName>
    <definedName name="OSRRefD21_0x_2" localSheetId="72">'491'!$F$27:$F$36</definedName>
    <definedName name="OSRRefD21_0x_2" localSheetId="85">'492'!$F$28:$F$37</definedName>
    <definedName name="OSRRefD21_0x_2" localSheetId="92">'501'!$F$20:$F$29</definedName>
    <definedName name="OSRRefD21_0x_2" localSheetId="39">'Div 2'!$F$19:$F$29</definedName>
    <definedName name="OSRRefD21_0x_2" localSheetId="47">'Div 3'!$F$59:$F$68</definedName>
    <definedName name="OSRRefD21_0x_2" localSheetId="70">'Div 4'!$F$30:$F$39</definedName>
    <definedName name="OSRRefD21_0x_2" localSheetId="91">'Div 5'!$F$20:$F$29</definedName>
    <definedName name="OSRRefD21_0x_2" localSheetId="61">'Div 6'!$F$34:$F$43</definedName>
    <definedName name="OSRRefD21_0x_2" localSheetId="2">Summary!$F$67:$F$76</definedName>
    <definedName name="OSRRefD21_0x_3" localSheetId="40">'200'!$G$19</definedName>
    <definedName name="OSRRefD21_0x_3" localSheetId="41">'201'!$G$19:$G$27</definedName>
    <definedName name="OSRRefD21_0x_3" localSheetId="42">'202'!$G$19:$G$27</definedName>
    <definedName name="OSRRefD21_0x_3" localSheetId="43">'203'!$G$19:$G$28</definedName>
    <definedName name="OSRRefD21_0x_3" localSheetId="44">'204'!$G$19:$G$27</definedName>
    <definedName name="OSRRefD21_0x_3" localSheetId="45">'205'!$G$19:$G$27</definedName>
    <definedName name="OSRRefD21_0x_3" localSheetId="46">'206'!$G$19:$G$27</definedName>
    <definedName name="OSRRefD21_0x_3" localSheetId="48">'300'!$G$53:$G$62</definedName>
    <definedName name="OSRRefD21_0x_3" localSheetId="49">'300 &amp; 317'!$G$59:$G$68</definedName>
    <definedName name="OSRRefD21_0x_3" localSheetId="50">'301'!$G$20:$G$29</definedName>
    <definedName name="OSRRefD21_0x_3" localSheetId="55">'307'!$G$33:$G$41</definedName>
    <definedName name="OSRRefD21_0x_3" localSheetId="51">'308'!$G$34:$G$43</definedName>
    <definedName name="OSRRefD21_0x_3" localSheetId="64">'309'!$G$25:$G$26</definedName>
    <definedName name="OSRRefD21_0x_3" localSheetId="63">'310'!$G$28:$G$37</definedName>
    <definedName name="OSRRefD21_0x_3" localSheetId="71">'310 &amp; 491'!$G$28:$G$37</definedName>
    <definedName name="OSRRefD21_0x_3" localSheetId="52">'311'!$G$34:$G$43</definedName>
    <definedName name="OSRRefD21_0x_3" localSheetId="65">'313'!$G$19</definedName>
    <definedName name="OSRRefD21_0x_3" localSheetId="57">'315'!$G$43:$G$51</definedName>
    <definedName name="OSRRefD21_0x_3" localSheetId="60">'316'!$G$26:$G$34</definedName>
    <definedName name="OSRRefD21_0x_3" localSheetId="62">'317'!$G$34:$G$43</definedName>
    <definedName name="OSRRefD21_0x_3" localSheetId="66">'321'!$G$23:$G$32</definedName>
    <definedName name="OSRRefD21_0x_3" localSheetId="67">'322'!$G$19</definedName>
    <definedName name="OSRRefD21_0x_3" localSheetId="68">'325'!$G$24:$G$32</definedName>
    <definedName name="OSRRefD21_0x_3" localSheetId="58">'326'!$G$27:$G$35</definedName>
    <definedName name="OSRRefD21_0x_3" localSheetId="69">'327'!$G$25</definedName>
    <definedName name="OSRRefD21_0x_3" localSheetId="56">'331'!$G$43:$G$51</definedName>
    <definedName name="OSRRefD21_0x_3" localSheetId="59">'332'!$G$26:$G$34</definedName>
    <definedName name="OSRRefD21_0x_3" localSheetId="54">'333'!$G$45:$G$53</definedName>
    <definedName name="OSRRefD21_0x_3" localSheetId="73">'405'!$G$26:$G$34</definedName>
    <definedName name="OSRRefD21_0x_3" localSheetId="74">'406'!$G$19</definedName>
    <definedName name="OSRRefD21_0x_3" localSheetId="75">'411'!$G$19:$G$27</definedName>
    <definedName name="OSRRefD21_0x_3" localSheetId="76">'412'!$G$19</definedName>
    <definedName name="OSRRefD21_0x_3" localSheetId="77">'413'!$G$19</definedName>
    <definedName name="OSRRefD21_0x_3" localSheetId="78">'414'!$G$19</definedName>
    <definedName name="OSRRefD21_0x_3" localSheetId="79">'415'!$G$26:$G$35</definedName>
    <definedName name="OSRRefD21_0x_3" localSheetId="80">'418'!$G$23:$G$31</definedName>
    <definedName name="OSRRefD21_0x_3" localSheetId="81">'423'!$G$19:$G$26</definedName>
    <definedName name="OSRRefD21_0x_3" localSheetId="82">'424'!$G$19</definedName>
    <definedName name="OSRRefD21_0x_3" localSheetId="83">'425'!$G$21</definedName>
    <definedName name="OSRRefD21_0x_3" localSheetId="86">'430'!$G$19:$G$27</definedName>
    <definedName name="OSRRefD21_0x_3" localSheetId="87">'433'!$G$26:$G$35</definedName>
    <definedName name="OSRRefD21_0x_3" localSheetId="88">'435'!$G$22:$G$23</definedName>
    <definedName name="OSRRefD21_0x_3" localSheetId="89">'444'!$G$26:$G$35</definedName>
    <definedName name="OSRRefD21_0x_3" localSheetId="90">'450'!$G$26:$G$35</definedName>
    <definedName name="OSRRefD21_0x_3" localSheetId="72">'491'!$G$27:$G$36</definedName>
    <definedName name="OSRRefD21_0x_3" localSheetId="85">'492'!$G$28:$G$37</definedName>
    <definedName name="OSRRefD21_0x_3" localSheetId="92">'501'!$G$20:$G$29</definedName>
    <definedName name="OSRRefD21_0x_3" localSheetId="39">'Div 2'!$G$19:$G$29</definedName>
    <definedName name="OSRRefD21_0x_3" localSheetId="47">'Div 3'!$G$59:$G$68</definedName>
    <definedName name="OSRRefD21_0x_3" localSheetId="70">'Div 4'!$G$30:$G$39</definedName>
    <definedName name="OSRRefD21_0x_3" localSheetId="91">'Div 5'!$G$20:$G$29</definedName>
    <definedName name="OSRRefD21_0x_3" localSheetId="61">'Div 6'!$G$34:$G$43</definedName>
    <definedName name="OSRRefD21_0x_3" localSheetId="2">Summary!$G$67:$G$76</definedName>
    <definedName name="OSRRefD21_0x_4" localSheetId="40">'200'!$H$19</definedName>
    <definedName name="OSRRefD21_0x_4" localSheetId="41">'201'!$H$19:$H$27</definedName>
    <definedName name="OSRRefD21_0x_4" localSheetId="42">'202'!$H$19:$H$27</definedName>
    <definedName name="OSRRefD21_0x_4" localSheetId="43">'203'!$H$19:$H$28</definedName>
    <definedName name="OSRRefD21_0x_4" localSheetId="44">'204'!$H$19:$H$27</definedName>
    <definedName name="OSRRefD21_0x_4" localSheetId="45">'205'!$H$19:$H$27</definedName>
    <definedName name="OSRRefD21_0x_4" localSheetId="46">'206'!$H$19:$H$27</definedName>
    <definedName name="OSRRefD21_0x_4" localSheetId="48">'300'!$H$53:$H$62</definedName>
    <definedName name="OSRRefD21_0x_4" localSheetId="49">'300 &amp; 317'!$H$59:$H$68</definedName>
    <definedName name="OSRRefD21_0x_4" localSheetId="50">'301'!$H$20:$H$29</definedName>
    <definedName name="OSRRefD21_0x_4" localSheetId="55">'307'!$H$33:$H$41</definedName>
    <definedName name="OSRRefD21_0x_4" localSheetId="51">'308'!$H$34:$H$43</definedName>
    <definedName name="OSRRefD21_0x_4" localSheetId="64">'309'!$H$25:$H$26</definedName>
    <definedName name="OSRRefD21_0x_4" localSheetId="63">'310'!$H$28:$H$37</definedName>
    <definedName name="OSRRefD21_0x_4" localSheetId="71">'310 &amp; 491'!$H$28:$H$37</definedName>
    <definedName name="OSRRefD21_0x_4" localSheetId="52">'311'!$H$34:$H$43</definedName>
    <definedName name="OSRRefD21_0x_4" localSheetId="65">'313'!$H$19</definedName>
    <definedName name="OSRRefD21_0x_4" localSheetId="57">'315'!$H$43:$H$51</definedName>
    <definedName name="OSRRefD21_0x_4" localSheetId="60">'316'!$H$26:$H$34</definedName>
    <definedName name="OSRRefD21_0x_4" localSheetId="62">'317'!$H$34:$H$43</definedName>
    <definedName name="OSRRefD21_0x_4" localSheetId="66">'321'!$H$23:$H$32</definedName>
    <definedName name="OSRRefD21_0x_4" localSheetId="67">'322'!$H$19</definedName>
    <definedName name="OSRRefD21_0x_4" localSheetId="68">'325'!$H$24:$H$32</definedName>
    <definedName name="OSRRefD21_0x_4" localSheetId="58">'326'!$H$27:$H$35</definedName>
    <definedName name="OSRRefD21_0x_4" localSheetId="69">'327'!$H$25</definedName>
    <definedName name="OSRRefD21_0x_4" localSheetId="56">'331'!$H$43:$H$51</definedName>
    <definedName name="OSRRefD21_0x_4" localSheetId="59">'332'!$H$26:$H$34</definedName>
    <definedName name="OSRRefD21_0x_4" localSheetId="54">'333'!$H$45:$H$53</definedName>
    <definedName name="OSRRefD21_0x_4" localSheetId="73">'405'!$H$26:$H$34</definedName>
    <definedName name="OSRRefD21_0x_4" localSheetId="74">'406'!$H$19</definedName>
    <definedName name="OSRRefD21_0x_4" localSheetId="75">'411'!$H$19:$H$27</definedName>
    <definedName name="OSRRefD21_0x_4" localSheetId="76">'412'!$H$19</definedName>
    <definedName name="OSRRefD21_0x_4" localSheetId="77">'413'!$H$19</definedName>
    <definedName name="OSRRefD21_0x_4" localSheetId="78">'414'!$H$19</definedName>
    <definedName name="OSRRefD21_0x_4" localSheetId="79">'415'!$H$26:$H$35</definedName>
    <definedName name="OSRRefD21_0x_4" localSheetId="80">'418'!$H$23:$H$31</definedName>
    <definedName name="OSRRefD21_0x_4" localSheetId="81">'423'!$H$19:$H$26</definedName>
    <definedName name="OSRRefD21_0x_4" localSheetId="82">'424'!$H$19</definedName>
    <definedName name="OSRRefD21_0x_4" localSheetId="83">'425'!$H$21</definedName>
    <definedName name="OSRRefD21_0x_4" localSheetId="86">'430'!$H$19:$H$27</definedName>
    <definedName name="OSRRefD21_0x_4" localSheetId="87">'433'!$H$26:$H$35</definedName>
    <definedName name="OSRRefD21_0x_4" localSheetId="88">'435'!$H$22:$H$23</definedName>
    <definedName name="OSRRefD21_0x_4" localSheetId="89">'444'!$H$26:$H$35</definedName>
    <definedName name="OSRRefD21_0x_4" localSheetId="90">'450'!$H$26:$H$35</definedName>
    <definedName name="OSRRefD21_0x_4" localSheetId="72">'491'!$H$27:$H$36</definedName>
    <definedName name="OSRRefD21_0x_4" localSheetId="85">'492'!$H$28:$H$37</definedName>
    <definedName name="OSRRefD21_0x_4" localSheetId="92">'501'!$H$20:$H$29</definedName>
    <definedName name="OSRRefD21_0x_4" localSheetId="39">'Div 2'!$H$19:$H$29</definedName>
    <definedName name="OSRRefD21_0x_4" localSheetId="47">'Div 3'!$H$59:$H$68</definedName>
    <definedName name="OSRRefD21_0x_4" localSheetId="70">'Div 4'!$H$30:$H$39</definedName>
    <definedName name="OSRRefD21_0x_4" localSheetId="91">'Div 5'!$H$20:$H$29</definedName>
    <definedName name="OSRRefD21_0x_4" localSheetId="61">'Div 6'!$H$34:$H$43</definedName>
    <definedName name="OSRRefD21_0x_4" localSheetId="2">Summary!$H$67:$H$76</definedName>
    <definedName name="OSRRefD21_0x_5" localSheetId="40">'200'!$I$19</definedName>
    <definedName name="OSRRefD21_0x_5" localSheetId="41">'201'!$I$19:$I$27</definedName>
    <definedName name="OSRRefD21_0x_5" localSheetId="42">'202'!$I$19:$I$27</definedName>
    <definedName name="OSRRefD21_0x_5" localSheetId="43">'203'!$I$19:$I$28</definedName>
    <definedName name="OSRRefD21_0x_5" localSheetId="44">'204'!$I$19:$I$27</definedName>
    <definedName name="OSRRefD21_0x_5" localSheetId="45">'205'!$I$19:$I$27</definedName>
    <definedName name="OSRRefD21_0x_5" localSheetId="46">'206'!$I$19:$I$27</definedName>
    <definedName name="OSRRefD21_0x_5" localSheetId="48">'300'!$I$53:$I$62</definedName>
    <definedName name="OSRRefD21_0x_5" localSheetId="49">'300 &amp; 317'!$I$59:$I$68</definedName>
    <definedName name="OSRRefD21_0x_5" localSheetId="50">'301'!$I$20:$I$29</definedName>
    <definedName name="OSRRefD21_0x_5" localSheetId="55">'307'!$I$33:$I$41</definedName>
    <definedName name="OSRRefD21_0x_5" localSheetId="51">'308'!$I$34:$I$43</definedName>
    <definedName name="OSRRefD21_0x_5" localSheetId="64">'309'!$I$25:$I$26</definedName>
    <definedName name="OSRRefD21_0x_5" localSheetId="63">'310'!$I$28:$I$37</definedName>
    <definedName name="OSRRefD21_0x_5" localSheetId="71">'310 &amp; 491'!$I$28:$I$37</definedName>
    <definedName name="OSRRefD21_0x_5" localSheetId="52">'311'!$I$34:$I$43</definedName>
    <definedName name="OSRRefD21_0x_5" localSheetId="65">'313'!$I$19</definedName>
    <definedName name="OSRRefD21_0x_5" localSheetId="57">'315'!$I$43:$I$51</definedName>
    <definedName name="OSRRefD21_0x_5" localSheetId="60">'316'!$I$26:$I$34</definedName>
    <definedName name="OSRRefD21_0x_5" localSheetId="62">'317'!$I$34:$I$43</definedName>
    <definedName name="OSRRefD21_0x_5" localSheetId="66">'321'!$I$23:$I$32</definedName>
    <definedName name="OSRRefD21_0x_5" localSheetId="67">'322'!$I$19</definedName>
    <definedName name="OSRRefD21_0x_5" localSheetId="68">'325'!$I$24:$I$32</definedName>
    <definedName name="OSRRefD21_0x_5" localSheetId="58">'326'!$I$27:$I$35</definedName>
    <definedName name="OSRRefD21_0x_5" localSheetId="69">'327'!$I$25</definedName>
    <definedName name="OSRRefD21_0x_5" localSheetId="56">'331'!$I$43:$I$51</definedName>
    <definedName name="OSRRefD21_0x_5" localSheetId="59">'332'!$I$26:$I$34</definedName>
    <definedName name="OSRRefD21_0x_5" localSheetId="54">'333'!$I$45:$I$53</definedName>
    <definedName name="OSRRefD21_0x_5" localSheetId="73">'405'!$I$26:$I$34</definedName>
    <definedName name="OSRRefD21_0x_5" localSheetId="74">'406'!$I$19</definedName>
    <definedName name="OSRRefD21_0x_5" localSheetId="75">'411'!$I$19:$I$27</definedName>
    <definedName name="OSRRefD21_0x_5" localSheetId="76">'412'!$I$19</definedName>
    <definedName name="OSRRefD21_0x_5" localSheetId="77">'413'!$I$19</definedName>
    <definedName name="OSRRefD21_0x_5" localSheetId="78">'414'!$I$19</definedName>
    <definedName name="OSRRefD21_0x_5" localSheetId="79">'415'!$I$26:$I$35</definedName>
    <definedName name="OSRRefD21_0x_5" localSheetId="80">'418'!$I$23:$I$31</definedName>
    <definedName name="OSRRefD21_0x_5" localSheetId="81">'423'!$I$19:$I$26</definedName>
    <definedName name="OSRRefD21_0x_5" localSheetId="82">'424'!$I$19</definedName>
    <definedName name="OSRRefD21_0x_5" localSheetId="83">'425'!$I$21</definedName>
    <definedName name="OSRRefD21_0x_5" localSheetId="86">'430'!$I$19:$I$27</definedName>
    <definedName name="OSRRefD21_0x_5" localSheetId="87">'433'!$I$26:$I$35</definedName>
    <definedName name="OSRRefD21_0x_5" localSheetId="88">'435'!$I$22:$I$23</definedName>
    <definedName name="OSRRefD21_0x_5" localSheetId="89">'444'!$I$26:$I$35</definedName>
    <definedName name="OSRRefD21_0x_5" localSheetId="90">'450'!$I$26:$I$35</definedName>
    <definedName name="OSRRefD21_0x_5" localSheetId="72">'491'!$I$27:$I$36</definedName>
    <definedName name="OSRRefD21_0x_5" localSheetId="85">'492'!$I$28:$I$37</definedName>
    <definedName name="OSRRefD21_0x_5" localSheetId="92">'501'!$I$20:$I$29</definedName>
    <definedName name="OSRRefD21_0x_5" localSheetId="39">'Div 2'!$I$19:$I$29</definedName>
    <definedName name="OSRRefD21_0x_5" localSheetId="47">'Div 3'!$I$59:$I$68</definedName>
    <definedName name="OSRRefD21_0x_5" localSheetId="70">'Div 4'!$I$30:$I$39</definedName>
    <definedName name="OSRRefD21_0x_5" localSheetId="91">'Div 5'!$I$20:$I$29</definedName>
    <definedName name="OSRRefD21_0x_5" localSheetId="61">'Div 6'!$I$34:$I$43</definedName>
    <definedName name="OSRRefD21_0x_5" localSheetId="2">Summary!$I$67:$I$76</definedName>
    <definedName name="OSRRefD21_0x_6" localSheetId="40">'200'!$J$19</definedName>
    <definedName name="OSRRefD21_0x_6" localSheetId="41">'201'!$J$19:$J$27</definedName>
    <definedName name="OSRRefD21_0x_6" localSheetId="42">'202'!$J$19:$J$27</definedName>
    <definedName name="OSRRefD21_0x_6" localSheetId="43">'203'!$J$19:$J$28</definedName>
    <definedName name="OSRRefD21_0x_6" localSheetId="44">'204'!$J$19:$J$27</definedName>
    <definedName name="OSRRefD21_0x_6" localSheetId="45">'205'!$J$19:$J$27</definedName>
    <definedName name="OSRRefD21_0x_6" localSheetId="46">'206'!$J$19:$J$27</definedName>
    <definedName name="OSRRefD21_0x_6" localSheetId="48">'300'!$J$53:$J$62</definedName>
    <definedName name="OSRRefD21_0x_6" localSheetId="49">'300 &amp; 317'!$J$59:$J$68</definedName>
    <definedName name="OSRRefD21_0x_6" localSheetId="50">'301'!$J$20:$J$29</definedName>
    <definedName name="OSRRefD21_0x_6" localSheetId="55">'307'!$J$33:$J$41</definedName>
    <definedName name="OSRRefD21_0x_6" localSheetId="51">'308'!$J$34:$J$43</definedName>
    <definedName name="OSRRefD21_0x_6" localSheetId="64">'309'!$J$25:$J$26</definedName>
    <definedName name="OSRRefD21_0x_6" localSheetId="63">'310'!$J$28:$J$37</definedName>
    <definedName name="OSRRefD21_0x_6" localSheetId="71">'310 &amp; 491'!$J$28:$J$37</definedName>
    <definedName name="OSRRefD21_0x_6" localSheetId="52">'311'!$J$34:$J$43</definedName>
    <definedName name="OSRRefD21_0x_6" localSheetId="65">'313'!$J$19</definedName>
    <definedName name="OSRRefD21_0x_6" localSheetId="57">'315'!$J$43:$J$51</definedName>
    <definedName name="OSRRefD21_0x_6" localSheetId="60">'316'!$J$26:$J$34</definedName>
    <definedName name="OSRRefD21_0x_6" localSheetId="62">'317'!$J$34:$J$43</definedName>
    <definedName name="OSRRefD21_0x_6" localSheetId="66">'321'!$J$23:$J$32</definedName>
    <definedName name="OSRRefD21_0x_6" localSheetId="67">'322'!$J$19</definedName>
    <definedName name="OSRRefD21_0x_6" localSheetId="68">'325'!$J$24:$J$32</definedName>
    <definedName name="OSRRefD21_0x_6" localSheetId="58">'326'!$J$27:$J$35</definedName>
    <definedName name="OSRRefD21_0x_6" localSheetId="69">'327'!$J$25</definedName>
    <definedName name="OSRRefD21_0x_6" localSheetId="56">'331'!$J$43:$J$51</definedName>
    <definedName name="OSRRefD21_0x_6" localSheetId="59">'332'!$J$26:$J$34</definedName>
    <definedName name="OSRRefD21_0x_6" localSheetId="54">'333'!$J$45:$J$53</definedName>
    <definedName name="OSRRefD21_0x_6" localSheetId="73">'405'!$J$26:$J$34</definedName>
    <definedName name="OSRRefD21_0x_6" localSheetId="74">'406'!$J$19</definedName>
    <definedName name="OSRRefD21_0x_6" localSheetId="75">'411'!$J$19:$J$27</definedName>
    <definedName name="OSRRefD21_0x_6" localSheetId="76">'412'!$J$19</definedName>
    <definedName name="OSRRefD21_0x_6" localSheetId="77">'413'!$J$19</definedName>
    <definedName name="OSRRefD21_0x_6" localSheetId="78">'414'!$J$19</definedName>
    <definedName name="OSRRefD21_0x_6" localSheetId="79">'415'!$J$26:$J$35</definedName>
    <definedName name="OSRRefD21_0x_6" localSheetId="80">'418'!$J$23:$J$31</definedName>
    <definedName name="OSRRefD21_0x_6" localSheetId="81">'423'!$J$19:$J$26</definedName>
    <definedName name="OSRRefD21_0x_6" localSheetId="82">'424'!$J$19</definedName>
    <definedName name="OSRRefD21_0x_6" localSheetId="83">'425'!$J$21</definedName>
    <definedName name="OSRRefD21_0x_6" localSheetId="86">'430'!$J$19:$J$27</definedName>
    <definedName name="OSRRefD21_0x_6" localSheetId="87">'433'!$J$26:$J$35</definedName>
    <definedName name="OSRRefD21_0x_6" localSheetId="88">'435'!$J$22:$J$23</definedName>
    <definedName name="OSRRefD21_0x_6" localSheetId="89">'444'!$J$26:$J$35</definedName>
    <definedName name="OSRRefD21_0x_6" localSheetId="90">'450'!$J$26:$J$35</definedName>
    <definedName name="OSRRefD21_0x_6" localSheetId="72">'491'!$J$27:$J$36</definedName>
    <definedName name="OSRRefD21_0x_6" localSheetId="85">'492'!$J$28:$J$37</definedName>
    <definedName name="OSRRefD21_0x_6" localSheetId="92">'501'!$J$20:$J$29</definedName>
    <definedName name="OSRRefD21_0x_6" localSheetId="39">'Div 2'!$J$19:$J$29</definedName>
    <definedName name="OSRRefD21_0x_6" localSheetId="47">'Div 3'!$J$59:$J$68</definedName>
    <definedName name="OSRRefD21_0x_6" localSheetId="70">'Div 4'!$J$30:$J$39</definedName>
    <definedName name="OSRRefD21_0x_6" localSheetId="91">'Div 5'!$J$20:$J$29</definedName>
    <definedName name="OSRRefD21_0x_6" localSheetId="61">'Div 6'!$J$34:$J$43</definedName>
    <definedName name="OSRRefD21_0x_6" localSheetId="2">Summary!$J$67:$J$76</definedName>
    <definedName name="OSRRefD21_0x_7" localSheetId="40">'200'!$K$19</definedName>
    <definedName name="OSRRefD21_0x_7" localSheetId="41">'201'!$K$19:$K$27</definedName>
    <definedName name="OSRRefD21_0x_7" localSheetId="42">'202'!$K$19:$K$27</definedName>
    <definedName name="OSRRefD21_0x_7" localSheetId="43">'203'!$K$19:$K$28</definedName>
    <definedName name="OSRRefD21_0x_7" localSheetId="44">'204'!$K$19:$K$27</definedName>
    <definedName name="OSRRefD21_0x_7" localSheetId="45">'205'!$K$19:$K$27</definedName>
    <definedName name="OSRRefD21_0x_7" localSheetId="46">'206'!$K$19:$K$27</definedName>
    <definedName name="OSRRefD21_0x_7" localSheetId="48">'300'!$K$53:$K$62</definedName>
    <definedName name="OSRRefD21_0x_7" localSheetId="49">'300 &amp; 317'!$K$59:$K$68</definedName>
    <definedName name="OSRRefD21_0x_7" localSheetId="50">'301'!$K$20:$K$29</definedName>
    <definedName name="OSRRefD21_0x_7" localSheetId="55">'307'!$K$33:$K$41</definedName>
    <definedName name="OSRRefD21_0x_7" localSheetId="51">'308'!$K$34:$K$43</definedName>
    <definedName name="OSRRefD21_0x_7" localSheetId="64">'309'!$K$25:$K$26</definedName>
    <definedName name="OSRRefD21_0x_7" localSheetId="63">'310'!$K$28:$K$37</definedName>
    <definedName name="OSRRefD21_0x_7" localSheetId="71">'310 &amp; 491'!$K$28:$K$37</definedName>
    <definedName name="OSRRefD21_0x_7" localSheetId="52">'311'!$K$34:$K$43</definedName>
    <definedName name="OSRRefD21_0x_7" localSheetId="65">'313'!$K$19</definedName>
    <definedName name="OSRRefD21_0x_7" localSheetId="57">'315'!$K$43:$K$51</definedName>
    <definedName name="OSRRefD21_0x_7" localSheetId="60">'316'!$K$26:$K$34</definedName>
    <definedName name="OSRRefD21_0x_7" localSheetId="62">'317'!$K$34:$K$43</definedName>
    <definedName name="OSRRefD21_0x_7" localSheetId="66">'321'!$K$23:$K$32</definedName>
    <definedName name="OSRRefD21_0x_7" localSheetId="67">'322'!$K$19</definedName>
    <definedName name="OSRRefD21_0x_7" localSheetId="68">'325'!$K$24:$K$32</definedName>
    <definedName name="OSRRefD21_0x_7" localSheetId="58">'326'!$K$27:$K$35</definedName>
    <definedName name="OSRRefD21_0x_7" localSheetId="69">'327'!$K$25</definedName>
    <definedName name="OSRRefD21_0x_7" localSheetId="56">'331'!$K$43:$K$51</definedName>
    <definedName name="OSRRefD21_0x_7" localSheetId="59">'332'!$K$26:$K$34</definedName>
    <definedName name="OSRRefD21_0x_7" localSheetId="54">'333'!$K$45:$K$53</definedName>
    <definedName name="OSRRefD21_0x_7" localSheetId="73">'405'!$K$26:$K$34</definedName>
    <definedName name="OSRRefD21_0x_7" localSheetId="74">'406'!$K$19</definedName>
    <definedName name="OSRRefD21_0x_7" localSheetId="75">'411'!$K$19:$K$27</definedName>
    <definedName name="OSRRefD21_0x_7" localSheetId="76">'412'!$K$19</definedName>
    <definedName name="OSRRefD21_0x_7" localSheetId="77">'413'!$K$19</definedName>
    <definedName name="OSRRefD21_0x_7" localSheetId="78">'414'!$K$19</definedName>
    <definedName name="OSRRefD21_0x_7" localSheetId="79">'415'!$K$26:$K$35</definedName>
    <definedName name="OSRRefD21_0x_7" localSheetId="80">'418'!$K$23:$K$31</definedName>
    <definedName name="OSRRefD21_0x_7" localSheetId="81">'423'!$K$19:$K$26</definedName>
    <definedName name="OSRRefD21_0x_7" localSheetId="82">'424'!$K$19</definedName>
    <definedName name="OSRRefD21_0x_7" localSheetId="83">'425'!$K$21</definedName>
    <definedName name="OSRRefD21_0x_7" localSheetId="86">'430'!$K$19:$K$27</definedName>
    <definedName name="OSRRefD21_0x_7" localSheetId="87">'433'!$K$26:$K$35</definedName>
    <definedName name="OSRRefD21_0x_7" localSheetId="88">'435'!$K$22:$K$23</definedName>
    <definedName name="OSRRefD21_0x_7" localSheetId="89">'444'!$K$26:$K$35</definedName>
    <definedName name="OSRRefD21_0x_7" localSheetId="90">'450'!$K$26:$K$35</definedName>
    <definedName name="OSRRefD21_0x_7" localSheetId="72">'491'!$K$27:$K$36</definedName>
    <definedName name="OSRRefD21_0x_7" localSheetId="85">'492'!$K$28:$K$37</definedName>
    <definedName name="OSRRefD21_0x_7" localSheetId="92">'501'!$K$20:$K$29</definedName>
    <definedName name="OSRRefD21_0x_7" localSheetId="39">'Div 2'!$K$19:$K$29</definedName>
    <definedName name="OSRRefD21_0x_7" localSheetId="47">'Div 3'!$K$59:$K$68</definedName>
    <definedName name="OSRRefD21_0x_7" localSheetId="70">'Div 4'!$K$30:$K$39</definedName>
    <definedName name="OSRRefD21_0x_7" localSheetId="91">'Div 5'!$K$20:$K$29</definedName>
    <definedName name="OSRRefD21_0x_7" localSheetId="61">'Div 6'!$K$34:$K$43</definedName>
    <definedName name="OSRRefD21_0x_7" localSheetId="2">Summary!$K$67:$K$76</definedName>
    <definedName name="OSRRefD21_0x_8" localSheetId="40">'200'!$L$19</definedName>
    <definedName name="OSRRefD21_0x_8" localSheetId="41">'201'!$L$19:$L$27</definedName>
    <definedName name="OSRRefD21_0x_8" localSheetId="42">'202'!$L$19:$L$27</definedName>
    <definedName name="OSRRefD21_0x_8" localSheetId="43">'203'!$L$19:$L$28</definedName>
    <definedName name="OSRRefD21_0x_8" localSheetId="44">'204'!$L$19:$L$27</definedName>
    <definedName name="OSRRefD21_0x_8" localSheetId="45">'205'!$L$19:$L$27</definedName>
    <definedName name="OSRRefD21_0x_8" localSheetId="46">'206'!$L$19:$L$27</definedName>
    <definedName name="OSRRefD21_0x_8" localSheetId="48">'300'!$L$53:$L$62</definedName>
    <definedName name="OSRRefD21_0x_8" localSheetId="49">'300 &amp; 317'!$L$59:$L$68</definedName>
    <definedName name="OSRRefD21_0x_8" localSheetId="50">'301'!$L$20:$L$29</definedName>
    <definedName name="OSRRefD21_0x_8" localSheetId="55">'307'!$L$33:$L$41</definedName>
    <definedName name="OSRRefD21_0x_8" localSheetId="51">'308'!$L$34:$L$43</definedName>
    <definedName name="OSRRefD21_0x_8" localSheetId="64">'309'!$L$25:$L$26</definedName>
    <definedName name="OSRRefD21_0x_8" localSheetId="63">'310'!$L$28:$L$37</definedName>
    <definedName name="OSRRefD21_0x_8" localSheetId="71">'310 &amp; 491'!$L$28:$L$37</definedName>
    <definedName name="OSRRefD21_0x_8" localSheetId="52">'311'!$L$34:$L$43</definedName>
    <definedName name="OSRRefD21_0x_8" localSheetId="65">'313'!$L$19</definedName>
    <definedName name="OSRRefD21_0x_8" localSheetId="57">'315'!$L$43:$L$51</definedName>
    <definedName name="OSRRefD21_0x_8" localSheetId="60">'316'!$L$26:$L$34</definedName>
    <definedName name="OSRRefD21_0x_8" localSheetId="62">'317'!$L$34:$L$43</definedName>
    <definedName name="OSRRefD21_0x_8" localSheetId="66">'321'!$L$23:$L$32</definedName>
    <definedName name="OSRRefD21_0x_8" localSheetId="67">'322'!$L$19</definedName>
    <definedName name="OSRRefD21_0x_8" localSheetId="68">'325'!$L$24:$L$32</definedName>
    <definedName name="OSRRefD21_0x_8" localSheetId="58">'326'!$L$27:$L$35</definedName>
    <definedName name="OSRRefD21_0x_8" localSheetId="69">'327'!$L$25</definedName>
    <definedName name="OSRRefD21_0x_8" localSheetId="56">'331'!$L$43:$L$51</definedName>
    <definedName name="OSRRefD21_0x_8" localSheetId="59">'332'!$L$26:$L$34</definedName>
    <definedName name="OSRRefD21_0x_8" localSheetId="54">'333'!$L$45:$L$53</definedName>
    <definedName name="OSRRefD21_0x_8" localSheetId="73">'405'!$L$26:$L$34</definedName>
    <definedName name="OSRRefD21_0x_8" localSheetId="74">'406'!$L$19</definedName>
    <definedName name="OSRRefD21_0x_8" localSheetId="75">'411'!$L$19:$L$27</definedName>
    <definedName name="OSRRefD21_0x_8" localSheetId="76">'412'!$L$19</definedName>
    <definedName name="OSRRefD21_0x_8" localSheetId="77">'413'!$L$19</definedName>
    <definedName name="OSRRefD21_0x_8" localSheetId="78">'414'!$L$19</definedName>
    <definedName name="OSRRefD21_0x_8" localSheetId="79">'415'!$L$26:$L$35</definedName>
    <definedName name="OSRRefD21_0x_8" localSheetId="80">'418'!$L$23:$L$31</definedName>
    <definedName name="OSRRefD21_0x_8" localSheetId="81">'423'!$L$19:$L$26</definedName>
    <definedName name="OSRRefD21_0x_8" localSheetId="82">'424'!$L$19</definedName>
    <definedName name="OSRRefD21_0x_8" localSheetId="83">'425'!$L$21</definedName>
    <definedName name="OSRRefD21_0x_8" localSheetId="86">'430'!$L$19:$L$27</definedName>
    <definedName name="OSRRefD21_0x_8" localSheetId="87">'433'!$L$26:$L$35</definedName>
    <definedName name="OSRRefD21_0x_8" localSheetId="88">'435'!$L$22:$L$23</definedName>
    <definedName name="OSRRefD21_0x_8" localSheetId="89">'444'!$L$26:$L$35</definedName>
    <definedName name="OSRRefD21_0x_8" localSheetId="90">'450'!$L$26:$L$35</definedName>
    <definedName name="OSRRefD21_0x_8" localSheetId="72">'491'!$L$27:$L$36</definedName>
    <definedName name="OSRRefD21_0x_8" localSheetId="85">'492'!$L$28:$L$37</definedName>
    <definedName name="OSRRefD21_0x_8" localSheetId="92">'501'!$L$20:$L$29</definedName>
    <definedName name="OSRRefD21_0x_8" localSheetId="39">'Div 2'!$L$19:$L$29</definedName>
    <definedName name="OSRRefD21_0x_8" localSheetId="47">'Div 3'!$L$59:$L$68</definedName>
    <definedName name="OSRRefD21_0x_8" localSheetId="70">'Div 4'!$L$30:$L$39</definedName>
    <definedName name="OSRRefD21_0x_8" localSheetId="91">'Div 5'!$L$20:$L$29</definedName>
    <definedName name="OSRRefD21_0x_8" localSheetId="61">'Div 6'!$L$34:$L$43</definedName>
    <definedName name="OSRRefD21_0x_8" localSheetId="2">Summary!$L$67:$L$76</definedName>
    <definedName name="OSRRefD21_0x_9" localSheetId="40">'200'!$M$19</definedName>
    <definedName name="OSRRefD21_0x_9" localSheetId="41">'201'!$M$19:$M$27</definedName>
    <definedName name="OSRRefD21_0x_9" localSheetId="42">'202'!$M$19:$M$27</definedName>
    <definedName name="OSRRefD21_0x_9" localSheetId="43">'203'!$M$19:$M$28</definedName>
    <definedName name="OSRRefD21_0x_9" localSheetId="44">'204'!$M$19:$M$27</definedName>
    <definedName name="OSRRefD21_0x_9" localSheetId="45">'205'!$M$19:$M$27</definedName>
    <definedName name="OSRRefD21_0x_9" localSheetId="46">'206'!$M$19:$M$27</definedName>
    <definedName name="OSRRefD21_0x_9" localSheetId="48">'300'!$M$53:$M$62</definedName>
    <definedName name="OSRRefD21_0x_9" localSheetId="49">'300 &amp; 317'!$M$59:$M$68</definedName>
    <definedName name="OSRRefD21_0x_9" localSheetId="50">'301'!$M$20:$M$29</definedName>
    <definedName name="OSRRefD21_0x_9" localSheetId="55">'307'!$M$33:$M$41</definedName>
    <definedName name="OSRRefD21_0x_9" localSheetId="51">'308'!$M$34:$M$43</definedName>
    <definedName name="OSRRefD21_0x_9" localSheetId="64">'309'!$M$25:$M$26</definedName>
    <definedName name="OSRRefD21_0x_9" localSheetId="63">'310'!$M$28:$M$37</definedName>
    <definedName name="OSRRefD21_0x_9" localSheetId="71">'310 &amp; 491'!$M$28:$M$37</definedName>
    <definedName name="OSRRefD21_0x_9" localSheetId="52">'311'!$M$34:$M$43</definedName>
    <definedName name="OSRRefD21_0x_9" localSheetId="65">'313'!$M$19</definedName>
    <definedName name="OSRRefD21_0x_9" localSheetId="57">'315'!$M$43:$M$51</definedName>
    <definedName name="OSRRefD21_0x_9" localSheetId="60">'316'!$M$26:$M$34</definedName>
    <definedName name="OSRRefD21_0x_9" localSheetId="62">'317'!$M$34:$M$43</definedName>
    <definedName name="OSRRefD21_0x_9" localSheetId="66">'321'!$M$23:$M$32</definedName>
    <definedName name="OSRRefD21_0x_9" localSheetId="67">'322'!$M$19</definedName>
    <definedName name="OSRRefD21_0x_9" localSheetId="68">'325'!$M$24:$M$32</definedName>
    <definedName name="OSRRefD21_0x_9" localSheetId="58">'326'!$M$27:$M$35</definedName>
    <definedName name="OSRRefD21_0x_9" localSheetId="69">'327'!$M$25</definedName>
    <definedName name="OSRRefD21_0x_9" localSheetId="56">'331'!$M$43:$M$51</definedName>
    <definedName name="OSRRefD21_0x_9" localSheetId="59">'332'!$M$26:$M$34</definedName>
    <definedName name="OSRRefD21_0x_9" localSheetId="54">'333'!$M$45:$M$53</definedName>
    <definedName name="OSRRefD21_0x_9" localSheetId="73">'405'!$M$26:$M$34</definedName>
    <definedName name="OSRRefD21_0x_9" localSheetId="74">'406'!$M$19</definedName>
    <definedName name="OSRRefD21_0x_9" localSheetId="75">'411'!$M$19:$M$27</definedName>
    <definedName name="OSRRefD21_0x_9" localSheetId="76">'412'!$M$19</definedName>
    <definedName name="OSRRefD21_0x_9" localSheetId="77">'413'!$M$19</definedName>
    <definedName name="OSRRefD21_0x_9" localSheetId="78">'414'!$M$19</definedName>
    <definedName name="OSRRefD21_0x_9" localSheetId="79">'415'!$M$26:$M$35</definedName>
    <definedName name="OSRRefD21_0x_9" localSheetId="80">'418'!$M$23:$M$31</definedName>
    <definedName name="OSRRefD21_0x_9" localSheetId="81">'423'!$M$19:$M$26</definedName>
    <definedName name="OSRRefD21_0x_9" localSheetId="82">'424'!$M$19</definedName>
    <definedName name="OSRRefD21_0x_9" localSheetId="83">'425'!$M$21</definedName>
    <definedName name="OSRRefD21_0x_9" localSheetId="86">'430'!$M$19:$M$27</definedName>
    <definedName name="OSRRefD21_0x_9" localSheetId="87">'433'!$M$26:$M$35</definedName>
    <definedName name="OSRRefD21_0x_9" localSheetId="88">'435'!$M$22:$M$23</definedName>
    <definedName name="OSRRefD21_0x_9" localSheetId="89">'444'!$M$26:$M$35</definedName>
    <definedName name="OSRRefD21_0x_9" localSheetId="90">'450'!$M$26:$M$35</definedName>
    <definedName name="OSRRefD21_0x_9" localSheetId="72">'491'!$M$27:$M$36</definedName>
    <definedName name="OSRRefD21_0x_9" localSheetId="85">'492'!$M$28:$M$37</definedName>
    <definedName name="OSRRefD21_0x_9" localSheetId="92">'501'!$M$20:$M$29</definedName>
    <definedName name="OSRRefD21_0x_9" localSheetId="39">'Div 2'!$M$19:$M$29</definedName>
    <definedName name="OSRRefD21_0x_9" localSheetId="47">'Div 3'!$M$59:$M$68</definedName>
    <definedName name="OSRRefD21_0x_9" localSheetId="70">'Div 4'!$M$30:$M$39</definedName>
    <definedName name="OSRRefD21_0x_9" localSheetId="91">'Div 5'!$M$20:$M$29</definedName>
    <definedName name="OSRRefD21_0x_9" localSheetId="61">'Div 6'!$M$34:$M$43</definedName>
    <definedName name="OSRRefD21_0x_9" localSheetId="2">Summary!$M$67:$M$76</definedName>
    <definedName name="OSRRefD21_1_0x" localSheetId="40">'200'!$D$21:$M$21</definedName>
    <definedName name="OSRRefD21_1_0x" localSheetId="41">'201'!$D$29:$M$29</definedName>
    <definedName name="OSRRefD21_1_0x" localSheetId="42">'202'!$D$29:$M$29</definedName>
    <definedName name="OSRRefD21_1_0x" localSheetId="43">'203'!$D$30:$M$30</definedName>
    <definedName name="OSRRefD21_1_0x" localSheetId="44">'204'!$D$29:$M$29</definedName>
    <definedName name="OSRRefD21_1_0x" localSheetId="45">'205'!$D$29:$M$29</definedName>
    <definedName name="OSRRefD21_1_0x" localSheetId="46">'206'!$D$29:$M$29</definedName>
    <definedName name="OSRRefD21_1_0x" localSheetId="48">'300'!$D$64:$M$64</definedName>
    <definedName name="OSRRefD21_1_0x" localSheetId="49">'300 &amp; 317'!$D$70:$M$70</definedName>
    <definedName name="OSRRefD21_1_0x" localSheetId="50">'301'!$D$31:$M$31</definedName>
    <definedName name="OSRRefD21_1_0x" localSheetId="55">'307'!$D$43:$M$43</definedName>
    <definedName name="OSRRefD21_1_0x" localSheetId="51">'308'!$D$45:$M$45</definedName>
    <definedName name="OSRRefD21_1_0x" localSheetId="64">'309'!$D$28:$M$28</definedName>
    <definedName name="OSRRefD21_1_0x" localSheetId="63">'310'!$D$39:$M$39</definedName>
    <definedName name="OSRRefD21_1_0x" localSheetId="71">'310 &amp; 491'!$D$39:$M$39</definedName>
    <definedName name="OSRRefD21_1_0x" localSheetId="52">'311'!$D$45:$M$45</definedName>
    <definedName name="OSRRefD21_1_0x" localSheetId="65">'313'!$D$21:$M$21</definedName>
    <definedName name="OSRRefD21_1_0x" localSheetId="57">'315'!$D$53:$M$53</definedName>
    <definedName name="OSRRefD21_1_0x" localSheetId="60">'316'!$D$36:$M$36</definedName>
    <definedName name="OSRRefD21_1_0x" localSheetId="62">'317'!$D$45:$M$45</definedName>
    <definedName name="OSRRefD21_1_0x" localSheetId="66">'321'!$D$34:$M$34</definedName>
    <definedName name="OSRRefD21_1_0x" localSheetId="68">'325'!$D$34:$M$34</definedName>
    <definedName name="OSRRefD21_1_0x" localSheetId="58">'326'!$D$37:$M$37</definedName>
    <definedName name="OSRRefD21_1_0x" localSheetId="69">'327'!$D$27:$M$27</definedName>
    <definedName name="OSRRefD21_1_0x" localSheetId="56">'331'!$D$53:$M$53</definedName>
    <definedName name="OSRRefD21_1_0x" localSheetId="59">'332'!$D$36:$M$36</definedName>
    <definedName name="OSRRefD21_1_0x" localSheetId="54">'333'!$D$55:$M$55</definedName>
    <definedName name="OSRRefD21_1_0x" localSheetId="73">'405'!$D$36:$M$36</definedName>
    <definedName name="OSRRefD21_1_0x" localSheetId="75">'411'!$D$29:$M$29</definedName>
    <definedName name="OSRRefD21_1_0x" localSheetId="76">'412'!$D$21:$M$21</definedName>
    <definedName name="OSRRefD21_1_0x" localSheetId="77">'413'!$D$21:$M$21</definedName>
    <definedName name="OSRRefD21_1_0x" localSheetId="78">'414'!$D$21:$M$21</definedName>
    <definedName name="OSRRefD21_1_0x" localSheetId="79">'415'!$D$37:$M$37</definedName>
    <definedName name="OSRRefD21_1_0x" localSheetId="80">'418'!$D$33:$M$33</definedName>
    <definedName name="OSRRefD21_1_0x" localSheetId="81">'423'!$D$28:$M$28</definedName>
    <definedName name="OSRRefD21_1_0x" localSheetId="82">'424'!$D$21:$M$21</definedName>
    <definedName name="OSRRefD21_1_0x" localSheetId="83">'425'!$D$23:$M$23</definedName>
    <definedName name="OSRRefD21_1_0x" localSheetId="86">'430'!$D$29:$M$29</definedName>
    <definedName name="OSRRefD21_1_0x" localSheetId="87">'433'!$D$37:$M$37</definedName>
    <definedName name="OSRRefD21_1_0x" localSheetId="88">'435'!$D$25:$M$25</definedName>
    <definedName name="OSRRefD21_1_0x" localSheetId="89">'444'!$D$37:$M$37</definedName>
    <definedName name="OSRRefD21_1_0x" localSheetId="90">'450'!$D$37:$M$37</definedName>
    <definedName name="OSRRefD21_1_0x" localSheetId="72">'491'!$D$38:$M$38</definedName>
    <definedName name="OSRRefD21_1_0x" localSheetId="85">'492'!$D$39:$M$39</definedName>
    <definedName name="OSRRefD21_1_0x" localSheetId="92">'501'!$D$31:$M$31</definedName>
    <definedName name="OSRRefD21_1_0x" localSheetId="39">'Div 2'!$D$31:$M$31</definedName>
    <definedName name="OSRRefD21_1_0x" localSheetId="47">'Div 3'!$D$70:$M$70</definedName>
    <definedName name="OSRRefD21_1_0x" localSheetId="70">'Div 4'!$D$41:$M$41</definedName>
    <definedName name="OSRRefD21_1_0x" localSheetId="91">'Div 5'!$D$31:$M$31</definedName>
    <definedName name="OSRRefD21_1_0x" localSheetId="61">'Div 6'!$D$45:$M$45</definedName>
    <definedName name="OSRRefD21_1_0x" localSheetId="2">Summary!$D$78:$M$78</definedName>
    <definedName name="OSRRefD21_1_1x" localSheetId="41">'201'!$D$30:$M$30</definedName>
    <definedName name="OSRRefD21_1_1x" localSheetId="42">'202'!$D$30:$M$30</definedName>
    <definedName name="OSRRefD21_1_1x" localSheetId="43">'203'!$D$31:$M$31</definedName>
    <definedName name="OSRRefD21_1_1x" localSheetId="44">'204'!$D$30:$M$30</definedName>
    <definedName name="OSRRefD21_1_1x" localSheetId="45">'205'!$D$30:$M$30</definedName>
    <definedName name="OSRRefD21_1_1x" localSheetId="46">'206'!$D$30:$M$30</definedName>
    <definedName name="OSRRefD21_1_1x" localSheetId="48">'300'!$D$65:$M$65</definedName>
    <definedName name="OSRRefD21_1_1x" localSheetId="49">'300 &amp; 317'!$D$71:$M$71</definedName>
    <definedName name="OSRRefD21_1_1x" localSheetId="50">'301'!$D$32:$M$32</definedName>
    <definedName name="OSRRefD21_1_1x" localSheetId="55">'307'!$D$44:$M$44</definedName>
    <definedName name="OSRRefD21_1_1x" localSheetId="51">'308'!$D$46:$M$46</definedName>
    <definedName name="OSRRefD21_1_1x" localSheetId="64">'309'!$D$29:$M$29</definedName>
    <definedName name="OSRRefD21_1_1x" localSheetId="63">'310'!$D$40:$M$40</definedName>
    <definedName name="OSRRefD21_1_1x" localSheetId="71">'310 &amp; 491'!$D$40:$M$40</definedName>
    <definedName name="OSRRefD21_1_1x" localSheetId="52">'311'!$D$46:$M$46</definedName>
    <definedName name="OSRRefD21_1_1x" localSheetId="57">'315'!$D$54:$M$54</definedName>
    <definedName name="OSRRefD21_1_1x" localSheetId="60">'316'!$D$37:$M$37</definedName>
    <definedName name="OSRRefD21_1_1x" localSheetId="62">'317'!$D$46:$M$46</definedName>
    <definedName name="OSRRefD21_1_1x" localSheetId="66">'321'!$D$35:$M$35</definedName>
    <definedName name="OSRRefD21_1_1x" localSheetId="68">'325'!$D$35:$M$35</definedName>
    <definedName name="OSRRefD21_1_1x" localSheetId="58">'326'!$D$38:$M$38</definedName>
    <definedName name="OSRRefD21_1_1x" localSheetId="56">'331'!$D$54:$M$54</definedName>
    <definedName name="OSRRefD21_1_1x" localSheetId="59">'332'!$D$37:$M$37</definedName>
    <definedName name="OSRRefD21_1_1x" localSheetId="54">'333'!$D$56:$M$56</definedName>
    <definedName name="OSRRefD21_1_1x" localSheetId="73">'405'!$D$37:$M$37</definedName>
    <definedName name="OSRRefD21_1_1x" localSheetId="75">'411'!$D$30:$M$30</definedName>
    <definedName name="OSRRefD21_1_1x" localSheetId="79">'415'!$D$38:$M$38</definedName>
    <definedName name="OSRRefD21_1_1x" localSheetId="80">'418'!$D$34:$M$34</definedName>
    <definedName name="OSRRefD21_1_1x" localSheetId="81">'423'!$D$29:$M$29</definedName>
    <definedName name="OSRRefD21_1_1x" localSheetId="86">'430'!$D$30:$M$30</definedName>
    <definedName name="OSRRefD21_1_1x" localSheetId="87">'433'!$D$38:$M$38</definedName>
    <definedName name="OSRRefD21_1_1x" localSheetId="89">'444'!$D$38:$M$38</definedName>
    <definedName name="OSRRefD21_1_1x" localSheetId="90">'450'!$D$38:$M$38</definedName>
    <definedName name="OSRRefD21_1_1x" localSheetId="72">'491'!$D$39:$M$39</definedName>
    <definedName name="OSRRefD21_1_1x" localSheetId="85">'492'!$D$40:$M$40</definedName>
    <definedName name="OSRRefD21_1_1x" localSheetId="92">'501'!$D$32:$M$32</definedName>
    <definedName name="OSRRefD21_1_1x" localSheetId="39">'Div 2'!$D$32:$M$32</definedName>
    <definedName name="OSRRefD21_1_1x" localSheetId="47">'Div 3'!$D$71:$M$71</definedName>
    <definedName name="OSRRefD21_1_1x" localSheetId="70">'Div 4'!$D$42:$M$42</definedName>
    <definedName name="OSRRefD21_1_1x" localSheetId="91">'Div 5'!$D$32:$M$32</definedName>
    <definedName name="OSRRefD21_1_1x" localSheetId="61">'Div 6'!$D$46:$M$46</definedName>
    <definedName name="OSRRefD21_1_1x" localSheetId="2">Summary!$D$79:$M$79</definedName>
    <definedName name="OSRRefD21_1_2x" localSheetId="41">'201'!$D$31:$M$31</definedName>
    <definedName name="OSRRefD21_1_2x" localSheetId="42">'202'!$D$31:$M$31</definedName>
    <definedName name="OSRRefD21_1_2x" localSheetId="43">'203'!$D$32:$M$32</definedName>
    <definedName name="OSRRefD21_1_2x" localSheetId="44">'204'!$D$31:$M$31</definedName>
    <definedName name="OSRRefD21_1_2x" localSheetId="45">'205'!$D$31:$M$31</definedName>
    <definedName name="OSRRefD21_1_2x" localSheetId="46">'206'!$D$31:$M$31</definedName>
    <definedName name="OSRRefD21_1_2x" localSheetId="48">'300'!$D$66:$M$66</definedName>
    <definedName name="OSRRefD21_1_2x" localSheetId="49">'300 &amp; 317'!$D$72:$M$72</definedName>
    <definedName name="OSRRefD21_1_2x" localSheetId="50">'301'!$D$33:$M$33</definedName>
    <definedName name="OSRRefD21_1_2x" localSheetId="55">'307'!$D$45:$M$45</definedName>
    <definedName name="OSRRefD21_1_2x" localSheetId="51">'308'!$D$47:$M$47</definedName>
    <definedName name="OSRRefD21_1_2x" localSheetId="63">'310'!$D$41:$M$41</definedName>
    <definedName name="OSRRefD21_1_2x" localSheetId="71">'310 &amp; 491'!$D$41:$M$41</definedName>
    <definedName name="OSRRefD21_1_2x" localSheetId="52">'311'!$D$47:$M$47</definedName>
    <definedName name="OSRRefD21_1_2x" localSheetId="57">'315'!$D$55:$M$55</definedName>
    <definedName name="OSRRefD21_1_2x" localSheetId="60">'316'!$D$38:$M$38</definedName>
    <definedName name="OSRRefD21_1_2x" localSheetId="62">'317'!$D$47:$M$47</definedName>
    <definedName name="OSRRefD21_1_2x" localSheetId="66">'321'!$D$36:$M$36</definedName>
    <definedName name="OSRRefD21_1_2x" localSheetId="68">'325'!$D$36:$M$36</definedName>
    <definedName name="OSRRefD21_1_2x" localSheetId="58">'326'!$D$39:$M$39</definedName>
    <definedName name="OSRRefD21_1_2x" localSheetId="56">'331'!$D$55:$M$55</definedName>
    <definedName name="OSRRefD21_1_2x" localSheetId="59">'332'!$D$38:$M$38</definedName>
    <definedName name="OSRRefD21_1_2x" localSheetId="54">'333'!$D$57:$M$57</definedName>
    <definedName name="OSRRefD21_1_2x" localSheetId="73">'405'!$D$38:$M$38</definedName>
    <definedName name="OSRRefD21_1_2x" localSheetId="75">'411'!$D$31:$M$31</definedName>
    <definedName name="OSRRefD21_1_2x" localSheetId="79">'415'!$D$39:$M$39</definedName>
    <definedName name="OSRRefD21_1_2x" localSheetId="80">'418'!$D$35:$M$35</definedName>
    <definedName name="OSRRefD21_1_2x" localSheetId="81">'423'!$D$30:$M$30</definedName>
    <definedName name="OSRRefD21_1_2x" localSheetId="86">'430'!$D$31:$M$31</definedName>
    <definedName name="OSRRefD21_1_2x" localSheetId="87">'433'!$D$39:$M$39</definedName>
    <definedName name="OSRRefD21_1_2x" localSheetId="89">'444'!$D$39:$M$39</definedName>
    <definedName name="OSRRefD21_1_2x" localSheetId="90">'450'!$D$39:$M$39</definedName>
    <definedName name="OSRRefD21_1_2x" localSheetId="72">'491'!$D$40:$M$40</definedName>
    <definedName name="OSRRefD21_1_2x" localSheetId="85">'492'!$D$41:$M$41</definedName>
    <definedName name="OSRRefD21_1_2x" localSheetId="92">'501'!$D$33:$M$33</definedName>
    <definedName name="OSRRefD21_1_2x" localSheetId="39">'Div 2'!$D$33:$M$33</definedName>
    <definedName name="OSRRefD21_1_2x" localSheetId="47">'Div 3'!$D$72:$M$72</definedName>
    <definedName name="OSRRefD21_1_2x" localSheetId="70">'Div 4'!$D$43:$M$43</definedName>
    <definedName name="OSRRefD21_1_2x" localSheetId="91">'Div 5'!$D$33:$M$33</definedName>
    <definedName name="OSRRefD21_1_2x" localSheetId="61">'Div 6'!$D$47:$M$47</definedName>
    <definedName name="OSRRefD21_1_2x" localSheetId="2">Summary!$D$80:$M$80</definedName>
    <definedName name="OSRRefD21_1_3x" localSheetId="41">'201'!$D$32:$M$32</definedName>
    <definedName name="OSRRefD21_1_3x" localSheetId="42">'202'!$D$32:$M$32</definedName>
    <definedName name="OSRRefD21_1_3x" localSheetId="43">'203'!$D$33:$M$33</definedName>
    <definedName name="OSRRefD21_1_3x" localSheetId="44">'204'!$D$32:$M$32</definedName>
    <definedName name="OSRRefD21_1_3x" localSheetId="45">'205'!$D$32:$M$32</definedName>
    <definedName name="OSRRefD21_1_3x" localSheetId="46">'206'!$D$32:$M$32</definedName>
    <definedName name="OSRRefD21_1_3x" localSheetId="48">'300'!$D$67:$M$67</definedName>
    <definedName name="OSRRefD21_1_3x" localSheetId="49">'300 &amp; 317'!$D$73:$M$73</definedName>
    <definedName name="OSRRefD21_1_3x" localSheetId="50">'301'!$D$34:$M$34</definedName>
    <definedName name="OSRRefD21_1_3x" localSheetId="55">'307'!$D$46:$M$46</definedName>
    <definedName name="OSRRefD21_1_3x" localSheetId="51">'308'!$D$48:$M$48</definedName>
    <definedName name="OSRRefD21_1_3x" localSheetId="63">'310'!$D$42:$M$42</definedName>
    <definedName name="OSRRefD21_1_3x" localSheetId="71">'310 &amp; 491'!$D$42:$M$42</definedName>
    <definedName name="OSRRefD21_1_3x" localSheetId="52">'311'!$D$48:$M$48</definedName>
    <definedName name="OSRRefD21_1_3x" localSheetId="57">'315'!$D$56:$M$56</definedName>
    <definedName name="OSRRefD21_1_3x" localSheetId="60">'316'!$D$39:$M$39</definedName>
    <definedName name="OSRRefD21_1_3x" localSheetId="62">'317'!$D$48:$M$48</definedName>
    <definedName name="OSRRefD21_1_3x" localSheetId="66">'321'!$D$37:$M$37</definedName>
    <definedName name="OSRRefD21_1_3x" localSheetId="68">'325'!$D$37:$M$37</definedName>
    <definedName name="OSRRefD21_1_3x" localSheetId="58">'326'!$D$40:$M$40</definedName>
    <definedName name="OSRRefD21_1_3x" localSheetId="56">'331'!$D$56:$M$56</definedName>
    <definedName name="OSRRefD21_1_3x" localSheetId="59">'332'!$D$39:$M$39</definedName>
    <definedName name="OSRRefD21_1_3x" localSheetId="54">'333'!$D$58:$M$58</definedName>
    <definedName name="OSRRefD21_1_3x" localSheetId="73">'405'!$D$39:$M$39</definedName>
    <definedName name="OSRRefD21_1_3x" localSheetId="75">'411'!$D$32:$M$32</definedName>
    <definedName name="OSRRefD21_1_3x" localSheetId="79">'415'!$D$40:$M$40</definedName>
    <definedName name="OSRRefD21_1_3x" localSheetId="80">'418'!$D$36:$M$36</definedName>
    <definedName name="OSRRefD21_1_3x" localSheetId="81">'423'!$D$31:$M$31</definedName>
    <definedName name="OSRRefD21_1_3x" localSheetId="86">'430'!$D$32:$M$32</definedName>
    <definedName name="OSRRefD21_1_3x" localSheetId="87">'433'!$D$40:$M$40</definedName>
    <definedName name="OSRRefD21_1_3x" localSheetId="89">'444'!$D$40:$M$40</definedName>
    <definedName name="OSRRefD21_1_3x" localSheetId="90">'450'!$D$40:$M$40</definedName>
    <definedName name="OSRRefD21_1_3x" localSheetId="72">'491'!$D$41:$M$41</definedName>
    <definedName name="OSRRefD21_1_3x" localSheetId="85">'492'!$D$42:$M$42</definedName>
    <definedName name="OSRRefD21_1_3x" localSheetId="92">'501'!$D$34:$M$34</definedName>
    <definedName name="OSRRefD21_1_3x" localSheetId="39">'Div 2'!$D$34:$M$34</definedName>
    <definedName name="OSRRefD21_1_3x" localSheetId="47">'Div 3'!$D$73:$M$73</definedName>
    <definedName name="OSRRefD21_1_3x" localSheetId="70">'Div 4'!$D$44:$M$44</definedName>
    <definedName name="OSRRefD21_1_3x" localSheetId="91">'Div 5'!$D$34:$M$34</definedName>
    <definedName name="OSRRefD21_1_3x" localSheetId="61">'Div 6'!$D$48:$M$48</definedName>
    <definedName name="OSRRefD21_1_3x" localSheetId="2">Summary!$D$81:$M$81</definedName>
    <definedName name="OSRRefD21_1_4x" localSheetId="41">'201'!$D$33:$M$33</definedName>
    <definedName name="OSRRefD21_1_4x" localSheetId="42">'202'!$D$33:$M$33</definedName>
    <definedName name="OSRRefD21_1_4x" localSheetId="43">'203'!$D$34:$M$34</definedName>
    <definedName name="OSRRefD21_1_4x" localSheetId="44">'204'!$D$33:$M$33</definedName>
    <definedName name="OSRRefD21_1_4x" localSheetId="45">'205'!$D$33:$M$33</definedName>
    <definedName name="OSRRefD21_1_4x" localSheetId="46">'206'!$D$33:$M$33</definedName>
    <definedName name="OSRRefD21_1_4x" localSheetId="48">'300'!$D$68:$M$68</definedName>
    <definedName name="OSRRefD21_1_4x" localSheetId="49">'300 &amp; 317'!$D$74:$M$74</definedName>
    <definedName name="OSRRefD21_1_4x" localSheetId="50">'301'!$D$35:$M$35</definedName>
    <definedName name="OSRRefD21_1_4x" localSheetId="55">'307'!$D$47:$M$47</definedName>
    <definedName name="OSRRefD21_1_4x" localSheetId="51">'308'!$D$49:$M$49</definedName>
    <definedName name="OSRRefD21_1_4x" localSheetId="63">'310'!$D$43:$M$43</definedName>
    <definedName name="OSRRefD21_1_4x" localSheetId="71">'310 &amp; 491'!$D$43:$M$43</definedName>
    <definedName name="OSRRefD21_1_4x" localSheetId="52">'311'!$D$49:$M$49</definedName>
    <definedName name="OSRRefD21_1_4x" localSheetId="57">'315'!$D$57:$M$57</definedName>
    <definedName name="OSRRefD21_1_4x" localSheetId="60">'316'!$D$40:$M$40</definedName>
    <definedName name="OSRRefD21_1_4x" localSheetId="62">'317'!$D$49:$M$49</definedName>
    <definedName name="OSRRefD21_1_4x" localSheetId="66">'321'!$D$38:$M$38</definedName>
    <definedName name="OSRRefD21_1_4x" localSheetId="68">'325'!$D$38:$M$38</definedName>
    <definedName name="OSRRefD21_1_4x" localSheetId="58">'326'!$D$41:$M$41</definedName>
    <definedName name="OSRRefD21_1_4x" localSheetId="56">'331'!$D$57:$M$57</definedName>
    <definedName name="OSRRefD21_1_4x" localSheetId="59">'332'!$D$40:$M$40</definedName>
    <definedName name="OSRRefD21_1_4x" localSheetId="54">'333'!$D$59:$M$59</definedName>
    <definedName name="OSRRefD21_1_4x" localSheetId="73">'405'!$D$40:$M$40</definedName>
    <definedName name="OSRRefD21_1_4x" localSheetId="75">'411'!$D$33:$M$33</definedName>
    <definedName name="OSRRefD21_1_4x" localSheetId="79">'415'!$D$41:$M$41</definedName>
    <definedName name="OSRRefD21_1_4x" localSheetId="80">'418'!$D$37:$M$37</definedName>
    <definedName name="OSRRefD21_1_4x" localSheetId="81">'423'!$D$32:$M$32</definedName>
    <definedName name="OSRRefD21_1_4x" localSheetId="86">'430'!$D$33:$M$33</definedName>
    <definedName name="OSRRefD21_1_4x" localSheetId="87">'433'!$D$41:$M$41</definedName>
    <definedName name="OSRRefD21_1_4x" localSheetId="89">'444'!$D$41:$M$41</definedName>
    <definedName name="OSRRefD21_1_4x" localSheetId="90">'450'!$D$41:$M$41</definedName>
    <definedName name="OSRRefD21_1_4x" localSheetId="72">'491'!$D$42:$M$42</definedName>
    <definedName name="OSRRefD21_1_4x" localSheetId="85">'492'!$D$43:$M$43</definedName>
    <definedName name="OSRRefD21_1_4x" localSheetId="92">'501'!$D$35:$M$35</definedName>
    <definedName name="OSRRefD21_1_4x" localSheetId="39">'Div 2'!$D$35:$M$35</definedName>
    <definedName name="OSRRefD21_1_4x" localSheetId="47">'Div 3'!$D$74:$M$74</definedName>
    <definedName name="OSRRefD21_1_4x" localSheetId="70">'Div 4'!$D$45:$M$45</definedName>
    <definedName name="OSRRefD21_1_4x" localSheetId="91">'Div 5'!$D$35:$M$35</definedName>
    <definedName name="OSRRefD21_1_4x" localSheetId="61">'Div 6'!$D$49:$M$49</definedName>
    <definedName name="OSRRefD21_1_4x" localSheetId="2">Summary!$D$82:$M$82</definedName>
    <definedName name="OSRRefD21_1_5x" localSheetId="41">'201'!$D$34:$M$34</definedName>
    <definedName name="OSRRefD21_1_5x" localSheetId="42">'202'!$D$34:$M$34</definedName>
    <definedName name="OSRRefD21_1_5x" localSheetId="43">'203'!$D$35:$M$35</definedName>
    <definedName name="OSRRefD21_1_5x" localSheetId="44">'204'!$D$34:$M$34</definedName>
    <definedName name="OSRRefD21_1_5x" localSheetId="45">'205'!$D$34:$M$34</definedName>
    <definedName name="OSRRefD21_1_5x" localSheetId="46">'206'!$D$34:$M$34</definedName>
    <definedName name="OSRRefD21_1_5x" localSheetId="48">'300'!$D$69:$M$69</definedName>
    <definedName name="OSRRefD21_1_5x" localSheetId="49">'300 &amp; 317'!$D$75:$M$75</definedName>
    <definedName name="OSRRefD21_1_5x" localSheetId="50">'301'!$D$36:$M$36</definedName>
    <definedName name="OSRRefD21_1_5x" localSheetId="55">'307'!$D$48:$M$48</definedName>
    <definedName name="OSRRefD21_1_5x" localSheetId="51">'308'!$D$50:$M$50</definedName>
    <definedName name="OSRRefD21_1_5x" localSheetId="63">'310'!$D$44:$M$44</definedName>
    <definedName name="OSRRefD21_1_5x" localSheetId="71">'310 &amp; 491'!$D$44:$M$44</definedName>
    <definedName name="OSRRefD21_1_5x" localSheetId="52">'311'!$D$50:$M$50</definedName>
    <definedName name="OSRRefD21_1_5x" localSheetId="57">'315'!$D$58:$M$58</definedName>
    <definedName name="OSRRefD21_1_5x" localSheetId="60">'316'!$D$41:$M$41</definedName>
    <definedName name="OSRRefD21_1_5x" localSheetId="62">'317'!$D$50:$M$50</definedName>
    <definedName name="OSRRefD21_1_5x" localSheetId="66">'321'!$D$39:$M$39</definedName>
    <definedName name="OSRRefD21_1_5x" localSheetId="68">'325'!$D$39:$M$39</definedName>
    <definedName name="OSRRefD21_1_5x" localSheetId="58">'326'!$D$42:$M$42</definedName>
    <definedName name="OSRRefD21_1_5x" localSheetId="56">'331'!$D$58:$M$58</definedName>
    <definedName name="OSRRefD21_1_5x" localSheetId="59">'332'!$D$41:$M$41</definedName>
    <definedName name="OSRRefD21_1_5x" localSheetId="54">'333'!$D$60:$M$60</definedName>
    <definedName name="OSRRefD21_1_5x" localSheetId="73">'405'!$D$41:$M$41</definedName>
    <definedName name="OSRRefD21_1_5x" localSheetId="75">'411'!$D$34:$M$34</definedName>
    <definedName name="OSRRefD21_1_5x" localSheetId="79">'415'!$D$42:$M$42</definedName>
    <definedName name="OSRRefD21_1_5x" localSheetId="80">'418'!$D$38:$M$38</definedName>
    <definedName name="OSRRefD21_1_5x" localSheetId="81">'423'!$D$33:$M$33</definedName>
    <definedName name="OSRRefD21_1_5x" localSheetId="86">'430'!$D$34:$M$34</definedName>
    <definedName name="OSRRefD21_1_5x" localSheetId="87">'433'!$D$42:$M$42</definedName>
    <definedName name="OSRRefD21_1_5x" localSheetId="89">'444'!$D$42:$M$42</definedName>
    <definedName name="OSRRefD21_1_5x" localSheetId="90">'450'!$D$42:$M$42</definedName>
    <definedName name="OSRRefD21_1_5x" localSheetId="72">'491'!$D$43:$M$43</definedName>
    <definedName name="OSRRefD21_1_5x" localSheetId="85">'492'!$D$44:$M$44</definedName>
    <definedName name="OSRRefD21_1_5x" localSheetId="92">'501'!$D$36:$M$36</definedName>
    <definedName name="OSRRefD21_1_5x" localSheetId="39">'Div 2'!$D$36:$M$36</definedName>
    <definedName name="OSRRefD21_1_5x" localSheetId="47">'Div 3'!$D$75:$M$75</definedName>
    <definedName name="OSRRefD21_1_5x" localSheetId="70">'Div 4'!$D$46:$M$46</definedName>
    <definedName name="OSRRefD21_1_5x" localSheetId="91">'Div 5'!$D$36:$M$36</definedName>
    <definedName name="OSRRefD21_1_5x" localSheetId="61">'Div 6'!$D$50:$M$50</definedName>
    <definedName name="OSRRefD21_1_5x" localSheetId="2">Summary!$D$83:$M$83</definedName>
    <definedName name="OSRRefD21_1_6x" localSheetId="41">'201'!$D$35:$M$35</definedName>
    <definedName name="OSRRefD21_1_6x" localSheetId="42">'202'!$D$35:$M$35</definedName>
    <definedName name="OSRRefD21_1_6x" localSheetId="43">'203'!$D$36:$M$36</definedName>
    <definedName name="OSRRefD21_1_6x" localSheetId="44">'204'!$D$35:$M$35</definedName>
    <definedName name="OSRRefD21_1_6x" localSheetId="45">'205'!$D$35:$M$35</definedName>
    <definedName name="OSRRefD21_1_6x" localSheetId="46">'206'!$D$35:$M$35</definedName>
    <definedName name="OSRRefD21_1_6x" localSheetId="48">'300'!$D$70:$M$70</definedName>
    <definedName name="OSRRefD21_1_6x" localSheetId="49">'300 &amp; 317'!$D$76:$M$76</definedName>
    <definedName name="OSRRefD21_1_6x" localSheetId="50">'301'!$D$37:$M$37</definedName>
    <definedName name="OSRRefD21_1_6x" localSheetId="55">'307'!$D$49:$M$49</definedName>
    <definedName name="OSRRefD21_1_6x" localSheetId="51">'308'!$D$51:$M$51</definedName>
    <definedName name="OSRRefD21_1_6x" localSheetId="63">'310'!$D$45:$M$45</definedName>
    <definedName name="OSRRefD21_1_6x" localSheetId="71">'310 &amp; 491'!$D$45:$M$45</definedName>
    <definedName name="OSRRefD21_1_6x" localSheetId="52">'311'!$D$51:$M$51</definedName>
    <definedName name="OSRRefD21_1_6x" localSheetId="57">'315'!$D$59:$M$59</definedName>
    <definedName name="OSRRefD21_1_6x" localSheetId="60">'316'!$D$42:$M$42</definedName>
    <definedName name="OSRRefD21_1_6x" localSheetId="62">'317'!$D$51:$M$51</definedName>
    <definedName name="OSRRefD21_1_6x" localSheetId="66">'321'!$D$40:$M$40</definedName>
    <definedName name="OSRRefD21_1_6x" localSheetId="68">'325'!$D$40:$M$40</definedName>
    <definedName name="OSRRefD21_1_6x" localSheetId="58">'326'!$D$43:$M$43</definedName>
    <definedName name="OSRRefD21_1_6x" localSheetId="56">'331'!$D$59:$M$59</definedName>
    <definedName name="OSRRefD21_1_6x" localSheetId="59">'332'!$D$42:$M$42</definedName>
    <definedName name="OSRRefD21_1_6x" localSheetId="54">'333'!$D$61:$M$61</definedName>
    <definedName name="OSRRefD21_1_6x" localSheetId="73">'405'!$D$42:$M$42</definedName>
    <definedName name="OSRRefD21_1_6x" localSheetId="75">'411'!$D$35:$M$35</definedName>
    <definedName name="OSRRefD21_1_6x" localSheetId="79">'415'!$D$43:$M$43</definedName>
    <definedName name="OSRRefD21_1_6x" localSheetId="80">'418'!$D$39:$M$39</definedName>
    <definedName name="OSRRefD21_1_6x" localSheetId="81">'423'!$D$34:$M$34</definedName>
    <definedName name="OSRRefD21_1_6x" localSheetId="86">'430'!$D$35:$M$35</definedName>
    <definedName name="OSRRefD21_1_6x" localSheetId="87">'433'!$D$43:$M$43</definedName>
    <definedName name="OSRRefD21_1_6x" localSheetId="89">'444'!$D$43:$M$43</definedName>
    <definedName name="OSRRefD21_1_6x" localSheetId="90">'450'!$D$43:$M$43</definedName>
    <definedName name="OSRRefD21_1_6x" localSheetId="72">'491'!$D$44:$M$44</definedName>
    <definedName name="OSRRefD21_1_6x" localSheetId="85">'492'!$D$45:$M$45</definedName>
    <definedName name="OSRRefD21_1_6x" localSheetId="92">'501'!$D$37:$M$37</definedName>
    <definedName name="OSRRefD21_1_6x" localSheetId="39">'Div 2'!$D$37:$M$37</definedName>
    <definedName name="OSRRefD21_1_6x" localSheetId="47">'Div 3'!$D$76:$M$76</definedName>
    <definedName name="OSRRefD21_1_6x" localSheetId="70">'Div 4'!$D$47:$M$47</definedName>
    <definedName name="OSRRefD21_1_6x" localSheetId="91">'Div 5'!$D$37:$M$37</definedName>
    <definedName name="OSRRefD21_1_6x" localSheetId="61">'Div 6'!$D$51:$M$51</definedName>
    <definedName name="OSRRefD21_1_6x" localSheetId="2">Summary!$D$84:$M$84</definedName>
    <definedName name="OSRRefD21_1_7x" localSheetId="41">'201'!$D$36:$M$36</definedName>
    <definedName name="OSRRefD21_1_7x" localSheetId="42">'202'!$D$36:$M$36</definedName>
    <definedName name="OSRRefD21_1_7x" localSheetId="43">'203'!$D$37:$M$37</definedName>
    <definedName name="OSRRefD21_1_7x" localSheetId="44">'204'!$D$36:$M$36</definedName>
    <definedName name="OSRRefD21_1_7x" localSheetId="45">'205'!$D$36:$M$36</definedName>
    <definedName name="OSRRefD21_1_7x" localSheetId="46">'206'!$D$36:$M$36</definedName>
    <definedName name="OSRRefD21_1_7x" localSheetId="48">'300'!$D$71:$M$71</definedName>
    <definedName name="OSRRefD21_1_7x" localSheetId="49">'300 &amp; 317'!$D$77:$M$77</definedName>
    <definedName name="OSRRefD21_1_7x" localSheetId="50">'301'!$D$38:$M$38</definedName>
    <definedName name="OSRRefD21_1_7x" localSheetId="55">'307'!$D$50:$M$50</definedName>
    <definedName name="OSRRefD21_1_7x" localSheetId="51">'308'!$D$52:$M$52</definedName>
    <definedName name="OSRRefD21_1_7x" localSheetId="63">'310'!$D$46:$M$46</definedName>
    <definedName name="OSRRefD21_1_7x" localSheetId="71">'310 &amp; 491'!$D$46:$M$46</definedName>
    <definedName name="OSRRefD21_1_7x" localSheetId="52">'311'!$D$52:$M$52</definedName>
    <definedName name="OSRRefD21_1_7x" localSheetId="57">'315'!$D$60:$M$60</definedName>
    <definedName name="OSRRefD21_1_7x" localSheetId="60">'316'!$D$43:$M$43</definedName>
    <definedName name="OSRRefD21_1_7x" localSheetId="62">'317'!$D$52:$M$52</definedName>
    <definedName name="OSRRefD21_1_7x" localSheetId="66">'321'!$D$41:$M$41</definedName>
    <definedName name="OSRRefD21_1_7x" localSheetId="68">'325'!$D$41:$M$41</definedName>
    <definedName name="OSRRefD21_1_7x" localSheetId="58">'326'!$D$44:$M$44</definedName>
    <definedName name="OSRRefD21_1_7x" localSheetId="56">'331'!$D$60:$M$60</definedName>
    <definedName name="OSRRefD21_1_7x" localSheetId="59">'332'!$D$43:$M$43</definedName>
    <definedName name="OSRRefD21_1_7x" localSheetId="54">'333'!$D$62:$M$62</definedName>
    <definedName name="OSRRefD21_1_7x" localSheetId="73">'405'!$D$43:$M$43</definedName>
    <definedName name="OSRRefD21_1_7x" localSheetId="75">'411'!$D$36:$M$36</definedName>
    <definedName name="OSRRefD21_1_7x" localSheetId="79">'415'!$D$44:$M$44</definedName>
    <definedName name="OSRRefD21_1_7x" localSheetId="80">'418'!$D$40:$M$40</definedName>
    <definedName name="OSRRefD21_1_7x" localSheetId="81">'423'!$D$35:$M$35</definedName>
    <definedName name="OSRRefD21_1_7x" localSheetId="86">'430'!$D$36:$M$36</definedName>
    <definedName name="OSRRefD21_1_7x" localSheetId="87">'433'!$D$44:$M$44</definedName>
    <definedName name="OSRRefD21_1_7x" localSheetId="89">'444'!$D$44:$M$44</definedName>
    <definedName name="OSRRefD21_1_7x" localSheetId="90">'450'!$D$44:$M$44</definedName>
    <definedName name="OSRRefD21_1_7x" localSheetId="72">'491'!$D$45:$M$45</definedName>
    <definedName name="OSRRefD21_1_7x" localSheetId="85">'492'!$D$46:$M$46</definedName>
    <definedName name="OSRRefD21_1_7x" localSheetId="92">'501'!$D$38:$M$38</definedName>
    <definedName name="OSRRefD21_1_7x" localSheetId="39">'Div 2'!$D$38:$M$38</definedName>
    <definedName name="OSRRefD21_1_7x" localSheetId="47">'Div 3'!$D$77:$M$77</definedName>
    <definedName name="OSRRefD21_1_7x" localSheetId="70">'Div 4'!$D$48:$M$48</definedName>
    <definedName name="OSRRefD21_1_7x" localSheetId="91">'Div 5'!$D$38:$M$38</definedName>
    <definedName name="OSRRefD21_1_7x" localSheetId="61">'Div 6'!$D$52:$M$52</definedName>
    <definedName name="OSRRefD21_1_7x" localSheetId="2">Summary!$D$85:$M$85</definedName>
    <definedName name="OSRRefD21_1_8x" localSheetId="41">'201'!$D$37:$M$37</definedName>
    <definedName name="OSRRefD21_1_8x" localSheetId="42">'202'!$D$37:$M$37</definedName>
    <definedName name="OSRRefD21_1_8x" localSheetId="43">'203'!$D$38:$M$38</definedName>
    <definedName name="OSRRefD21_1_8x" localSheetId="44">'204'!$D$37:$M$37</definedName>
    <definedName name="OSRRefD21_1_8x" localSheetId="45">'205'!$D$37:$M$37</definedName>
    <definedName name="OSRRefD21_1_8x" localSheetId="46">'206'!$D$37:$M$37</definedName>
    <definedName name="OSRRefD21_1_8x" localSheetId="48">'300'!$D$72:$M$72</definedName>
    <definedName name="OSRRefD21_1_8x" localSheetId="49">'300 &amp; 317'!$D$78:$M$78</definedName>
    <definedName name="OSRRefD21_1_8x" localSheetId="50">'301'!$D$39:$M$39</definedName>
    <definedName name="OSRRefD21_1_8x" localSheetId="55">'307'!$D$51:$M$51</definedName>
    <definedName name="OSRRefD21_1_8x" localSheetId="51">'308'!$D$53:$M$53</definedName>
    <definedName name="OSRRefD21_1_8x" localSheetId="63">'310'!$D$47:$M$47</definedName>
    <definedName name="OSRRefD21_1_8x" localSheetId="71">'310 &amp; 491'!$D$47:$M$47</definedName>
    <definedName name="OSRRefD21_1_8x" localSheetId="52">'311'!$D$53:$M$53</definedName>
    <definedName name="OSRRefD21_1_8x" localSheetId="57">'315'!$D$61:$M$61</definedName>
    <definedName name="OSRRefD21_1_8x" localSheetId="60">'316'!$D$44:$M$44</definedName>
    <definedName name="OSRRefD21_1_8x" localSheetId="62">'317'!$D$53:$M$53</definedName>
    <definedName name="OSRRefD21_1_8x" localSheetId="66">'321'!$D$42:$M$42</definedName>
    <definedName name="OSRRefD21_1_8x" localSheetId="68">'325'!$D$42:$M$42</definedName>
    <definedName name="OSRRefD21_1_8x" localSheetId="58">'326'!$D$45:$M$45</definedName>
    <definedName name="OSRRefD21_1_8x" localSheetId="56">'331'!$D$61:$M$61</definedName>
    <definedName name="OSRRefD21_1_8x" localSheetId="59">'332'!$D$44:$M$44</definedName>
    <definedName name="OSRRefD21_1_8x" localSheetId="54">'333'!$D$63:$M$63</definedName>
    <definedName name="OSRRefD21_1_8x" localSheetId="73">'405'!$D$44:$M$44</definedName>
    <definedName name="OSRRefD21_1_8x" localSheetId="75">'411'!$D$37:$M$37</definedName>
    <definedName name="OSRRefD21_1_8x" localSheetId="79">'415'!$D$45:$M$45</definedName>
    <definedName name="OSRRefD21_1_8x" localSheetId="80">'418'!$D$41:$M$41</definedName>
    <definedName name="OSRRefD21_1_8x" localSheetId="81">'423'!$D$36:$M$36</definedName>
    <definedName name="OSRRefD21_1_8x" localSheetId="86">'430'!$D$37:$M$37</definedName>
    <definedName name="OSRRefD21_1_8x" localSheetId="87">'433'!$D$45:$M$45</definedName>
    <definedName name="OSRRefD21_1_8x" localSheetId="89">'444'!$D$45:$M$45</definedName>
    <definedName name="OSRRefD21_1_8x" localSheetId="90">'450'!$D$45:$M$45</definedName>
    <definedName name="OSRRefD21_1_8x" localSheetId="72">'491'!$D$46:$M$46</definedName>
    <definedName name="OSRRefD21_1_8x" localSheetId="85">'492'!$D$47:$M$47</definedName>
    <definedName name="OSRRefD21_1_8x" localSheetId="92">'501'!$D$39:$M$39</definedName>
    <definedName name="OSRRefD21_1_8x" localSheetId="39">'Div 2'!$D$39:$M$39</definedName>
    <definedName name="OSRRefD21_1_8x" localSheetId="47">'Div 3'!$D$78:$M$78</definedName>
    <definedName name="OSRRefD21_1_8x" localSheetId="70">'Div 4'!$D$49:$M$49</definedName>
    <definedName name="OSRRefD21_1_8x" localSheetId="91">'Div 5'!$D$39:$M$39</definedName>
    <definedName name="OSRRefD21_1_8x" localSheetId="61">'Div 6'!$D$53:$M$53</definedName>
    <definedName name="OSRRefD21_1_8x" localSheetId="2">Summary!$D$86:$M$86</definedName>
    <definedName name="OSRRefD21_1_9x" localSheetId="41">'201'!$D$38:$M$38</definedName>
    <definedName name="OSRRefD21_1_9x" localSheetId="42">'202'!$D$38:$M$38</definedName>
    <definedName name="OSRRefD21_1_9x" localSheetId="43">'203'!$D$39:$M$39</definedName>
    <definedName name="OSRRefD21_1_9x" localSheetId="44">'204'!$D$38:$M$38</definedName>
    <definedName name="OSRRefD21_1_9x" localSheetId="45">'205'!$D$38:$M$38</definedName>
    <definedName name="OSRRefD21_1_9x" localSheetId="46">'206'!$D$38:$M$38</definedName>
    <definedName name="OSRRefD21_1_9x" localSheetId="48">'300'!$D$73:$M$73</definedName>
    <definedName name="OSRRefD21_1_9x" localSheetId="49">'300 &amp; 317'!$D$79:$M$79</definedName>
    <definedName name="OSRRefD21_1_9x" localSheetId="50">'301'!$D$40:$M$40</definedName>
    <definedName name="OSRRefD21_1_9x" localSheetId="55">'307'!$D$52:$M$52</definedName>
    <definedName name="OSRRefD21_1_9x" localSheetId="51">'308'!$D$54:$M$54</definedName>
    <definedName name="OSRRefD21_1_9x" localSheetId="63">'310'!$D$48:$M$48</definedName>
    <definedName name="OSRRefD21_1_9x" localSheetId="71">'310 &amp; 491'!$D$48:$M$48</definedName>
    <definedName name="OSRRefD21_1_9x" localSheetId="52">'311'!$D$54:$M$54</definedName>
    <definedName name="OSRRefD21_1_9x" localSheetId="57">'315'!$D$62:$M$62</definedName>
    <definedName name="OSRRefD21_1_9x" localSheetId="60">'316'!$D$45:$M$45</definedName>
    <definedName name="OSRRefD21_1_9x" localSheetId="62">'317'!$D$54:$M$54</definedName>
    <definedName name="OSRRefD21_1_9x" localSheetId="66">'321'!$D$43:$M$43</definedName>
    <definedName name="OSRRefD21_1_9x" localSheetId="68">'325'!$D$43:$M$43</definedName>
    <definedName name="OSRRefD21_1_9x" localSheetId="58">'326'!$D$46:$M$46</definedName>
    <definedName name="OSRRefD21_1_9x" localSheetId="56">'331'!$D$62:$M$62</definedName>
    <definedName name="OSRRefD21_1_9x" localSheetId="59">'332'!$D$45:$M$45</definedName>
    <definedName name="OSRRefD21_1_9x" localSheetId="54">'333'!$D$64:$M$64</definedName>
    <definedName name="OSRRefD21_1_9x" localSheetId="73">'405'!$D$45:$M$45</definedName>
    <definedName name="OSRRefD21_1_9x" localSheetId="75">'411'!$D$38:$M$38</definedName>
    <definedName name="OSRRefD21_1_9x" localSheetId="79">'415'!$D$46:$M$46</definedName>
    <definedName name="OSRRefD21_1_9x" localSheetId="80">'418'!$D$42:$M$42</definedName>
    <definedName name="OSRRefD21_1_9x" localSheetId="81">'423'!$D$37:$M$37</definedName>
    <definedName name="OSRRefD21_1_9x" localSheetId="86">'430'!$D$38:$M$38</definedName>
    <definedName name="OSRRefD21_1_9x" localSheetId="87">'433'!$D$46:$M$46</definedName>
    <definedName name="OSRRefD21_1_9x" localSheetId="89">'444'!$D$46:$M$46</definedName>
    <definedName name="OSRRefD21_1_9x" localSheetId="90">'450'!$D$46:$M$46</definedName>
    <definedName name="OSRRefD21_1_9x" localSheetId="72">'491'!$D$47:$M$47</definedName>
    <definedName name="OSRRefD21_1_9x" localSheetId="85">'492'!$D$48:$M$48</definedName>
    <definedName name="OSRRefD21_1_9x" localSheetId="92">'501'!$D$40:$M$40</definedName>
    <definedName name="OSRRefD21_1_9x" localSheetId="39">'Div 2'!$D$40:$M$40</definedName>
    <definedName name="OSRRefD21_1_9x" localSheetId="47">'Div 3'!$D$79:$M$79</definedName>
    <definedName name="OSRRefD21_1_9x" localSheetId="70">'Div 4'!$D$50:$M$50</definedName>
    <definedName name="OSRRefD21_1_9x" localSheetId="91">'Div 5'!$D$40:$M$40</definedName>
    <definedName name="OSRRefD21_1_9x" localSheetId="61">'Div 6'!$D$54:$M$54</definedName>
    <definedName name="OSRRefD21_1_9x" localSheetId="2">Summary!$D$87:$M$87</definedName>
    <definedName name="OSRRefD21_10_0x" localSheetId="41">'201'!$D$58:$M$58</definedName>
    <definedName name="OSRRefD21_10_0x" localSheetId="42">'202'!$D$59:$M$59</definedName>
    <definedName name="OSRRefD21_10_0x" localSheetId="43">'203'!$D$60:$M$60</definedName>
    <definedName name="OSRRefD21_10_0x" localSheetId="48">'300'!$D$93:$M$93</definedName>
    <definedName name="OSRRefD21_10_0x" localSheetId="49">'300 &amp; 317'!$D$99:$M$99</definedName>
    <definedName name="OSRRefD21_10_0x" localSheetId="50">'301'!$D$60:$M$60</definedName>
    <definedName name="OSRRefD21_10_0x" localSheetId="55">'307'!$D$71:$M$71</definedName>
    <definedName name="OSRRefD21_10_0x" localSheetId="51">'308'!$D$75:$M$75</definedName>
    <definedName name="OSRRefD21_10_0x" localSheetId="64">'309'!$D$49:$M$49</definedName>
    <definedName name="OSRRefD21_10_0x" localSheetId="63">'310'!$D$67:$M$67</definedName>
    <definedName name="OSRRefD21_10_0x" localSheetId="71">'310 &amp; 491'!$D$67:$M$67</definedName>
    <definedName name="OSRRefD21_10_0x" localSheetId="52">'311'!$D$75:$M$75</definedName>
    <definedName name="OSRRefD21_10_0x" localSheetId="57">'315'!$D$81:$M$81</definedName>
    <definedName name="OSRRefD21_10_0x" localSheetId="60">'316'!$D$65:$M$65</definedName>
    <definedName name="OSRRefD21_10_0x" localSheetId="62">'317'!$D$73:$M$73</definedName>
    <definedName name="OSRRefD21_10_0x" localSheetId="66">'321'!$D$65:$M$65</definedName>
    <definedName name="OSRRefD21_10_0x" localSheetId="68">'325'!$D$62:$M$62</definedName>
    <definedName name="OSRRefD21_10_0x" localSheetId="58">'326'!$D$64:$M$64</definedName>
    <definedName name="OSRRefD21_10_0x" localSheetId="56">'331'!$D$81:$M$81</definedName>
    <definedName name="OSRRefD21_10_0x" localSheetId="59">'332'!$D$65:$M$65</definedName>
    <definedName name="OSRRefD21_10_0x" localSheetId="54">'333'!$D$83:$M$83</definedName>
    <definedName name="OSRRefD21_10_0x" localSheetId="73">'405'!$D$65:$M$65</definedName>
    <definedName name="OSRRefD21_10_0x" localSheetId="75">'411'!$D$60:$M$60</definedName>
    <definedName name="OSRRefD21_10_0x" localSheetId="79">'415'!$D$65:$M$65</definedName>
    <definedName name="OSRRefD21_10_0x" localSheetId="80">'418'!$D$64:$M$64</definedName>
    <definedName name="OSRRefD21_10_0x" localSheetId="87">'433'!$D$64:$M$64</definedName>
    <definedName name="OSRRefD21_10_0x" localSheetId="89">'444'!$D$64:$M$64</definedName>
    <definedName name="OSRRefD21_10_0x" localSheetId="90">'450'!$D$64:$M$64</definedName>
    <definedName name="OSRRefD21_10_0x" localSheetId="72">'491'!$D$66:$M$66</definedName>
    <definedName name="OSRRefD21_10_0x" localSheetId="85">'492'!$D$66:$M$66</definedName>
    <definedName name="OSRRefD21_10_0x" localSheetId="92">'501'!$D$61:$M$61</definedName>
    <definedName name="OSRRefD21_10_0x" localSheetId="39">'Div 2'!$D$59:$M$59</definedName>
    <definedName name="OSRRefD21_10_0x" localSheetId="47">'Div 3'!$D$99:$M$99</definedName>
    <definedName name="OSRRefD21_10_0x" localSheetId="70">'Div 4'!$D$69:$M$69</definedName>
    <definedName name="OSRRefD21_10_0x" localSheetId="91">'Div 5'!$D$61:$M$61</definedName>
    <definedName name="OSRRefD21_10_0x" localSheetId="61">'Div 6'!$D$73:$M$73</definedName>
    <definedName name="OSRRefD21_10_0x" localSheetId="2">Summary!$D$107:$M$107</definedName>
    <definedName name="OSRRefD21_10_1x" localSheetId="41">'201'!$D$59:$M$59</definedName>
    <definedName name="OSRRefD21_10_1x" localSheetId="43">'203'!$D$61:$M$61</definedName>
    <definedName name="OSRRefD21_10_1x" localSheetId="48">'300'!$D$94:$M$94</definedName>
    <definedName name="OSRRefD21_10_1x" localSheetId="49">'300 &amp; 317'!$D$100:$M$100</definedName>
    <definedName name="OSRRefD21_10_1x" localSheetId="55">'307'!$D$72:$M$72</definedName>
    <definedName name="OSRRefD21_10_1x" localSheetId="51">'308'!$D$76:$M$76</definedName>
    <definedName name="OSRRefD21_10_1x" localSheetId="64">'309'!$D$50:$M$50</definedName>
    <definedName name="OSRRefD21_10_1x" localSheetId="52">'311'!$D$76:$M$76</definedName>
    <definedName name="OSRRefD21_10_1x" localSheetId="60">'316'!$D$66:$M$66</definedName>
    <definedName name="OSRRefD21_10_1x" localSheetId="66">'321'!$D$66:$M$66</definedName>
    <definedName name="OSRRefD21_10_1x" localSheetId="59">'332'!$D$66:$M$66</definedName>
    <definedName name="OSRRefD21_10_1x" localSheetId="73">'405'!$D$66:$M$66</definedName>
    <definedName name="OSRRefD21_10_1x" localSheetId="47">'Div 3'!$D$100:$M$100</definedName>
    <definedName name="OSRRefD21_10_1x" localSheetId="2">Summary!$D$108:$M$108</definedName>
    <definedName name="OSRRefD21_10_2x" localSheetId="60">'316'!$D$67:$M$67</definedName>
    <definedName name="OSRRefD21_10_2x" localSheetId="66">'321'!$D$67:$M$67</definedName>
    <definedName name="OSRRefD21_10_2x" localSheetId="59">'332'!$D$67:$M$67</definedName>
    <definedName name="OSRRefD21_10_2x" localSheetId="73">'405'!$D$67:$M$67</definedName>
    <definedName name="OSRRefD21_10_3x" localSheetId="60">'316'!$D$68:$M$68</definedName>
    <definedName name="OSRRefD21_10_3x" localSheetId="66">'321'!$D$68:$M$68</definedName>
    <definedName name="OSRRefD21_10_3x" localSheetId="59">'332'!$D$68:$M$68</definedName>
    <definedName name="OSRRefD21_10_4x" localSheetId="60">'316'!$D$69:$M$69</definedName>
    <definedName name="OSRRefD21_10_4x" localSheetId="59">'332'!$D$69:$M$69</definedName>
    <definedName name="OSRRefD21_10x_0" localSheetId="41">'201'!$D$58:$D$59</definedName>
    <definedName name="OSRRefD21_10x_0" localSheetId="42">'202'!$D$59</definedName>
    <definedName name="OSRRefD21_10x_0" localSheetId="43">'203'!$D$60:$D$61</definedName>
    <definedName name="OSRRefD21_10x_0" localSheetId="48">'300'!$D$93:$D$94</definedName>
    <definedName name="OSRRefD21_10x_0" localSheetId="49">'300 &amp; 317'!$D$99:$D$100</definedName>
    <definedName name="OSRRefD21_10x_0" localSheetId="50">'301'!$D$60</definedName>
    <definedName name="OSRRefD21_10x_0" localSheetId="55">'307'!$D$71:$D$72</definedName>
    <definedName name="OSRRefD21_10x_0" localSheetId="51">'308'!$D$75:$D$76</definedName>
    <definedName name="OSRRefD21_10x_0" localSheetId="64">'309'!$D$49:$D$50</definedName>
    <definedName name="OSRRefD21_10x_0" localSheetId="63">'310'!$D$67</definedName>
    <definedName name="OSRRefD21_10x_0" localSheetId="71">'310 &amp; 491'!$D$67</definedName>
    <definedName name="OSRRefD21_10x_0" localSheetId="52">'311'!$D$75:$D$76</definedName>
    <definedName name="OSRRefD21_10x_0" localSheetId="57">'315'!$D$81</definedName>
    <definedName name="OSRRefD21_10x_0" localSheetId="60">'316'!$D$65:$D$69</definedName>
    <definedName name="OSRRefD21_10x_0" localSheetId="62">'317'!$D$73</definedName>
    <definedName name="OSRRefD21_10x_0" localSheetId="66">'321'!$D$65:$D$68</definedName>
    <definedName name="OSRRefD21_10x_0" localSheetId="68">'325'!$D$62</definedName>
    <definedName name="OSRRefD21_10x_0" localSheetId="58">'326'!$D$64</definedName>
    <definedName name="OSRRefD21_10x_0" localSheetId="56">'331'!$D$81</definedName>
    <definedName name="OSRRefD21_10x_0" localSheetId="59">'332'!$D$65:$D$69</definedName>
    <definedName name="OSRRefD21_10x_0" localSheetId="54">'333'!$D$83</definedName>
    <definedName name="OSRRefD21_10x_0" localSheetId="73">'405'!$D$65:$D$67</definedName>
    <definedName name="OSRRefD21_10x_0" localSheetId="75">'411'!$D$60</definedName>
    <definedName name="OSRRefD21_10x_0" localSheetId="79">'415'!$D$65</definedName>
    <definedName name="OSRRefD21_10x_0" localSheetId="80">'418'!$D$64</definedName>
    <definedName name="OSRRefD21_10x_0" localSheetId="87">'433'!$D$64</definedName>
    <definedName name="OSRRefD21_10x_0" localSheetId="89">'444'!$D$64</definedName>
    <definedName name="OSRRefD21_10x_0" localSheetId="90">'450'!$D$64</definedName>
    <definedName name="OSRRefD21_10x_0" localSheetId="72">'491'!$D$66</definedName>
    <definedName name="OSRRefD21_10x_0" localSheetId="85">'492'!$D$66</definedName>
    <definedName name="OSRRefD21_10x_0" localSheetId="92">'501'!$D$61</definedName>
    <definedName name="OSRRefD21_10x_0" localSheetId="39">'Div 2'!$D$59</definedName>
    <definedName name="OSRRefD21_10x_0" localSheetId="47">'Div 3'!$D$99:$D$100</definedName>
    <definedName name="OSRRefD21_10x_0" localSheetId="70">'Div 4'!$D$69</definedName>
    <definedName name="OSRRefD21_10x_0" localSheetId="91">'Div 5'!$D$61</definedName>
    <definedName name="OSRRefD21_10x_0" localSheetId="61">'Div 6'!$D$73</definedName>
    <definedName name="OSRRefD21_10x_0" localSheetId="2">Summary!$D$107:$D$108</definedName>
    <definedName name="OSRRefD21_10x_1" localSheetId="41">'201'!$E$58:$E$59</definedName>
    <definedName name="OSRRefD21_10x_1" localSheetId="42">'202'!$E$59</definedName>
    <definedName name="OSRRefD21_10x_1" localSheetId="43">'203'!$E$60:$E$61</definedName>
    <definedName name="OSRRefD21_10x_1" localSheetId="48">'300'!$E$93:$E$94</definedName>
    <definedName name="OSRRefD21_10x_1" localSheetId="49">'300 &amp; 317'!$E$99:$E$100</definedName>
    <definedName name="OSRRefD21_10x_1" localSheetId="50">'301'!$E$60</definedName>
    <definedName name="OSRRefD21_10x_1" localSheetId="55">'307'!$E$71:$E$72</definedName>
    <definedName name="OSRRefD21_10x_1" localSheetId="51">'308'!$E$75:$E$76</definedName>
    <definedName name="OSRRefD21_10x_1" localSheetId="64">'309'!$E$49:$E$50</definedName>
    <definedName name="OSRRefD21_10x_1" localSheetId="63">'310'!$E$67</definedName>
    <definedName name="OSRRefD21_10x_1" localSheetId="71">'310 &amp; 491'!$E$67</definedName>
    <definedName name="OSRRefD21_10x_1" localSheetId="52">'311'!$E$75:$E$76</definedName>
    <definedName name="OSRRefD21_10x_1" localSheetId="57">'315'!$E$81</definedName>
    <definedName name="OSRRefD21_10x_1" localSheetId="60">'316'!$E$65:$E$69</definedName>
    <definedName name="OSRRefD21_10x_1" localSheetId="62">'317'!$E$73</definedName>
    <definedName name="OSRRefD21_10x_1" localSheetId="66">'321'!$E$65:$E$68</definedName>
    <definedName name="OSRRefD21_10x_1" localSheetId="68">'325'!$E$62</definedName>
    <definedName name="OSRRefD21_10x_1" localSheetId="58">'326'!$E$64</definedName>
    <definedName name="OSRRefD21_10x_1" localSheetId="56">'331'!$E$81</definedName>
    <definedName name="OSRRefD21_10x_1" localSheetId="59">'332'!$E$65:$E$69</definedName>
    <definedName name="OSRRefD21_10x_1" localSheetId="54">'333'!$E$83</definedName>
    <definedName name="OSRRefD21_10x_1" localSheetId="73">'405'!$E$65:$E$67</definedName>
    <definedName name="OSRRefD21_10x_1" localSheetId="75">'411'!$E$60</definedName>
    <definedName name="OSRRefD21_10x_1" localSheetId="79">'415'!$E$65</definedName>
    <definedName name="OSRRefD21_10x_1" localSheetId="80">'418'!$E$64</definedName>
    <definedName name="OSRRefD21_10x_1" localSheetId="87">'433'!$E$64</definedName>
    <definedName name="OSRRefD21_10x_1" localSheetId="89">'444'!$E$64</definedName>
    <definedName name="OSRRefD21_10x_1" localSheetId="90">'450'!$E$64</definedName>
    <definedName name="OSRRefD21_10x_1" localSheetId="72">'491'!$E$66</definedName>
    <definedName name="OSRRefD21_10x_1" localSheetId="85">'492'!$E$66</definedName>
    <definedName name="OSRRefD21_10x_1" localSheetId="92">'501'!$E$61</definedName>
    <definedName name="OSRRefD21_10x_1" localSheetId="39">'Div 2'!$E$59</definedName>
    <definedName name="OSRRefD21_10x_1" localSheetId="47">'Div 3'!$E$99:$E$100</definedName>
    <definedName name="OSRRefD21_10x_1" localSheetId="70">'Div 4'!$E$69</definedName>
    <definedName name="OSRRefD21_10x_1" localSheetId="91">'Div 5'!$E$61</definedName>
    <definedName name="OSRRefD21_10x_1" localSheetId="61">'Div 6'!$E$73</definedName>
    <definedName name="OSRRefD21_10x_1" localSheetId="2">Summary!$E$107:$E$108</definedName>
    <definedName name="OSRRefD21_10x_2" localSheetId="41">'201'!$F$58:$F$59</definedName>
    <definedName name="OSRRefD21_10x_2" localSheetId="42">'202'!$F$59</definedName>
    <definedName name="OSRRefD21_10x_2" localSheetId="43">'203'!$F$60:$F$61</definedName>
    <definedName name="OSRRefD21_10x_2" localSheetId="48">'300'!$F$93:$F$94</definedName>
    <definedName name="OSRRefD21_10x_2" localSheetId="49">'300 &amp; 317'!$F$99:$F$100</definedName>
    <definedName name="OSRRefD21_10x_2" localSheetId="50">'301'!$F$60</definedName>
    <definedName name="OSRRefD21_10x_2" localSheetId="55">'307'!$F$71:$F$72</definedName>
    <definedName name="OSRRefD21_10x_2" localSheetId="51">'308'!$F$75:$F$76</definedName>
    <definedName name="OSRRefD21_10x_2" localSheetId="64">'309'!$F$49:$F$50</definedName>
    <definedName name="OSRRefD21_10x_2" localSheetId="63">'310'!$F$67</definedName>
    <definedName name="OSRRefD21_10x_2" localSheetId="71">'310 &amp; 491'!$F$67</definedName>
    <definedName name="OSRRefD21_10x_2" localSheetId="52">'311'!$F$75:$F$76</definedName>
    <definedName name="OSRRefD21_10x_2" localSheetId="57">'315'!$F$81</definedName>
    <definedName name="OSRRefD21_10x_2" localSheetId="60">'316'!$F$65:$F$69</definedName>
    <definedName name="OSRRefD21_10x_2" localSheetId="62">'317'!$F$73</definedName>
    <definedName name="OSRRefD21_10x_2" localSheetId="66">'321'!$F$65:$F$68</definedName>
    <definedName name="OSRRefD21_10x_2" localSheetId="68">'325'!$F$62</definedName>
    <definedName name="OSRRefD21_10x_2" localSheetId="58">'326'!$F$64</definedName>
    <definedName name="OSRRefD21_10x_2" localSheetId="56">'331'!$F$81</definedName>
    <definedName name="OSRRefD21_10x_2" localSheetId="59">'332'!$F$65:$F$69</definedName>
    <definedName name="OSRRefD21_10x_2" localSheetId="54">'333'!$F$83</definedName>
    <definedName name="OSRRefD21_10x_2" localSheetId="73">'405'!$F$65:$F$67</definedName>
    <definedName name="OSRRefD21_10x_2" localSheetId="75">'411'!$F$60</definedName>
    <definedName name="OSRRefD21_10x_2" localSheetId="79">'415'!$F$65</definedName>
    <definedName name="OSRRefD21_10x_2" localSheetId="80">'418'!$F$64</definedName>
    <definedName name="OSRRefD21_10x_2" localSheetId="87">'433'!$F$64</definedName>
    <definedName name="OSRRefD21_10x_2" localSheetId="89">'444'!$F$64</definedName>
    <definedName name="OSRRefD21_10x_2" localSheetId="90">'450'!$F$64</definedName>
    <definedName name="OSRRefD21_10x_2" localSheetId="72">'491'!$F$66</definedName>
    <definedName name="OSRRefD21_10x_2" localSheetId="85">'492'!$F$66</definedName>
    <definedName name="OSRRefD21_10x_2" localSheetId="92">'501'!$F$61</definedName>
    <definedName name="OSRRefD21_10x_2" localSheetId="39">'Div 2'!$F$59</definedName>
    <definedName name="OSRRefD21_10x_2" localSheetId="47">'Div 3'!$F$99:$F$100</definedName>
    <definedName name="OSRRefD21_10x_2" localSheetId="70">'Div 4'!$F$69</definedName>
    <definedName name="OSRRefD21_10x_2" localSheetId="91">'Div 5'!$F$61</definedName>
    <definedName name="OSRRefD21_10x_2" localSheetId="61">'Div 6'!$F$73</definedName>
    <definedName name="OSRRefD21_10x_2" localSheetId="2">Summary!$F$107:$F$108</definedName>
    <definedName name="OSRRefD21_10x_3" localSheetId="41">'201'!$G$58:$G$59</definedName>
    <definedName name="OSRRefD21_10x_3" localSheetId="42">'202'!$G$59</definedName>
    <definedName name="OSRRefD21_10x_3" localSheetId="43">'203'!$G$60:$G$61</definedName>
    <definedName name="OSRRefD21_10x_3" localSheetId="48">'300'!$G$93:$G$94</definedName>
    <definedName name="OSRRefD21_10x_3" localSheetId="49">'300 &amp; 317'!$G$99:$G$100</definedName>
    <definedName name="OSRRefD21_10x_3" localSheetId="50">'301'!$G$60</definedName>
    <definedName name="OSRRefD21_10x_3" localSheetId="55">'307'!$G$71:$G$72</definedName>
    <definedName name="OSRRefD21_10x_3" localSheetId="51">'308'!$G$75:$G$76</definedName>
    <definedName name="OSRRefD21_10x_3" localSheetId="64">'309'!$G$49:$G$50</definedName>
    <definedName name="OSRRefD21_10x_3" localSheetId="63">'310'!$G$67</definedName>
    <definedName name="OSRRefD21_10x_3" localSheetId="71">'310 &amp; 491'!$G$67</definedName>
    <definedName name="OSRRefD21_10x_3" localSheetId="52">'311'!$G$75:$G$76</definedName>
    <definedName name="OSRRefD21_10x_3" localSheetId="57">'315'!$G$81</definedName>
    <definedName name="OSRRefD21_10x_3" localSheetId="60">'316'!$G$65:$G$69</definedName>
    <definedName name="OSRRefD21_10x_3" localSheetId="62">'317'!$G$73</definedName>
    <definedName name="OSRRefD21_10x_3" localSheetId="66">'321'!$G$65:$G$68</definedName>
    <definedName name="OSRRefD21_10x_3" localSheetId="68">'325'!$G$62</definedName>
    <definedName name="OSRRefD21_10x_3" localSheetId="58">'326'!$G$64</definedName>
    <definedName name="OSRRefD21_10x_3" localSheetId="56">'331'!$G$81</definedName>
    <definedName name="OSRRefD21_10x_3" localSheetId="59">'332'!$G$65:$G$69</definedName>
    <definedName name="OSRRefD21_10x_3" localSheetId="54">'333'!$G$83</definedName>
    <definedName name="OSRRefD21_10x_3" localSheetId="73">'405'!$G$65:$G$67</definedName>
    <definedName name="OSRRefD21_10x_3" localSheetId="75">'411'!$G$60</definedName>
    <definedName name="OSRRefD21_10x_3" localSheetId="79">'415'!$G$65</definedName>
    <definedName name="OSRRefD21_10x_3" localSheetId="80">'418'!$G$64</definedName>
    <definedName name="OSRRefD21_10x_3" localSheetId="87">'433'!$G$64</definedName>
    <definedName name="OSRRefD21_10x_3" localSheetId="89">'444'!$G$64</definedName>
    <definedName name="OSRRefD21_10x_3" localSheetId="90">'450'!$G$64</definedName>
    <definedName name="OSRRefD21_10x_3" localSheetId="72">'491'!$G$66</definedName>
    <definedName name="OSRRefD21_10x_3" localSheetId="85">'492'!$G$66</definedName>
    <definedName name="OSRRefD21_10x_3" localSheetId="92">'501'!$G$61</definedName>
    <definedName name="OSRRefD21_10x_3" localSheetId="39">'Div 2'!$G$59</definedName>
    <definedName name="OSRRefD21_10x_3" localSheetId="47">'Div 3'!$G$99:$G$100</definedName>
    <definedName name="OSRRefD21_10x_3" localSheetId="70">'Div 4'!$G$69</definedName>
    <definedName name="OSRRefD21_10x_3" localSheetId="91">'Div 5'!$G$61</definedName>
    <definedName name="OSRRefD21_10x_3" localSheetId="61">'Div 6'!$G$73</definedName>
    <definedName name="OSRRefD21_10x_3" localSheetId="2">Summary!$G$107:$G$108</definedName>
    <definedName name="OSRRefD21_10x_4" localSheetId="41">'201'!$H$58:$H$59</definedName>
    <definedName name="OSRRefD21_10x_4" localSheetId="42">'202'!$H$59</definedName>
    <definedName name="OSRRefD21_10x_4" localSheetId="43">'203'!$H$60:$H$61</definedName>
    <definedName name="OSRRefD21_10x_4" localSheetId="48">'300'!$H$93:$H$94</definedName>
    <definedName name="OSRRefD21_10x_4" localSheetId="49">'300 &amp; 317'!$H$99:$H$100</definedName>
    <definedName name="OSRRefD21_10x_4" localSheetId="50">'301'!$H$60</definedName>
    <definedName name="OSRRefD21_10x_4" localSheetId="55">'307'!$H$71:$H$72</definedName>
    <definedName name="OSRRefD21_10x_4" localSheetId="51">'308'!$H$75:$H$76</definedName>
    <definedName name="OSRRefD21_10x_4" localSheetId="64">'309'!$H$49:$H$50</definedName>
    <definedName name="OSRRefD21_10x_4" localSheetId="63">'310'!$H$67</definedName>
    <definedName name="OSRRefD21_10x_4" localSheetId="71">'310 &amp; 491'!$H$67</definedName>
    <definedName name="OSRRefD21_10x_4" localSheetId="52">'311'!$H$75:$H$76</definedName>
    <definedName name="OSRRefD21_10x_4" localSheetId="57">'315'!$H$81</definedName>
    <definedName name="OSRRefD21_10x_4" localSheetId="60">'316'!$H$65:$H$69</definedName>
    <definedName name="OSRRefD21_10x_4" localSheetId="62">'317'!$H$73</definedName>
    <definedName name="OSRRefD21_10x_4" localSheetId="66">'321'!$H$65:$H$68</definedName>
    <definedName name="OSRRefD21_10x_4" localSheetId="68">'325'!$H$62</definedName>
    <definedName name="OSRRefD21_10x_4" localSheetId="58">'326'!$H$64</definedName>
    <definedName name="OSRRefD21_10x_4" localSheetId="56">'331'!$H$81</definedName>
    <definedName name="OSRRefD21_10x_4" localSheetId="59">'332'!$H$65:$H$69</definedName>
    <definedName name="OSRRefD21_10x_4" localSheetId="54">'333'!$H$83</definedName>
    <definedName name="OSRRefD21_10x_4" localSheetId="73">'405'!$H$65:$H$67</definedName>
    <definedName name="OSRRefD21_10x_4" localSheetId="75">'411'!$H$60</definedName>
    <definedName name="OSRRefD21_10x_4" localSheetId="79">'415'!$H$65</definedName>
    <definedName name="OSRRefD21_10x_4" localSheetId="80">'418'!$H$64</definedName>
    <definedName name="OSRRefD21_10x_4" localSheetId="87">'433'!$H$64</definedName>
    <definedName name="OSRRefD21_10x_4" localSheetId="89">'444'!$H$64</definedName>
    <definedName name="OSRRefD21_10x_4" localSheetId="90">'450'!$H$64</definedName>
    <definedName name="OSRRefD21_10x_4" localSheetId="72">'491'!$H$66</definedName>
    <definedName name="OSRRefD21_10x_4" localSheetId="85">'492'!$H$66</definedName>
    <definedName name="OSRRefD21_10x_4" localSheetId="92">'501'!$H$61</definedName>
    <definedName name="OSRRefD21_10x_4" localSheetId="39">'Div 2'!$H$59</definedName>
    <definedName name="OSRRefD21_10x_4" localSheetId="47">'Div 3'!$H$99:$H$100</definedName>
    <definedName name="OSRRefD21_10x_4" localSheetId="70">'Div 4'!$H$69</definedName>
    <definedName name="OSRRefD21_10x_4" localSheetId="91">'Div 5'!$H$61</definedName>
    <definedName name="OSRRefD21_10x_4" localSheetId="61">'Div 6'!$H$73</definedName>
    <definedName name="OSRRefD21_10x_4" localSheetId="2">Summary!$H$107:$H$108</definedName>
    <definedName name="OSRRefD21_10x_5" localSheetId="41">'201'!$I$58:$I$59</definedName>
    <definedName name="OSRRefD21_10x_5" localSheetId="42">'202'!$I$59</definedName>
    <definedName name="OSRRefD21_10x_5" localSheetId="43">'203'!$I$60:$I$61</definedName>
    <definedName name="OSRRefD21_10x_5" localSheetId="48">'300'!$I$93:$I$94</definedName>
    <definedName name="OSRRefD21_10x_5" localSheetId="49">'300 &amp; 317'!$I$99:$I$100</definedName>
    <definedName name="OSRRefD21_10x_5" localSheetId="50">'301'!$I$60</definedName>
    <definedName name="OSRRefD21_10x_5" localSheetId="55">'307'!$I$71:$I$72</definedName>
    <definedName name="OSRRefD21_10x_5" localSheetId="51">'308'!$I$75:$I$76</definedName>
    <definedName name="OSRRefD21_10x_5" localSheetId="64">'309'!$I$49:$I$50</definedName>
    <definedName name="OSRRefD21_10x_5" localSheetId="63">'310'!$I$67</definedName>
    <definedName name="OSRRefD21_10x_5" localSheetId="71">'310 &amp; 491'!$I$67</definedName>
    <definedName name="OSRRefD21_10x_5" localSheetId="52">'311'!$I$75:$I$76</definedName>
    <definedName name="OSRRefD21_10x_5" localSheetId="57">'315'!$I$81</definedName>
    <definedName name="OSRRefD21_10x_5" localSheetId="60">'316'!$I$65:$I$69</definedName>
    <definedName name="OSRRefD21_10x_5" localSheetId="62">'317'!$I$73</definedName>
    <definedName name="OSRRefD21_10x_5" localSheetId="66">'321'!$I$65:$I$68</definedName>
    <definedName name="OSRRefD21_10x_5" localSheetId="68">'325'!$I$62</definedName>
    <definedName name="OSRRefD21_10x_5" localSheetId="58">'326'!$I$64</definedName>
    <definedName name="OSRRefD21_10x_5" localSheetId="56">'331'!$I$81</definedName>
    <definedName name="OSRRefD21_10x_5" localSheetId="59">'332'!$I$65:$I$69</definedName>
    <definedName name="OSRRefD21_10x_5" localSheetId="54">'333'!$I$83</definedName>
    <definedName name="OSRRefD21_10x_5" localSheetId="73">'405'!$I$65:$I$67</definedName>
    <definedName name="OSRRefD21_10x_5" localSheetId="75">'411'!$I$60</definedName>
    <definedName name="OSRRefD21_10x_5" localSheetId="79">'415'!$I$65</definedName>
    <definedName name="OSRRefD21_10x_5" localSheetId="80">'418'!$I$64</definedName>
    <definedName name="OSRRefD21_10x_5" localSheetId="87">'433'!$I$64</definedName>
    <definedName name="OSRRefD21_10x_5" localSheetId="89">'444'!$I$64</definedName>
    <definedName name="OSRRefD21_10x_5" localSheetId="90">'450'!$I$64</definedName>
    <definedName name="OSRRefD21_10x_5" localSheetId="72">'491'!$I$66</definedName>
    <definedName name="OSRRefD21_10x_5" localSheetId="85">'492'!$I$66</definedName>
    <definedName name="OSRRefD21_10x_5" localSheetId="92">'501'!$I$61</definedName>
    <definedName name="OSRRefD21_10x_5" localSheetId="39">'Div 2'!$I$59</definedName>
    <definedName name="OSRRefD21_10x_5" localSheetId="47">'Div 3'!$I$99:$I$100</definedName>
    <definedName name="OSRRefD21_10x_5" localSheetId="70">'Div 4'!$I$69</definedName>
    <definedName name="OSRRefD21_10x_5" localSheetId="91">'Div 5'!$I$61</definedName>
    <definedName name="OSRRefD21_10x_5" localSheetId="61">'Div 6'!$I$73</definedName>
    <definedName name="OSRRefD21_10x_5" localSheetId="2">Summary!$I$107:$I$108</definedName>
    <definedName name="OSRRefD21_10x_6" localSheetId="41">'201'!$J$58:$J$59</definedName>
    <definedName name="OSRRefD21_10x_6" localSheetId="42">'202'!$J$59</definedName>
    <definedName name="OSRRefD21_10x_6" localSheetId="43">'203'!$J$60:$J$61</definedName>
    <definedName name="OSRRefD21_10x_6" localSheetId="48">'300'!$J$93:$J$94</definedName>
    <definedName name="OSRRefD21_10x_6" localSheetId="49">'300 &amp; 317'!$J$99:$J$100</definedName>
    <definedName name="OSRRefD21_10x_6" localSheetId="50">'301'!$J$60</definedName>
    <definedName name="OSRRefD21_10x_6" localSheetId="55">'307'!$J$71:$J$72</definedName>
    <definedName name="OSRRefD21_10x_6" localSheetId="51">'308'!$J$75:$J$76</definedName>
    <definedName name="OSRRefD21_10x_6" localSheetId="64">'309'!$J$49:$J$50</definedName>
    <definedName name="OSRRefD21_10x_6" localSheetId="63">'310'!$J$67</definedName>
    <definedName name="OSRRefD21_10x_6" localSheetId="71">'310 &amp; 491'!$J$67</definedName>
    <definedName name="OSRRefD21_10x_6" localSheetId="52">'311'!$J$75:$J$76</definedName>
    <definedName name="OSRRefD21_10x_6" localSheetId="57">'315'!$J$81</definedName>
    <definedName name="OSRRefD21_10x_6" localSheetId="60">'316'!$J$65:$J$69</definedName>
    <definedName name="OSRRefD21_10x_6" localSheetId="62">'317'!$J$73</definedName>
    <definedName name="OSRRefD21_10x_6" localSheetId="66">'321'!$J$65:$J$68</definedName>
    <definedName name="OSRRefD21_10x_6" localSheetId="68">'325'!$J$62</definedName>
    <definedName name="OSRRefD21_10x_6" localSheetId="58">'326'!$J$64</definedName>
    <definedName name="OSRRefD21_10x_6" localSheetId="56">'331'!$J$81</definedName>
    <definedName name="OSRRefD21_10x_6" localSheetId="59">'332'!$J$65:$J$69</definedName>
    <definedName name="OSRRefD21_10x_6" localSheetId="54">'333'!$J$83</definedName>
    <definedName name="OSRRefD21_10x_6" localSheetId="73">'405'!$J$65:$J$67</definedName>
    <definedName name="OSRRefD21_10x_6" localSheetId="75">'411'!$J$60</definedName>
    <definedName name="OSRRefD21_10x_6" localSheetId="79">'415'!$J$65</definedName>
    <definedName name="OSRRefD21_10x_6" localSheetId="80">'418'!$J$64</definedName>
    <definedName name="OSRRefD21_10x_6" localSheetId="87">'433'!$J$64</definedName>
    <definedName name="OSRRefD21_10x_6" localSheetId="89">'444'!$J$64</definedName>
    <definedName name="OSRRefD21_10x_6" localSheetId="90">'450'!$J$64</definedName>
    <definedName name="OSRRefD21_10x_6" localSheetId="72">'491'!$J$66</definedName>
    <definedName name="OSRRefD21_10x_6" localSheetId="85">'492'!$J$66</definedName>
    <definedName name="OSRRefD21_10x_6" localSheetId="92">'501'!$J$61</definedName>
    <definedName name="OSRRefD21_10x_6" localSheetId="39">'Div 2'!$J$59</definedName>
    <definedName name="OSRRefD21_10x_6" localSheetId="47">'Div 3'!$J$99:$J$100</definedName>
    <definedName name="OSRRefD21_10x_6" localSheetId="70">'Div 4'!$J$69</definedName>
    <definedName name="OSRRefD21_10x_6" localSheetId="91">'Div 5'!$J$61</definedName>
    <definedName name="OSRRefD21_10x_6" localSheetId="61">'Div 6'!$J$73</definedName>
    <definedName name="OSRRefD21_10x_6" localSheetId="2">Summary!$J$107:$J$108</definedName>
    <definedName name="OSRRefD21_10x_7" localSheetId="41">'201'!$K$58:$K$59</definedName>
    <definedName name="OSRRefD21_10x_7" localSheetId="42">'202'!$K$59</definedName>
    <definedName name="OSRRefD21_10x_7" localSheetId="43">'203'!$K$60:$K$61</definedName>
    <definedName name="OSRRefD21_10x_7" localSheetId="48">'300'!$K$93:$K$94</definedName>
    <definedName name="OSRRefD21_10x_7" localSheetId="49">'300 &amp; 317'!$K$99:$K$100</definedName>
    <definedName name="OSRRefD21_10x_7" localSheetId="50">'301'!$K$60</definedName>
    <definedName name="OSRRefD21_10x_7" localSheetId="55">'307'!$K$71:$K$72</definedName>
    <definedName name="OSRRefD21_10x_7" localSheetId="51">'308'!$K$75:$K$76</definedName>
    <definedName name="OSRRefD21_10x_7" localSheetId="64">'309'!$K$49:$K$50</definedName>
    <definedName name="OSRRefD21_10x_7" localSheetId="63">'310'!$K$67</definedName>
    <definedName name="OSRRefD21_10x_7" localSheetId="71">'310 &amp; 491'!$K$67</definedName>
    <definedName name="OSRRefD21_10x_7" localSheetId="52">'311'!$K$75:$K$76</definedName>
    <definedName name="OSRRefD21_10x_7" localSheetId="57">'315'!$K$81</definedName>
    <definedName name="OSRRefD21_10x_7" localSheetId="60">'316'!$K$65:$K$69</definedName>
    <definedName name="OSRRefD21_10x_7" localSheetId="62">'317'!$K$73</definedName>
    <definedName name="OSRRefD21_10x_7" localSheetId="66">'321'!$K$65:$K$68</definedName>
    <definedName name="OSRRefD21_10x_7" localSheetId="68">'325'!$K$62</definedName>
    <definedName name="OSRRefD21_10x_7" localSheetId="58">'326'!$K$64</definedName>
    <definedName name="OSRRefD21_10x_7" localSheetId="56">'331'!$K$81</definedName>
    <definedName name="OSRRefD21_10x_7" localSheetId="59">'332'!$K$65:$K$69</definedName>
    <definedName name="OSRRefD21_10x_7" localSheetId="54">'333'!$K$83</definedName>
    <definedName name="OSRRefD21_10x_7" localSheetId="73">'405'!$K$65:$K$67</definedName>
    <definedName name="OSRRefD21_10x_7" localSheetId="75">'411'!$K$60</definedName>
    <definedName name="OSRRefD21_10x_7" localSheetId="79">'415'!$K$65</definedName>
    <definedName name="OSRRefD21_10x_7" localSheetId="80">'418'!$K$64</definedName>
    <definedName name="OSRRefD21_10x_7" localSheetId="87">'433'!$K$64</definedName>
    <definedName name="OSRRefD21_10x_7" localSheetId="89">'444'!$K$64</definedName>
    <definedName name="OSRRefD21_10x_7" localSheetId="90">'450'!$K$64</definedName>
    <definedName name="OSRRefD21_10x_7" localSheetId="72">'491'!$K$66</definedName>
    <definedName name="OSRRefD21_10x_7" localSheetId="85">'492'!$K$66</definedName>
    <definedName name="OSRRefD21_10x_7" localSheetId="92">'501'!$K$61</definedName>
    <definedName name="OSRRefD21_10x_7" localSheetId="39">'Div 2'!$K$59</definedName>
    <definedName name="OSRRefD21_10x_7" localSheetId="47">'Div 3'!$K$99:$K$100</definedName>
    <definedName name="OSRRefD21_10x_7" localSheetId="70">'Div 4'!$K$69</definedName>
    <definedName name="OSRRefD21_10x_7" localSheetId="91">'Div 5'!$K$61</definedName>
    <definedName name="OSRRefD21_10x_7" localSheetId="61">'Div 6'!$K$73</definedName>
    <definedName name="OSRRefD21_10x_7" localSheetId="2">Summary!$K$107:$K$108</definedName>
    <definedName name="OSRRefD21_10x_8" localSheetId="41">'201'!$L$58:$L$59</definedName>
    <definedName name="OSRRefD21_10x_8" localSheetId="42">'202'!$L$59</definedName>
    <definedName name="OSRRefD21_10x_8" localSheetId="43">'203'!$L$60:$L$61</definedName>
    <definedName name="OSRRefD21_10x_8" localSheetId="48">'300'!$L$93:$L$94</definedName>
    <definedName name="OSRRefD21_10x_8" localSheetId="49">'300 &amp; 317'!$L$99:$L$100</definedName>
    <definedName name="OSRRefD21_10x_8" localSheetId="50">'301'!$L$60</definedName>
    <definedName name="OSRRefD21_10x_8" localSheetId="55">'307'!$L$71:$L$72</definedName>
    <definedName name="OSRRefD21_10x_8" localSheetId="51">'308'!$L$75:$L$76</definedName>
    <definedName name="OSRRefD21_10x_8" localSheetId="64">'309'!$L$49:$L$50</definedName>
    <definedName name="OSRRefD21_10x_8" localSheetId="63">'310'!$L$67</definedName>
    <definedName name="OSRRefD21_10x_8" localSheetId="71">'310 &amp; 491'!$L$67</definedName>
    <definedName name="OSRRefD21_10x_8" localSheetId="52">'311'!$L$75:$L$76</definedName>
    <definedName name="OSRRefD21_10x_8" localSheetId="57">'315'!$L$81</definedName>
    <definedName name="OSRRefD21_10x_8" localSheetId="60">'316'!$L$65:$L$69</definedName>
    <definedName name="OSRRefD21_10x_8" localSheetId="62">'317'!$L$73</definedName>
    <definedName name="OSRRefD21_10x_8" localSheetId="66">'321'!$L$65:$L$68</definedName>
    <definedName name="OSRRefD21_10x_8" localSheetId="68">'325'!$L$62</definedName>
    <definedName name="OSRRefD21_10x_8" localSheetId="58">'326'!$L$64</definedName>
    <definedName name="OSRRefD21_10x_8" localSheetId="56">'331'!$L$81</definedName>
    <definedName name="OSRRefD21_10x_8" localSheetId="59">'332'!$L$65:$L$69</definedName>
    <definedName name="OSRRefD21_10x_8" localSheetId="54">'333'!$L$83</definedName>
    <definedName name="OSRRefD21_10x_8" localSheetId="73">'405'!$L$65:$L$67</definedName>
    <definedName name="OSRRefD21_10x_8" localSheetId="75">'411'!$L$60</definedName>
    <definedName name="OSRRefD21_10x_8" localSheetId="79">'415'!$L$65</definedName>
    <definedName name="OSRRefD21_10x_8" localSheetId="80">'418'!$L$64</definedName>
    <definedName name="OSRRefD21_10x_8" localSheetId="87">'433'!$L$64</definedName>
    <definedName name="OSRRefD21_10x_8" localSheetId="89">'444'!$L$64</definedName>
    <definedName name="OSRRefD21_10x_8" localSheetId="90">'450'!$L$64</definedName>
    <definedName name="OSRRefD21_10x_8" localSheetId="72">'491'!$L$66</definedName>
    <definedName name="OSRRefD21_10x_8" localSheetId="85">'492'!$L$66</definedName>
    <definedName name="OSRRefD21_10x_8" localSheetId="92">'501'!$L$61</definedName>
    <definedName name="OSRRefD21_10x_8" localSheetId="39">'Div 2'!$L$59</definedName>
    <definedName name="OSRRefD21_10x_8" localSheetId="47">'Div 3'!$L$99:$L$100</definedName>
    <definedName name="OSRRefD21_10x_8" localSheetId="70">'Div 4'!$L$69</definedName>
    <definedName name="OSRRefD21_10x_8" localSheetId="91">'Div 5'!$L$61</definedName>
    <definedName name="OSRRefD21_10x_8" localSheetId="61">'Div 6'!$L$73</definedName>
    <definedName name="OSRRefD21_10x_8" localSheetId="2">Summary!$L$107:$L$108</definedName>
    <definedName name="OSRRefD21_10x_9" localSheetId="41">'201'!$M$58:$M$59</definedName>
    <definedName name="OSRRefD21_10x_9" localSheetId="42">'202'!$M$59</definedName>
    <definedName name="OSRRefD21_10x_9" localSheetId="43">'203'!$M$60:$M$61</definedName>
    <definedName name="OSRRefD21_10x_9" localSheetId="48">'300'!$M$93:$M$94</definedName>
    <definedName name="OSRRefD21_10x_9" localSheetId="49">'300 &amp; 317'!$M$99:$M$100</definedName>
    <definedName name="OSRRefD21_10x_9" localSheetId="50">'301'!$M$60</definedName>
    <definedName name="OSRRefD21_10x_9" localSheetId="55">'307'!$M$71:$M$72</definedName>
    <definedName name="OSRRefD21_10x_9" localSheetId="51">'308'!$M$75:$M$76</definedName>
    <definedName name="OSRRefD21_10x_9" localSheetId="64">'309'!$M$49:$M$50</definedName>
    <definedName name="OSRRefD21_10x_9" localSheetId="63">'310'!$M$67</definedName>
    <definedName name="OSRRefD21_10x_9" localSheetId="71">'310 &amp; 491'!$M$67</definedName>
    <definedName name="OSRRefD21_10x_9" localSheetId="52">'311'!$M$75:$M$76</definedName>
    <definedName name="OSRRefD21_10x_9" localSheetId="57">'315'!$M$81</definedName>
    <definedName name="OSRRefD21_10x_9" localSheetId="60">'316'!$M$65:$M$69</definedName>
    <definedName name="OSRRefD21_10x_9" localSheetId="62">'317'!$M$73</definedName>
    <definedName name="OSRRefD21_10x_9" localSheetId="66">'321'!$M$65:$M$68</definedName>
    <definedName name="OSRRefD21_10x_9" localSheetId="68">'325'!$M$62</definedName>
    <definedName name="OSRRefD21_10x_9" localSheetId="58">'326'!$M$64</definedName>
    <definedName name="OSRRefD21_10x_9" localSheetId="56">'331'!$M$81</definedName>
    <definedName name="OSRRefD21_10x_9" localSheetId="59">'332'!$M$65:$M$69</definedName>
    <definedName name="OSRRefD21_10x_9" localSheetId="54">'333'!$M$83</definedName>
    <definedName name="OSRRefD21_10x_9" localSheetId="73">'405'!$M$65:$M$67</definedName>
    <definedName name="OSRRefD21_10x_9" localSheetId="75">'411'!$M$60</definedName>
    <definedName name="OSRRefD21_10x_9" localSheetId="79">'415'!$M$65</definedName>
    <definedName name="OSRRefD21_10x_9" localSheetId="80">'418'!$M$64</definedName>
    <definedName name="OSRRefD21_10x_9" localSheetId="87">'433'!$M$64</definedName>
    <definedName name="OSRRefD21_10x_9" localSheetId="89">'444'!$M$64</definedName>
    <definedName name="OSRRefD21_10x_9" localSheetId="90">'450'!$M$64</definedName>
    <definedName name="OSRRefD21_10x_9" localSheetId="72">'491'!$M$66</definedName>
    <definedName name="OSRRefD21_10x_9" localSheetId="85">'492'!$M$66</definedName>
    <definedName name="OSRRefD21_10x_9" localSheetId="92">'501'!$M$61</definedName>
    <definedName name="OSRRefD21_10x_9" localSheetId="39">'Div 2'!$M$59</definedName>
    <definedName name="OSRRefD21_10x_9" localSheetId="47">'Div 3'!$M$99:$M$100</definedName>
    <definedName name="OSRRefD21_10x_9" localSheetId="70">'Div 4'!$M$69</definedName>
    <definedName name="OSRRefD21_10x_9" localSheetId="91">'Div 5'!$M$61</definedName>
    <definedName name="OSRRefD21_10x_9" localSheetId="61">'Div 6'!$M$73</definedName>
    <definedName name="OSRRefD21_10x_9" localSheetId="2">Summary!$M$107:$M$108</definedName>
    <definedName name="OSRRefD21_11_0x" localSheetId="41">'201'!$D$61:$M$61</definedName>
    <definedName name="OSRRefD21_11_0x" localSheetId="42">'202'!$D$61:$M$61</definedName>
    <definedName name="OSRRefD21_11_0x" localSheetId="43">'203'!$D$63:$M$63</definedName>
    <definedName name="OSRRefD21_11_0x" localSheetId="48">'300'!$D$96:$M$96</definedName>
    <definedName name="OSRRefD21_11_0x" localSheetId="49">'300 &amp; 317'!$D$102:$M$102</definedName>
    <definedName name="OSRRefD21_11_0x" localSheetId="50">'301'!$D$62:$M$62</definedName>
    <definedName name="OSRRefD21_11_0x" localSheetId="55">'307'!$D$74:$M$74</definedName>
    <definedName name="OSRRefD21_11_0x" localSheetId="51">'308'!$D$78:$M$78</definedName>
    <definedName name="OSRRefD21_11_0x" localSheetId="64">'309'!$D$52:$M$52</definedName>
    <definedName name="OSRRefD21_11_0x" localSheetId="63">'310'!$D$69:$M$69</definedName>
    <definedName name="OSRRefD21_11_0x" localSheetId="71">'310 &amp; 491'!$D$69:$M$69</definedName>
    <definedName name="OSRRefD21_11_0x" localSheetId="52">'311'!$D$78:$M$78</definedName>
    <definedName name="OSRRefD21_11_0x" localSheetId="57">'315'!$D$83:$M$83</definedName>
    <definedName name="OSRRefD21_11_0x" localSheetId="60">'316'!$D$71:$M$71</definedName>
    <definedName name="OSRRefD21_11_0x" localSheetId="66">'321'!$D$70:$M$70</definedName>
    <definedName name="OSRRefD21_11_0x" localSheetId="68">'325'!$D$64:$M$64</definedName>
    <definedName name="OSRRefD21_11_0x" localSheetId="58">'326'!$D$66:$M$66</definedName>
    <definedName name="OSRRefD21_11_0x" localSheetId="56">'331'!$D$83:$M$83</definedName>
    <definedName name="OSRRefD21_11_0x" localSheetId="59">'332'!$D$71:$M$71</definedName>
    <definedName name="OSRRefD21_11_0x" localSheetId="54">'333'!$D$85:$M$85</definedName>
    <definedName name="OSRRefD21_11_0x" localSheetId="73">'405'!$D$69:$M$69</definedName>
    <definedName name="OSRRefD21_11_0x" localSheetId="75">'411'!$D$62:$M$62</definedName>
    <definedName name="OSRRefD21_11_0x" localSheetId="79">'415'!$D$67:$M$67</definedName>
    <definedName name="OSRRefD21_11_0x" localSheetId="80">'418'!$D$66:$M$66</definedName>
    <definedName name="OSRRefD21_11_0x" localSheetId="87">'433'!$D$66:$M$66</definedName>
    <definedName name="OSRRefD21_11_0x" localSheetId="89">'444'!$D$66:$M$66</definedName>
    <definedName name="OSRRefD21_11_0x" localSheetId="90">'450'!$D$66:$M$66</definedName>
    <definedName name="OSRRefD21_11_0x" localSheetId="72">'491'!$D$68:$M$68</definedName>
    <definedName name="OSRRefD21_11_0x" localSheetId="85">'492'!$D$68:$M$68</definedName>
    <definedName name="OSRRefD21_11_0x" localSheetId="92">'501'!$D$63:$M$63</definedName>
    <definedName name="OSRRefD21_11_0x" localSheetId="39">'Div 2'!$D$61:$M$61</definedName>
    <definedName name="OSRRefD21_11_0x" localSheetId="47">'Div 3'!$D$102:$M$102</definedName>
    <definedName name="OSRRefD21_11_0x" localSheetId="70">'Div 4'!$D$71:$M$71</definedName>
    <definedName name="OSRRefD21_11_0x" localSheetId="91">'Div 5'!$D$63:$M$63</definedName>
    <definedName name="OSRRefD21_11_0x" localSheetId="2">Summary!$D$110:$M$110</definedName>
    <definedName name="OSRRefD21_11_1x" localSheetId="43">'203'!$D$64:$M$64</definedName>
    <definedName name="OSRRefD21_11_1x" localSheetId="51">'308'!$D$79:$M$79</definedName>
    <definedName name="OSRRefD21_11_1x" localSheetId="63">'310'!$D$70:$M$70</definedName>
    <definedName name="OSRRefD21_11_1x" localSheetId="52">'311'!$D$79:$M$79</definedName>
    <definedName name="OSRRefD21_11_1x" localSheetId="68">'325'!$D$65:$M$65</definedName>
    <definedName name="OSRRefD21_11_1x" localSheetId="58">'326'!$D$67:$M$67</definedName>
    <definedName name="OSRRefD21_11_1x" localSheetId="75">'411'!$D$63:$M$63</definedName>
    <definedName name="OSRRefD21_11_1x" localSheetId="79">'415'!$D$68:$M$68</definedName>
    <definedName name="OSRRefD21_11_1x" localSheetId="80">'418'!$D$67:$M$67</definedName>
    <definedName name="OSRRefD21_11_1x" localSheetId="87">'433'!$D$67:$M$67</definedName>
    <definedName name="OSRRefD21_11_1x" localSheetId="89">'444'!$D$67:$M$67</definedName>
    <definedName name="OSRRefD21_11_1x" localSheetId="90">'450'!$D$67:$M$67</definedName>
    <definedName name="OSRRefD21_11_1x" localSheetId="92">'501'!$D$64:$M$64</definedName>
    <definedName name="OSRRefD21_11_1x" localSheetId="91">'Div 5'!$D$64:$M$64</definedName>
    <definedName name="OSRRefD21_11_2x" localSheetId="43">'203'!$D$65:$M$65</definedName>
    <definedName name="OSRRefD21_11_2x" localSheetId="80">'418'!$D$68:$M$68</definedName>
    <definedName name="OSRRefD21_11_2x" localSheetId="87">'433'!$D$68:$M$68</definedName>
    <definedName name="OSRRefD21_11_2x" localSheetId="92">'501'!$D$65:$M$65</definedName>
    <definedName name="OSRRefD21_11_2x" localSheetId="91">'Div 5'!$D$65:$M$65</definedName>
    <definedName name="OSRRefD21_11_3x" localSheetId="43">'203'!$D$66:$M$66</definedName>
    <definedName name="OSRRefD21_11_3x" localSheetId="80">'418'!$D$69:$M$69</definedName>
    <definedName name="OSRRefD21_11_4x" localSheetId="80">'418'!$D$70:$M$70</definedName>
    <definedName name="OSRRefD21_11_5x" localSheetId="80">'418'!$D$71:$M$71</definedName>
    <definedName name="OSRRefD21_11x_0" localSheetId="41">'201'!$D$61</definedName>
    <definedName name="OSRRefD21_11x_0" localSheetId="42">'202'!$D$61</definedName>
    <definedName name="OSRRefD21_11x_0" localSheetId="43">'203'!$D$63:$D$66</definedName>
    <definedName name="OSRRefD21_11x_0" localSheetId="48">'300'!$D$96</definedName>
    <definedName name="OSRRefD21_11x_0" localSheetId="49">'300 &amp; 317'!$D$102</definedName>
    <definedName name="OSRRefD21_11x_0" localSheetId="50">'301'!$D$62</definedName>
    <definedName name="OSRRefD21_11x_0" localSheetId="55">'307'!$D$74</definedName>
    <definedName name="OSRRefD21_11x_0" localSheetId="51">'308'!$D$78:$D$79</definedName>
    <definedName name="OSRRefD21_11x_0" localSheetId="64">'309'!$D$52</definedName>
    <definedName name="OSRRefD21_11x_0" localSheetId="63">'310'!$D$69:$D$70</definedName>
    <definedName name="OSRRefD21_11x_0" localSheetId="71">'310 &amp; 491'!$D$69</definedName>
    <definedName name="OSRRefD21_11x_0" localSheetId="52">'311'!$D$78:$D$79</definedName>
    <definedName name="OSRRefD21_11x_0" localSheetId="57">'315'!$D$83</definedName>
    <definedName name="OSRRefD21_11x_0" localSheetId="60">'316'!$D$71</definedName>
    <definedName name="OSRRefD21_11x_0" localSheetId="66">'321'!$D$70</definedName>
    <definedName name="OSRRefD21_11x_0" localSheetId="68">'325'!$D$64:$D$65</definedName>
    <definedName name="OSRRefD21_11x_0" localSheetId="58">'326'!$D$66:$D$67</definedName>
    <definedName name="OSRRefD21_11x_0" localSheetId="56">'331'!$D$83</definedName>
    <definedName name="OSRRefD21_11x_0" localSheetId="59">'332'!$D$71</definedName>
    <definedName name="OSRRefD21_11x_0" localSheetId="54">'333'!$D$85</definedName>
    <definedName name="OSRRefD21_11x_0" localSheetId="73">'405'!$D$69</definedName>
    <definedName name="OSRRefD21_11x_0" localSheetId="75">'411'!$D$62:$D$63</definedName>
    <definedName name="OSRRefD21_11x_0" localSheetId="79">'415'!$D$67:$D$68</definedName>
    <definedName name="OSRRefD21_11x_0" localSheetId="80">'418'!$D$66:$D$71</definedName>
    <definedName name="OSRRefD21_11x_0" localSheetId="87">'433'!$D$66:$D$68</definedName>
    <definedName name="OSRRefD21_11x_0" localSheetId="89">'444'!$D$66:$D$67</definedName>
    <definedName name="OSRRefD21_11x_0" localSheetId="90">'450'!$D$66:$D$67</definedName>
    <definedName name="OSRRefD21_11x_0" localSheetId="72">'491'!$D$68</definedName>
    <definedName name="OSRRefD21_11x_0" localSheetId="85">'492'!$D$68</definedName>
    <definedName name="OSRRefD21_11x_0" localSheetId="92">'501'!$D$63:$D$65</definedName>
    <definedName name="OSRRefD21_11x_0" localSheetId="39">'Div 2'!$D$61</definedName>
    <definedName name="OSRRefD21_11x_0" localSheetId="47">'Div 3'!$D$102</definedName>
    <definedName name="OSRRefD21_11x_0" localSheetId="70">'Div 4'!$D$71</definedName>
    <definedName name="OSRRefD21_11x_0" localSheetId="91">'Div 5'!$D$63:$D$65</definedName>
    <definedName name="OSRRefD21_11x_0" localSheetId="2">Summary!$D$110</definedName>
    <definedName name="OSRRefD21_11x_1" localSheetId="41">'201'!$E$61</definedName>
    <definedName name="OSRRefD21_11x_1" localSheetId="42">'202'!$E$61</definedName>
    <definedName name="OSRRefD21_11x_1" localSheetId="43">'203'!$E$63:$E$66</definedName>
    <definedName name="OSRRefD21_11x_1" localSheetId="48">'300'!$E$96</definedName>
    <definedName name="OSRRefD21_11x_1" localSheetId="49">'300 &amp; 317'!$E$102</definedName>
    <definedName name="OSRRefD21_11x_1" localSheetId="50">'301'!$E$62</definedName>
    <definedName name="OSRRefD21_11x_1" localSheetId="55">'307'!$E$74</definedName>
    <definedName name="OSRRefD21_11x_1" localSheetId="51">'308'!$E$78:$E$79</definedName>
    <definedName name="OSRRefD21_11x_1" localSheetId="64">'309'!$E$52</definedName>
    <definedName name="OSRRefD21_11x_1" localSheetId="63">'310'!$E$69:$E$70</definedName>
    <definedName name="OSRRefD21_11x_1" localSheetId="71">'310 &amp; 491'!$E$69</definedName>
    <definedName name="OSRRefD21_11x_1" localSheetId="52">'311'!$E$78:$E$79</definedName>
    <definedName name="OSRRefD21_11x_1" localSheetId="57">'315'!$E$83</definedName>
    <definedName name="OSRRefD21_11x_1" localSheetId="60">'316'!$E$71</definedName>
    <definedName name="OSRRefD21_11x_1" localSheetId="66">'321'!$E$70</definedName>
    <definedName name="OSRRefD21_11x_1" localSheetId="68">'325'!$E$64:$E$65</definedName>
    <definedName name="OSRRefD21_11x_1" localSheetId="58">'326'!$E$66:$E$67</definedName>
    <definedName name="OSRRefD21_11x_1" localSheetId="56">'331'!$E$83</definedName>
    <definedName name="OSRRefD21_11x_1" localSheetId="59">'332'!$E$71</definedName>
    <definedName name="OSRRefD21_11x_1" localSheetId="54">'333'!$E$85</definedName>
    <definedName name="OSRRefD21_11x_1" localSheetId="73">'405'!$E$69</definedName>
    <definedName name="OSRRefD21_11x_1" localSheetId="75">'411'!$E$62:$E$63</definedName>
    <definedName name="OSRRefD21_11x_1" localSheetId="79">'415'!$E$67:$E$68</definedName>
    <definedName name="OSRRefD21_11x_1" localSheetId="80">'418'!$E$66:$E$71</definedName>
    <definedName name="OSRRefD21_11x_1" localSheetId="87">'433'!$E$66:$E$68</definedName>
    <definedName name="OSRRefD21_11x_1" localSheetId="89">'444'!$E$66:$E$67</definedName>
    <definedName name="OSRRefD21_11x_1" localSheetId="90">'450'!$E$66:$E$67</definedName>
    <definedName name="OSRRefD21_11x_1" localSheetId="72">'491'!$E$68</definedName>
    <definedName name="OSRRefD21_11x_1" localSheetId="85">'492'!$E$68</definedName>
    <definedName name="OSRRefD21_11x_1" localSheetId="92">'501'!$E$63:$E$65</definedName>
    <definedName name="OSRRefD21_11x_1" localSheetId="39">'Div 2'!$E$61</definedName>
    <definedName name="OSRRefD21_11x_1" localSheetId="47">'Div 3'!$E$102</definedName>
    <definedName name="OSRRefD21_11x_1" localSheetId="70">'Div 4'!$E$71</definedName>
    <definedName name="OSRRefD21_11x_1" localSheetId="91">'Div 5'!$E$63:$E$65</definedName>
    <definedName name="OSRRefD21_11x_1" localSheetId="2">Summary!$E$110</definedName>
    <definedName name="OSRRefD21_11x_2" localSheetId="41">'201'!$F$61</definedName>
    <definedName name="OSRRefD21_11x_2" localSheetId="42">'202'!$F$61</definedName>
    <definedName name="OSRRefD21_11x_2" localSheetId="43">'203'!$F$63:$F$66</definedName>
    <definedName name="OSRRefD21_11x_2" localSheetId="48">'300'!$F$96</definedName>
    <definedName name="OSRRefD21_11x_2" localSheetId="49">'300 &amp; 317'!$F$102</definedName>
    <definedName name="OSRRefD21_11x_2" localSheetId="50">'301'!$F$62</definedName>
    <definedName name="OSRRefD21_11x_2" localSheetId="55">'307'!$F$74</definedName>
    <definedName name="OSRRefD21_11x_2" localSheetId="51">'308'!$F$78:$F$79</definedName>
    <definedName name="OSRRefD21_11x_2" localSheetId="64">'309'!$F$52</definedName>
    <definedName name="OSRRefD21_11x_2" localSheetId="63">'310'!$F$69:$F$70</definedName>
    <definedName name="OSRRefD21_11x_2" localSheetId="71">'310 &amp; 491'!$F$69</definedName>
    <definedName name="OSRRefD21_11x_2" localSheetId="52">'311'!$F$78:$F$79</definedName>
    <definedName name="OSRRefD21_11x_2" localSheetId="57">'315'!$F$83</definedName>
    <definedName name="OSRRefD21_11x_2" localSheetId="60">'316'!$F$71</definedName>
    <definedName name="OSRRefD21_11x_2" localSheetId="66">'321'!$F$70</definedName>
    <definedName name="OSRRefD21_11x_2" localSheetId="68">'325'!$F$64:$F$65</definedName>
    <definedName name="OSRRefD21_11x_2" localSheetId="58">'326'!$F$66:$F$67</definedName>
    <definedName name="OSRRefD21_11x_2" localSheetId="56">'331'!$F$83</definedName>
    <definedName name="OSRRefD21_11x_2" localSheetId="59">'332'!$F$71</definedName>
    <definedName name="OSRRefD21_11x_2" localSheetId="54">'333'!$F$85</definedName>
    <definedName name="OSRRefD21_11x_2" localSheetId="73">'405'!$F$69</definedName>
    <definedName name="OSRRefD21_11x_2" localSheetId="75">'411'!$F$62:$F$63</definedName>
    <definedName name="OSRRefD21_11x_2" localSheetId="79">'415'!$F$67:$F$68</definedName>
    <definedName name="OSRRefD21_11x_2" localSheetId="80">'418'!$F$66:$F$71</definedName>
    <definedName name="OSRRefD21_11x_2" localSheetId="87">'433'!$F$66:$F$68</definedName>
    <definedName name="OSRRefD21_11x_2" localSheetId="89">'444'!$F$66:$F$67</definedName>
    <definedName name="OSRRefD21_11x_2" localSheetId="90">'450'!$F$66:$F$67</definedName>
    <definedName name="OSRRefD21_11x_2" localSheetId="72">'491'!$F$68</definedName>
    <definedName name="OSRRefD21_11x_2" localSheetId="85">'492'!$F$68</definedName>
    <definedName name="OSRRefD21_11x_2" localSheetId="92">'501'!$F$63:$F$65</definedName>
    <definedName name="OSRRefD21_11x_2" localSheetId="39">'Div 2'!$F$61</definedName>
    <definedName name="OSRRefD21_11x_2" localSheetId="47">'Div 3'!$F$102</definedName>
    <definedName name="OSRRefD21_11x_2" localSheetId="70">'Div 4'!$F$71</definedName>
    <definedName name="OSRRefD21_11x_2" localSheetId="91">'Div 5'!$F$63:$F$65</definedName>
    <definedName name="OSRRefD21_11x_2" localSheetId="2">Summary!$F$110</definedName>
    <definedName name="OSRRefD21_11x_3" localSheetId="41">'201'!$G$61</definedName>
    <definedName name="OSRRefD21_11x_3" localSheetId="42">'202'!$G$61</definedName>
    <definedName name="OSRRefD21_11x_3" localSheetId="43">'203'!$G$63:$G$66</definedName>
    <definedName name="OSRRefD21_11x_3" localSheetId="48">'300'!$G$96</definedName>
    <definedName name="OSRRefD21_11x_3" localSheetId="49">'300 &amp; 317'!$G$102</definedName>
    <definedName name="OSRRefD21_11x_3" localSheetId="50">'301'!$G$62</definedName>
    <definedName name="OSRRefD21_11x_3" localSheetId="55">'307'!$G$74</definedName>
    <definedName name="OSRRefD21_11x_3" localSheetId="51">'308'!$G$78:$G$79</definedName>
    <definedName name="OSRRefD21_11x_3" localSheetId="64">'309'!$G$52</definedName>
    <definedName name="OSRRefD21_11x_3" localSheetId="63">'310'!$G$69:$G$70</definedName>
    <definedName name="OSRRefD21_11x_3" localSheetId="71">'310 &amp; 491'!$G$69</definedName>
    <definedName name="OSRRefD21_11x_3" localSheetId="52">'311'!$G$78:$G$79</definedName>
    <definedName name="OSRRefD21_11x_3" localSheetId="57">'315'!$G$83</definedName>
    <definedName name="OSRRefD21_11x_3" localSheetId="60">'316'!$G$71</definedName>
    <definedName name="OSRRefD21_11x_3" localSheetId="66">'321'!$G$70</definedName>
    <definedName name="OSRRefD21_11x_3" localSheetId="68">'325'!$G$64:$G$65</definedName>
    <definedName name="OSRRefD21_11x_3" localSheetId="58">'326'!$G$66:$G$67</definedName>
    <definedName name="OSRRefD21_11x_3" localSheetId="56">'331'!$G$83</definedName>
    <definedName name="OSRRefD21_11x_3" localSheetId="59">'332'!$G$71</definedName>
    <definedName name="OSRRefD21_11x_3" localSheetId="54">'333'!$G$85</definedName>
    <definedName name="OSRRefD21_11x_3" localSheetId="73">'405'!$G$69</definedName>
    <definedName name="OSRRefD21_11x_3" localSheetId="75">'411'!$G$62:$G$63</definedName>
    <definedName name="OSRRefD21_11x_3" localSheetId="79">'415'!$G$67:$G$68</definedName>
    <definedName name="OSRRefD21_11x_3" localSheetId="80">'418'!$G$66:$G$71</definedName>
    <definedName name="OSRRefD21_11x_3" localSheetId="87">'433'!$G$66:$G$68</definedName>
    <definedName name="OSRRefD21_11x_3" localSheetId="89">'444'!$G$66:$G$67</definedName>
    <definedName name="OSRRefD21_11x_3" localSheetId="90">'450'!$G$66:$G$67</definedName>
    <definedName name="OSRRefD21_11x_3" localSheetId="72">'491'!$G$68</definedName>
    <definedName name="OSRRefD21_11x_3" localSheetId="85">'492'!$G$68</definedName>
    <definedName name="OSRRefD21_11x_3" localSheetId="92">'501'!$G$63:$G$65</definedName>
    <definedName name="OSRRefD21_11x_3" localSheetId="39">'Div 2'!$G$61</definedName>
    <definedName name="OSRRefD21_11x_3" localSheetId="47">'Div 3'!$G$102</definedName>
    <definedName name="OSRRefD21_11x_3" localSheetId="70">'Div 4'!$G$71</definedName>
    <definedName name="OSRRefD21_11x_3" localSheetId="91">'Div 5'!$G$63:$G$65</definedName>
    <definedName name="OSRRefD21_11x_3" localSheetId="2">Summary!$G$110</definedName>
    <definedName name="OSRRefD21_11x_4" localSheetId="41">'201'!$H$61</definedName>
    <definedName name="OSRRefD21_11x_4" localSheetId="42">'202'!$H$61</definedName>
    <definedName name="OSRRefD21_11x_4" localSheetId="43">'203'!$H$63:$H$66</definedName>
    <definedName name="OSRRefD21_11x_4" localSheetId="48">'300'!$H$96</definedName>
    <definedName name="OSRRefD21_11x_4" localSheetId="49">'300 &amp; 317'!$H$102</definedName>
    <definedName name="OSRRefD21_11x_4" localSheetId="50">'301'!$H$62</definedName>
    <definedName name="OSRRefD21_11x_4" localSheetId="55">'307'!$H$74</definedName>
    <definedName name="OSRRefD21_11x_4" localSheetId="51">'308'!$H$78:$H$79</definedName>
    <definedName name="OSRRefD21_11x_4" localSheetId="64">'309'!$H$52</definedName>
    <definedName name="OSRRefD21_11x_4" localSheetId="63">'310'!$H$69:$H$70</definedName>
    <definedName name="OSRRefD21_11x_4" localSheetId="71">'310 &amp; 491'!$H$69</definedName>
    <definedName name="OSRRefD21_11x_4" localSheetId="52">'311'!$H$78:$H$79</definedName>
    <definedName name="OSRRefD21_11x_4" localSheetId="57">'315'!$H$83</definedName>
    <definedName name="OSRRefD21_11x_4" localSheetId="60">'316'!$H$71</definedName>
    <definedName name="OSRRefD21_11x_4" localSheetId="66">'321'!$H$70</definedName>
    <definedName name="OSRRefD21_11x_4" localSheetId="68">'325'!$H$64:$H$65</definedName>
    <definedName name="OSRRefD21_11x_4" localSheetId="58">'326'!$H$66:$H$67</definedName>
    <definedName name="OSRRefD21_11x_4" localSheetId="56">'331'!$H$83</definedName>
    <definedName name="OSRRefD21_11x_4" localSheetId="59">'332'!$H$71</definedName>
    <definedName name="OSRRefD21_11x_4" localSheetId="54">'333'!$H$85</definedName>
    <definedName name="OSRRefD21_11x_4" localSheetId="73">'405'!$H$69</definedName>
    <definedName name="OSRRefD21_11x_4" localSheetId="75">'411'!$H$62:$H$63</definedName>
    <definedName name="OSRRefD21_11x_4" localSheetId="79">'415'!$H$67:$H$68</definedName>
    <definedName name="OSRRefD21_11x_4" localSheetId="80">'418'!$H$66:$H$71</definedName>
    <definedName name="OSRRefD21_11x_4" localSheetId="87">'433'!$H$66:$H$68</definedName>
    <definedName name="OSRRefD21_11x_4" localSheetId="89">'444'!$H$66:$H$67</definedName>
    <definedName name="OSRRefD21_11x_4" localSheetId="90">'450'!$H$66:$H$67</definedName>
    <definedName name="OSRRefD21_11x_4" localSheetId="72">'491'!$H$68</definedName>
    <definedName name="OSRRefD21_11x_4" localSheetId="85">'492'!$H$68</definedName>
    <definedName name="OSRRefD21_11x_4" localSheetId="92">'501'!$H$63:$H$65</definedName>
    <definedName name="OSRRefD21_11x_4" localSheetId="39">'Div 2'!$H$61</definedName>
    <definedName name="OSRRefD21_11x_4" localSheetId="47">'Div 3'!$H$102</definedName>
    <definedName name="OSRRefD21_11x_4" localSheetId="70">'Div 4'!$H$71</definedName>
    <definedName name="OSRRefD21_11x_4" localSheetId="91">'Div 5'!$H$63:$H$65</definedName>
    <definedName name="OSRRefD21_11x_4" localSheetId="2">Summary!$H$110</definedName>
    <definedName name="OSRRefD21_11x_5" localSheetId="41">'201'!$I$61</definedName>
    <definedName name="OSRRefD21_11x_5" localSheetId="42">'202'!$I$61</definedName>
    <definedName name="OSRRefD21_11x_5" localSheetId="43">'203'!$I$63:$I$66</definedName>
    <definedName name="OSRRefD21_11x_5" localSheetId="48">'300'!$I$96</definedName>
    <definedName name="OSRRefD21_11x_5" localSheetId="49">'300 &amp; 317'!$I$102</definedName>
    <definedName name="OSRRefD21_11x_5" localSheetId="50">'301'!$I$62</definedName>
    <definedName name="OSRRefD21_11x_5" localSheetId="55">'307'!$I$74</definedName>
    <definedName name="OSRRefD21_11x_5" localSheetId="51">'308'!$I$78:$I$79</definedName>
    <definedName name="OSRRefD21_11x_5" localSheetId="64">'309'!$I$52</definedName>
    <definedName name="OSRRefD21_11x_5" localSheetId="63">'310'!$I$69:$I$70</definedName>
    <definedName name="OSRRefD21_11x_5" localSheetId="71">'310 &amp; 491'!$I$69</definedName>
    <definedName name="OSRRefD21_11x_5" localSheetId="52">'311'!$I$78:$I$79</definedName>
    <definedName name="OSRRefD21_11x_5" localSheetId="57">'315'!$I$83</definedName>
    <definedName name="OSRRefD21_11x_5" localSheetId="60">'316'!$I$71</definedName>
    <definedName name="OSRRefD21_11x_5" localSheetId="66">'321'!$I$70</definedName>
    <definedName name="OSRRefD21_11x_5" localSheetId="68">'325'!$I$64:$I$65</definedName>
    <definedName name="OSRRefD21_11x_5" localSheetId="58">'326'!$I$66:$I$67</definedName>
    <definedName name="OSRRefD21_11x_5" localSheetId="56">'331'!$I$83</definedName>
    <definedName name="OSRRefD21_11x_5" localSheetId="59">'332'!$I$71</definedName>
    <definedName name="OSRRefD21_11x_5" localSheetId="54">'333'!$I$85</definedName>
    <definedName name="OSRRefD21_11x_5" localSheetId="73">'405'!$I$69</definedName>
    <definedName name="OSRRefD21_11x_5" localSheetId="75">'411'!$I$62:$I$63</definedName>
    <definedName name="OSRRefD21_11x_5" localSheetId="79">'415'!$I$67:$I$68</definedName>
    <definedName name="OSRRefD21_11x_5" localSheetId="80">'418'!$I$66:$I$71</definedName>
    <definedName name="OSRRefD21_11x_5" localSheetId="87">'433'!$I$66:$I$68</definedName>
    <definedName name="OSRRefD21_11x_5" localSheetId="89">'444'!$I$66:$I$67</definedName>
    <definedName name="OSRRefD21_11x_5" localSheetId="90">'450'!$I$66:$I$67</definedName>
    <definedName name="OSRRefD21_11x_5" localSheetId="72">'491'!$I$68</definedName>
    <definedName name="OSRRefD21_11x_5" localSheetId="85">'492'!$I$68</definedName>
    <definedName name="OSRRefD21_11x_5" localSheetId="92">'501'!$I$63:$I$65</definedName>
    <definedName name="OSRRefD21_11x_5" localSheetId="39">'Div 2'!$I$61</definedName>
    <definedName name="OSRRefD21_11x_5" localSheetId="47">'Div 3'!$I$102</definedName>
    <definedName name="OSRRefD21_11x_5" localSheetId="70">'Div 4'!$I$71</definedName>
    <definedName name="OSRRefD21_11x_5" localSheetId="91">'Div 5'!$I$63:$I$65</definedName>
    <definedName name="OSRRefD21_11x_5" localSheetId="2">Summary!$I$110</definedName>
    <definedName name="OSRRefD21_11x_6" localSheetId="41">'201'!$J$61</definedName>
    <definedName name="OSRRefD21_11x_6" localSheetId="42">'202'!$J$61</definedName>
    <definedName name="OSRRefD21_11x_6" localSheetId="43">'203'!$J$63:$J$66</definedName>
    <definedName name="OSRRefD21_11x_6" localSheetId="48">'300'!$J$96</definedName>
    <definedName name="OSRRefD21_11x_6" localSheetId="49">'300 &amp; 317'!$J$102</definedName>
    <definedName name="OSRRefD21_11x_6" localSheetId="50">'301'!$J$62</definedName>
    <definedName name="OSRRefD21_11x_6" localSheetId="55">'307'!$J$74</definedName>
    <definedName name="OSRRefD21_11x_6" localSheetId="51">'308'!$J$78:$J$79</definedName>
    <definedName name="OSRRefD21_11x_6" localSheetId="64">'309'!$J$52</definedName>
    <definedName name="OSRRefD21_11x_6" localSheetId="63">'310'!$J$69:$J$70</definedName>
    <definedName name="OSRRefD21_11x_6" localSheetId="71">'310 &amp; 491'!$J$69</definedName>
    <definedName name="OSRRefD21_11x_6" localSheetId="52">'311'!$J$78:$J$79</definedName>
    <definedName name="OSRRefD21_11x_6" localSheetId="57">'315'!$J$83</definedName>
    <definedName name="OSRRefD21_11x_6" localSheetId="60">'316'!$J$71</definedName>
    <definedName name="OSRRefD21_11x_6" localSheetId="66">'321'!$J$70</definedName>
    <definedName name="OSRRefD21_11x_6" localSheetId="68">'325'!$J$64:$J$65</definedName>
    <definedName name="OSRRefD21_11x_6" localSheetId="58">'326'!$J$66:$J$67</definedName>
    <definedName name="OSRRefD21_11x_6" localSheetId="56">'331'!$J$83</definedName>
    <definedName name="OSRRefD21_11x_6" localSheetId="59">'332'!$J$71</definedName>
    <definedName name="OSRRefD21_11x_6" localSheetId="54">'333'!$J$85</definedName>
    <definedName name="OSRRefD21_11x_6" localSheetId="73">'405'!$J$69</definedName>
    <definedName name="OSRRefD21_11x_6" localSheetId="75">'411'!$J$62:$J$63</definedName>
    <definedName name="OSRRefD21_11x_6" localSheetId="79">'415'!$J$67:$J$68</definedName>
    <definedName name="OSRRefD21_11x_6" localSheetId="80">'418'!$J$66:$J$71</definedName>
    <definedName name="OSRRefD21_11x_6" localSheetId="87">'433'!$J$66:$J$68</definedName>
    <definedName name="OSRRefD21_11x_6" localSheetId="89">'444'!$J$66:$J$67</definedName>
    <definedName name="OSRRefD21_11x_6" localSheetId="90">'450'!$J$66:$J$67</definedName>
    <definedName name="OSRRefD21_11x_6" localSheetId="72">'491'!$J$68</definedName>
    <definedName name="OSRRefD21_11x_6" localSheetId="85">'492'!$J$68</definedName>
    <definedName name="OSRRefD21_11x_6" localSheetId="92">'501'!$J$63:$J$65</definedName>
    <definedName name="OSRRefD21_11x_6" localSheetId="39">'Div 2'!$J$61</definedName>
    <definedName name="OSRRefD21_11x_6" localSheetId="47">'Div 3'!$J$102</definedName>
    <definedName name="OSRRefD21_11x_6" localSheetId="70">'Div 4'!$J$71</definedName>
    <definedName name="OSRRefD21_11x_6" localSheetId="91">'Div 5'!$J$63:$J$65</definedName>
    <definedName name="OSRRefD21_11x_6" localSheetId="2">Summary!$J$110</definedName>
    <definedName name="OSRRefD21_11x_7" localSheetId="41">'201'!$K$61</definedName>
    <definedName name="OSRRefD21_11x_7" localSheetId="42">'202'!$K$61</definedName>
    <definedName name="OSRRefD21_11x_7" localSheetId="43">'203'!$K$63:$K$66</definedName>
    <definedName name="OSRRefD21_11x_7" localSheetId="48">'300'!$K$96</definedName>
    <definedName name="OSRRefD21_11x_7" localSheetId="49">'300 &amp; 317'!$K$102</definedName>
    <definedName name="OSRRefD21_11x_7" localSheetId="50">'301'!$K$62</definedName>
    <definedName name="OSRRefD21_11x_7" localSheetId="55">'307'!$K$74</definedName>
    <definedName name="OSRRefD21_11x_7" localSheetId="51">'308'!$K$78:$K$79</definedName>
    <definedName name="OSRRefD21_11x_7" localSheetId="64">'309'!$K$52</definedName>
    <definedName name="OSRRefD21_11x_7" localSheetId="63">'310'!$K$69:$K$70</definedName>
    <definedName name="OSRRefD21_11x_7" localSheetId="71">'310 &amp; 491'!$K$69</definedName>
    <definedName name="OSRRefD21_11x_7" localSheetId="52">'311'!$K$78:$K$79</definedName>
    <definedName name="OSRRefD21_11x_7" localSheetId="57">'315'!$K$83</definedName>
    <definedName name="OSRRefD21_11x_7" localSheetId="60">'316'!$K$71</definedName>
    <definedName name="OSRRefD21_11x_7" localSheetId="66">'321'!$K$70</definedName>
    <definedName name="OSRRefD21_11x_7" localSheetId="68">'325'!$K$64:$K$65</definedName>
    <definedName name="OSRRefD21_11x_7" localSheetId="58">'326'!$K$66:$K$67</definedName>
    <definedName name="OSRRefD21_11x_7" localSheetId="56">'331'!$K$83</definedName>
    <definedName name="OSRRefD21_11x_7" localSheetId="59">'332'!$K$71</definedName>
    <definedName name="OSRRefD21_11x_7" localSheetId="54">'333'!$K$85</definedName>
    <definedName name="OSRRefD21_11x_7" localSheetId="73">'405'!$K$69</definedName>
    <definedName name="OSRRefD21_11x_7" localSheetId="75">'411'!$K$62:$K$63</definedName>
    <definedName name="OSRRefD21_11x_7" localSheetId="79">'415'!$K$67:$K$68</definedName>
    <definedName name="OSRRefD21_11x_7" localSheetId="80">'418'!$K$66:$K$71</definedName>
    <definedName name="OSRRefD21_11x_7" localSheetId="87">'433'!$K$66:$K$68</definedName>
    <definedName name="OSRRefD21_11x_7" localSheetId="89">'444'!$K$66:$K$67</definedName>
    <definedName name="OSRRefD21_11x_7" localSheetId="90">'450'!$K$66:$K$67</definedName>
    <definedName name="OSRRefD21_11x_7" localSheetId="72">'491'!$K$68</definedName>
    <definedName name="OSRRefD21_11x_7" localSheetId="85">'492'!$K$68</definedName>
    <definedName name="OSRRefD21_11x_7" localSheetId="92">'501'!$K$63:$K$65</definedName>
    <definedName name="OSRRefD21_11x_7" localSheetId="39">'Div 2'!$K$61</definedName>
    <definedName name="OSRRefD21_11x_7" localSheetId="47">'Div 3'!$K$102</definedName>
    <definedName name="OSRRefD21_11x_7" localSheetId="70">'Div 4'!$K$71</definedName>
    <definedName name="OSRRefD21_11x_7" localSheetId="91">'Div 5'!$K$63:$K$65</definedName>
    <definedName name="OSRRefD21_11x_7" localSheetId="2">Summary!$K$110</definedName>
    <definedName name="OSRRefD21_11x_8" localSheetId="41">'201'!$L$61</definedName>
    <definedName name="OSRRefD21_11x_8" localSheetId="42">'202'!$L$61</definedName>
    <definedName name="OSRRefD21_11x_8" localSheetId="43">'203'!$L$63:$L$66</definedName>
    <definedName name="OSRRefD21_11x_8" localSheetId="48">'300'!$L$96</definedName>
    <definedName name="OSRRefD21_11x_8" localSheetId="49">'300 &amp; 317'!$L$102</definedName>
    <definedName name="OSRRefD21_11x_8" localSheetId="50">'301'!$L$62</definedName>
    <definedName name="OSRRefD21_11x_8" localSheetId="55">'307'!$L$74</definedName>
    <definedName name="OSRRefD21_11x_8" localSheetId="51">'308'!$L$78:$L$79</definedName>
    <definedName name="OSRRefD21_11x_8" localSheetId="64">'309'!$L$52</definedName>
    <definedName name="OSRRefD21_11x_8" localSheetId="63">'310'!$L$69:$L$70</definedName>
    <definedName name="OSRRefD21_11x_8" localSheetId="71">'310 &amp; 491'!$L$69</definedName>
    <definedName name="OSRRefD21_11x_8" localSheetId="52">'311'!$L$78:$L$79</definedName>
    <definedName name="OSRRefD21_11x_8" localSheetId="57">'315'!$L$83</definedName>
    <definedName name="OSRRefD21_11x_8" localSheetId="60">'316'!$L$71</definedName>
    <definedName name="OSRRefD21_11x_8" localSheetId="66">'321'!$L$70</definedName>
    <definedName name="OSRRefD21_11x_8" localSheetId="68">'325'!$L$64:$L$65</definedName>
    <definedName name="OSRRefD21_11x_8" localSheetId="58">'326'!$L$66:$L$67</definedName>
    <definedName name="OSRRefD21_11x_8" localSheetId="56">'331'!$L$83</definedName>
    <definedName name="OSRRefD21_11x_8" localSheetId="59">'332'!$L$71</definedName>
    <definedName name="OSRRefD21_11x_8" localSheetId="54">'333'!$L$85</definedName>
    <definedName name="OSRRefD21_11x_8" localSheetId="73">'405'!$L$69</definedName>
    <definedName name="OSRRefD21_11x_8" localSheetId="75">'411'!$L$62:$L$63</definedName>
    <definedName name="OSRRefD21_11x_8" localSheetId="79">'415'!$L$67:$L$68</definedName>
    <definedName name="OSRRefD21_11x_8" localSheetId="80">'418'!$L$66:$L$71</definedName>
    <definedName name="OSRRefD21_11x_8" localSheetId="87">'433'!$L$66:$L$68</definedName>
    <definedName name="OSRRefD21_11x_8" localSheetId="89">'444'!$L$66:$L$67</definedName>
    <definedName name="OSRRefD21_11x_8" localSheetId="90">'450'!$L$66:$L$67</definedName>
    <definedName name="OSRRefD21_11x_8" localSheetId="72">'491'!$L$68</definedName>
    <definedName name="OSRRefD21_11x_8" localSheetId="85">'492'!$L$68</definedName>
    <definedName name="OSRRefD21_11x_8" localSheetId="92">'501'!$L$63:$L$65</definedName>
    <definedName name="OSRRefD21_11x_8" localSheetId="39">'Div 2'!$L$61</definedName>
    <definedName name="OSRRefD21_11x_8" localSheetId="47">'Div 3'!$L$102</definedName>
    <definedName name="OSRRefD21_11x_8" localSheetId="70">'Div 4'!$L$71</definedName>
    <definedName name="OSRRefD21_11x_8" localSheetId="91">'Div 5'!$L$63:$L$65</definedName>
    <definedName name="OSRRefD21_11x_8" localSheetId="2">Summary!$L$110</definedName>
    <definedName name="OSRRefD21_11x_9" localSheetId="41">'201'!$M$61</definedName>
    <definedName name="OSRRefD21_11x_9" localSheetId="42">'202'!$M$61</definedName>
    <definedName name="OSRRefD21_11x_9" localSheetId="43">'203'!$M$63:$M$66</definedName>
    <definedName name="OSRRefD21_11x_9" localSheetId="48">'300'!$M$96</definedName>
    <definedName name="OSRRefD21_11x_9" localSheetId="49">'300 &amp; 317'!$M$102</definedName>
    <definedName name="OSRRefD21_11x_9" localSheetId="50">'301'!$M$62</definedName>
    <definedName name="OSRRefD21_11x_9" localSheetId="55">'307'!$M$74</definedName>
    <definedName name="OSRRefD21_11x_9" localSheetId="51">'308'!$M$78:$M$79</definedName>
    <definedName name="OSRRefD21_11x_9" localSheetId="64">'309'!$M$52</definedName>
    <definedName name="OSRRefD21_11x_9" localSheetId="63">'310'!$M$69:$M$70</definedName>
    <definedName name="OSRRefD21_11x_9" localSheetId="71">'310 &amp; 491'!$M$69</definedName>
    <definedName name="OSRRefD21_11x_9" localSheetId="52">'311'!$M$78:$M$79</definedName>
    <definedName name="OSRRefD21_11x_9" localSheetId="57">'315'!$M$83</definedName>
    <definedName name="OSRRefD21_11x_9" localSheetId="60">'316'!$M$71</definedName>
    <definedName name="OSRRefD21_11x_9" localSheetId="66">'321'!$M$70</definedName>
    <definedName name="OSRRefD21_11x_9" localSheetId="68">'325'!$M$64:$M$65</definedName>
    <definedName name="OSRRefD21_11x_9" localSheetId="58">'326'!$M$66:$M$67</definedName>
    <definedName name="OSRRefD21_11x_9" localSheetId="56">'331'!$M$83</definedName>
    <definedName name="OSRRefD21_11x_9" localSheetId="59">'332'!$M$71</definedName>
    <definedName name="OSRRefD21_11x_9" localSheetId="54">'333'!$M$85</definedName>
    <definedName name="OSRRefD21_11x_9" localSheetId="73">'405'!$M$69</definedName>
    <definedName name="OSRRefD21_11x_9" localSheetId="75">'411'!$M$62:$M$63</definedName>
    <definedName name="OSRRefD21_11x_9" localSheetId="79">'415'!$M$67:$M$68</definedName>
    <definedName name="OSRRefD21_11x_9" localSheetId="80">'418'!$M$66:$M$71</definedName>
    <definedName name="OSRRefD21_11x_9" localSheetId="87">'433'!$M$66:$M$68</definedName>
    <definedName name="OSRRefD21_11x_9" localSheetId="89">'444'!$M$66:$M$67</definedName>
    <definedName name="OSRRefD21_11x_9" localSheetId="90">'450'!$M$66:$M$67</definedName>
    <definedName name="OSRRefD21_11x_9" localSheetId="72">'491'!$M$68</definedName>
    <definedName name="OSRRefD21_11x_9" localSheetId="85">'492'!$M$68</definedName>
    <definedName name="OSRRefD21_11x_9" localSheetId="92">'501'!$M$63:$M$65</definedName>
    <definedName name="OSRRefD21_11x_9" localSheetId="39">'Div 2'!$M$61</definedName>
    <definedName name="OSRRefD21_11x_9" localSheetId="47">'Div 3'!$M$102</definedName>
    <definedName name="OSRRefD21_11x_9" localSheetId="70">'Div 4'!$M$71</definedName>
    <definedName name="OSRRefD21_11x_9" localSheetId="91">'Div 5'!$M$63:$M$65</definedName>
    <definedName name="OSRRefD21_11x_9" localSheetId="2">Summary!$M$110</definedName>
    <definedName name="OSRRefD21_12_0x" localSheetId="41">'201'!$D$63:$M$63</definedName>
    <definedName name="OSRRefD21_12_0x" localSheetId="42">'202'!$D$63:$M$63</definedName>
    <definedName name="OSRRefD21_12_0x" localSheetId="43">'203'!$D$68:$M$68</definedName>
    <definedName name="OSRRefD21_12_0x" localSheetId="48">'300'!$D$98:$M$98</definedName>
    <definedName name="OSRRefD21_12_0x" localSheetId="49">'300 &amp; 317'!$D$104:$M$104</definedName>
    <definedName name="OSRRefD21_12_0x" localSheetId="50">'301'!$D$64:$M$64</definedName>
    <definedName name="OSRRefD21_12_0x" localSheetId="55">'307'!$D$76:$M$76</definedName>
    <definedName name="OSRRefD21_12_0x" localSheetId="51">'308'!$D$81:$M$81</definedName>
    <definedName name="OSRRefD21_12_0x" localSheetId="64">'309'!$D$54:$M$54</definedName>
    <definedName name="OSRRefD21_12_0x" localSheetId="63">'310'!$D$72:$M$72</definedName>
    <definedName name="OSRRefD21_12_0x" localSheetId="71">'310 &amp; 491'!$D$71:$M$71</definedName>
    <definedName name="OSRRefD21_12_0x" localSheetId="52">'311'!$D$81:$M$81</definedName>
    <definedName name="OSRRefD21_12_0x" localSheetId="57">'315'!$D$85:$M$85</definedName>
    <definedName name="OSRRefD21_12_0x" localSheetId="66">'321'!$D$72:$M$72</definedName>
    <definedName name="OSRRefD21_12_0x" localSheetId="68">'325'!$D$67:$M$67</definedName>
    <definedName name="OSRRefD21_12_0x" localSheetId="58">'326'!$D$69:$M$69</definedName>
    <definedName name="OSRRefD21_12_0x" localSheetId="56">'331'!$D$85:$M$85</definedName>
    <definedName name="OSRRefD21_12_0x" localSheetId="54">'333'!$D$87:$M$87</definedName>
    <definedName name="OSRRefD21_12_0x" localSheetId="73">'405'!$D$71:$M$71</definedName>
    <definedName name="OSRRefD21_12_0x" localSheetId="75">'411'!$D$65:$M$65</definedName>
    <definedName name="OSRRefD21_12_0x" localSheetId="79">'415'!$D$70:$M$70</definedName>
    <definedName name="OSRRefD21_12_0x" localSheetId="80">'418'!$D$73:$M$73</definedName>
    <definedName name="OSRRefD21_12_0x" localSheetId="87">'433'!$D$70:$M$70</definedName>
    <definedName name="OSRRefD21_12_0x" localSheetId="89">'444'!$D$69:$M$69</definedName>
    <definedName name="OSRRefD21_12_0x" localSheetId="90">'450'!$D$69:$M$69</definedName>
    <definedName name="OSRRefD21_12_0x" localSheetId="72">'491'!$D$70:$M$70</definedName>
    <definedName name="OSRRefD21_12_0x" localSheetId="85">'492'!$D$70:$M$70</definedName>
    <definedName name="OSRRefD21_12_0x" localSheetId="92">'501'!$D$67:$M$67</definedName>
    <definedName name="OSRRefD21_12_0x" localSheetId="39">'Div 2'!$D$63:$M$63</definedName>
    <definedName name="OSRRefD21_12_0x" localSheetId="47">'Div 3'!$D$104:$M$104</definedName>
    <definedName name="OSRRefD21_12_0x" localSheetId="70">'Div 4'!$D$73:$M$73</definedName>
    <definedName name="OSRRefD21_12_0x" localSheetId="91">'Div 5'!$D$67:$M$67</definedName>
    <definedName name="OSRRefD21_12_0x" localSheetId="2">Summary!$D$112:$M$112</definedName>
    <definedName name="OSRRefD21_12_1x" localSheetId="41">'201'!$D$64:$M$64</definedName>
    <definedName name="OSRRefD21_12_1x" localSheetId="55">'307'!$D$77:$M$77</definedName>
    <definedName name="OSRRefD21_12_1x" localSheetId="51">'308'!$D$82:$M$82</definedName>
    <definedName name="OSRRefD21_12_1x" localSheetId="63">'310'!$D$73:$M$73</definedName>
    <definedName name="OSRRefD21_12_1x" localSheetId="71">'310 &amp; 491'!$D$72:$M$72</definedName>
    <definedName name="OSRRefD21_12_1x" localSheetId="52">'311'!$D$82:$M$82</definedName>
    <definedName name="OSRRefD21_12_1x" localSheetId="57">'315'!$D$86:$M$86</definedName>
    <definedName name="OSRRefD21_12_1x" localSheetId="68">'325'!$D$68:$M$68</definedName>
    <definedName name="OSRRefD21_12_1x" localSheetId="58">'326'!$D$70:$M$70</definedName>
    <definedName name="OSRRefD21_12_1x" localSheetId="73">'405'!$D$72:$M$72</definedName>
    <definedName name="OSRRefD21_12_1x" localSheetId="79">'415'!$D$71:$M$71</definedName>
    <definedName name="OSRRefD21_12_1x" localSheetId="80">'418'!$D$74:$M$74</definedName>
    <definedName name="OSRRefD21_12_1x" localSheetId="87">'433'!$D$71:$M$71</definedName>
    <definedName name="OSRRefD21_12_1x" localSheetId="89">'444'!$D$70:$M$70</definedName>
    <definedName name="OSRRefD21_12_1x" localSheetId="90">'450'!$D$70:$M$70</definedName>
    <definedName name="OSRRefD21_12_1x" localSheetId="72">'491'!$D$71:$M$71</definedName>
    <definedName name="OSRRefD21_12_1x" localSheetId="85">'492'!$D$71:$M$71</definedName>
    <definedName name="OSRRefD21_12_1x" localSheetId="39">'Div 2'!$D$64:$M$64</definedName>
    <definedName name="OSRRefD21_12_2x" localSheetId="55">'307'!$D$78:$M$78</definedName>
    <definedName name="OSRRefD21_12_2x" localSheetId="71">'310 &amp; 491'!$D$73:$M$73</definedName>
    <definedName name="OSRRefD21_12_2x" localSheetId="68">'325'!$D$69:$M$69</definedName>
    <definedName name="OSRRefD21_12_2x" localSheetId="73">'405'!$D$73:$M$73</definedName>
    <definedName name="OSRRefD21_12_2x" localSheetId="79">'415'!$D$72:$M$72</definedName>
    <definedName name="OSRRefD21_12_2x" localSheetId="87">'433'!$D$72:$M$72</definedName>
    <definedName name="OSRRefD21_12_2x" localSheetId="89">'444'!$D$71:$M$71</definedName>
    <definedName name="OSRRefD21_12_2x" localSheetId="90">'450'!$D$71:$M$71</definedName>
    <definedName name="OSRRefD21_12_2x" localSheetId="72">'491'!$D$72:$M$72</definedName>
    <definedName name="OSRRefD21_12_2x" localSheetId="85">'492'!$D$72:$M$72</definedName>
    <definedName name="OSRRefD21_12_2x" localSheetId="39">'Div 2'!$D$65:$M$65</definedName>
    <definedName name="OSRRefD21_12_3x" localSheetId="55">'307'!$D$79:$M$79</definedName>
    <definedName name="OSRRefD21_12_3x" localSheetId="73">'405'!$D$74:$M$74</definedName>
    <definedName name="OSRRefD21_12_3x" localSheetId="79">'415'!$D$73:$M$73</definedName>
    <definedName name="OSRRefD21_12_3x" localSheetId="87">'433'!$D$73:$M$73</definedName>
    <definedName name="OSRRefD21_12_3x" localSheetId="89">'444'!$D$72:$M$72</definedName>
    <definedName name="OSRRefD21_12_3x" localSheetId="90">'450'!$D$72:$M$72</definedName>
    <definedName name="OSRRefD21_12_3x" localSheetId="39">'Div 2'!$D$66:$M$66</definedName>
    <definedName name="OSRRefD21_12_4x" localSheetId="73">'405'!$D$75:$M$75</definedName>
    <definedName name="OSRRefD21_12_5x" localSheetId="73">'405'!$D$76:$M$76</definedName>
    <definedName name="OSRRefD21_12_6x" localSheetId="73">'405'!$D$77:$M$77</definedName>
    <definedName name="OSRRefD21_12_7x" localSheetId="73">'405'!$D$78:$M$78</definedName>
    <definedName name="OSRRefD21_12_8x" localSheetId="73">'405'!$D$79:$M$79</definedName>
    <definedName name="OSRRefD21_12x_0" localSheetId="41">'201'!$D$63:$D$64</definedName>
    <definedName name="OSRRefD21_12x_0" localSheetId="42">'202'!$D$63</definedName>
    <definedName name="OSRRefD21_12x_0" localSheetId="43">'203'!$D$68</definedName>
    <definedName name="OSRRefD21_12x_0" localSheetId="48">'300'!$D$98</definedName>
    <definedName name="OSRRefD21_12x_0" localSheetId="49">'300 &amp; 317'!$D$104</definedName>
    <definedName name="OSRRefD21_12x_0" localSheetId="50">'301'!$D$64</definedName>
    <definedName name="OSRRefD21_12x_0" localSheetId="55">'307'!$D$76:$D$79</definedName>
    <definedName name="OSRRefD21_12x_0" localSheetId="51">'308'!$D$81:$D$82</definedName>
    <definedName name="OSRRefD21_12x_0" localSheetId="64">'309'!$D$54</definedName>
    <definedName name="OSRRefD21_12x_0" localSheetId="63">'310'!$D$72:$D$73</definedName>
    <definedName name="OSRRefD21_12x_0" localSheetId="71">'310 &amp; 491'!$D$71:$D$73</definedName>
    <definedName name="OSRRefD21_12x_0" localSheetId="52">'311'!$D$81:$D$82</definedName>
    <definedName name="OSRRefD21_12x_0" localSheetId="57">'315'!$D$85:$D$86</definedName>
    <definedName name="OSRRefD21_12x_0" localSheetId="66">'321'!$D$72</definedName>
    <definedName name="OSRRefD21_12x_0" localSheetId="68">'325'!$D$67:$D$69</definedName>
    <definedName name="OSRRefD21_12x_0" localSheetId="58">'326'!$D$69:$D$70</definedName>
    <definedName name="OSRRefD21_12x_0" localSheetId="56">'331'!$D$85</definedName>
    <definedName name="OSRRefD21_12x_0" localSheetId="54">'333'!$D$87</definedName>
    <definedName name="OSRRefD21_12x_0" localSheetId="73">'405'!$D$71:$D$79</definedName>
    <definedName name="OSRRefD21_12x_0" localSheetId="75">'411'!$D$65</definedName>
    <definedName name="OSRRefD21_12x_0" localSheetId="79">'415'!$D$70:$D$73</definedName>
    <definedName name="OSRRefD21_12x_0" localSheetId="80">'418'!$D$73:$D$74</definedName>
    <definedName name="OSRRefD21_12x_0" localSheetId="87">'433'!$D$70:$D$73</definedName>
    <definedName name="OSRRefD21_12x_0" localSheetId="89">'444'!$D$69:$D$72</definedName>
    <definedName name="OSRRefD21_12x_0" localSheetId="90">'450'!$D$69:$D$72</definedName>
    <definedName name="OSRRefD21_12x_0" localSheetId="72">'491'!$D$70:$D$72</definedName>
    <definedName name="OSRRefD21_12x_0" localSheetId="85">'492'!$D$70:$D$72</definedName>
    <definedName name="OSRRefD21_12x_0" localSheetId="92">'501'!$D$67</definedName>
    <definedName name="OSRRefD21_12x_0" localSheetId="39">'Div 2'!$D$63:$D$66</definedName>
    <definedName name="OSRRefD21_12x_0" localSheetId="47">'Div 3'!$D$104</definedName>
    <definedName name="OSRRefD21_12x_0" localSheetId="70">'Div 4'!$D$73</definedName>
    <definedName name="OSRRefD21_12x_0" localSheetId="91">'Div 5'!$D$67</definedName>
    <definedName name="OSRRefD21_12x_0" localSheetId="2">Summary!$D$112</definedName>
    <definedName name="OSRRefD21_12x_1" localSheetId="41">'201'!$E$63:$E$64</definedName>
    <definedName name="OSRRefD21_12x_1" localSheetId="42">'202'!$E$63</definedName>
    <definedName name="OSRRefD21_12x_1" localSheetId="43">'203'!$E$68</definedName>
    <definedName name="OSRRefD21_12x_1" localSheetId="48">'300'!$E$98</definedName>
    <definedName name="OSRRefD21_12x_1" localSheetId="49">'300 &amp; 317'!$E$104</definedName>
    <definedName name="OSRRefD21_12x_1" localSheetId="50">'301'!$E$64</definedName>
    <definedName name="OSRRefD21_12x_1" localSheetId="55">'307'!$E$76:$E$79</definedName>
    <definedName name="OSRRefD21_12x_1" localSheetId="51">'308'!$E$81:$E$82</definedName>
    <definedName name="OSRRefD21_12x_1" localSheetId="64">'309'!$E$54</definedName>
    <definedName name="OSRRefD21_12x_1" localSheetId="63">'310'!$E$72:$E$73</definedName>
    <definedName name="OSRRefD21_12x_1" localSheetId="71">'310 &amp; 491'!$E$71:$E$73</definedName>
    <definedName name="OSRRefD21_12x_1" localSheetId="52">'311'!$E$81:$E$82</definedName>
    <definedName name="OSRRefD21_12x_1" localSheetId="57">'315'!$E$85:$E$86</definedName>
    <definedName name="OSRRefD21_12x_1" localSheetId="66">'321'!$E$72</definedName>
    <definedName name="OSRRefD21_12x_1" localSheetId="68">'325'!$E$67:$E$69</definedName>
    <definedName name="OSRRefD21_12x_1" localSheetId="58">'326'!$E$69:$E$70</definedName>
    <definedName name="OSRRefD21_12x_1" localSheetId="56">'331'!$E$85</definedName>
    <definedName name="OSRRefD21_12x_1" localSheetId="54">'333'!$E$87</definedName>
    <definedName name="OSRRefD21_12x_1" localSheetId="73">'405'!$E$71:$E$79</definedName>
    <definedName name="OSRRefD21_12x_1" localSheetId="75">'411'!$E$65</definedName>
    <definedName name="OSRRefD21_12x_1" localSheetId="79">'415'!$E$70:$E$73</definedName>
    <definedName name="OSRRefD21_12x_1" localSheetId="80">'418'!$E$73:$E$74</definedName>
    <definedName name="OSRRefD21_12x_1" localSheetId="87">'433'!$E$70:$E$73</definedName>
    <definedName name="OSRRefD21_12x_1" localSheetId="89">'444'!$E$69:$E$72</definedName>
    <definedName name="OSRRefD21_12x_1" localSheetId="90">'450'!$E$69:$E$72</definedName>
    <definedName name="OSRRefD21_12x_1" localSheetId="72">'491'!$E$70:$E$72</definedName>
    <definedName name="OSRRefD21_12x_1" localSheetId="85">'492'!$E$70:$E$72</definedName>
    <definedName name="OSRRefD21_12x_1" localSheetId="92">'501'!$E$67</definedName>
    <definedName name="OSRRefD21_12x_1" localSheetId="39">'Div 2'!$E$63:$E$66</definedName>
    <definedName name="OSRRefD21_12x_1" localSheetId="47">'Div 3'!$E$104</definedName>
    <definedName name="OSRRefD21_12x_1" localSheetId="70">'Div 4'!$E$73</definedName>
    <definedName name="OSRRefD21_12x_1" localSheetId="91">'Div 5'!$E$67</definedName>
    <definedName name="OSRRefD21_12x_1" localSheetId="2">Summary!$E$112</definedName>
    <definedName name="OSRRefD21_12x_2" localSheetId="41">'201'!$F$63:$F$64</definedName>
    <definedName name="OSRRefD21_12x_2" localSheetId="42">'202'!$F$63</definedName>
    <definedName name="OSRRefD21_12x_2" localSheetId="43">'203'!$F$68</definedName>
    <definedName name="OSRRefD21_12x_2" localSheetId="48">'300'!$F$98</definedName>
    <definedName name="OSRRefD21_12x_2" localSheetId="49">'300 &amp; 317'!$F$104</definedName>
    <definedName name="OSRRefD21_12x_2" localSheetId="50">'301'!$F$64</definedName>
    <definedName name="OSRRefD21_12x_2" localSheetId="55">'307'!$F$76:$F$79</definedName>
    <definedName name="OSRRefD21_12x_2" localSheetId="51">'308'!$F$81:$F$82</definedName>
    <definedName name="OSRRefD21_12x_2" localSheetId="64">'309'!$F$54</definedName>
    <definedName name="OSRRefD21_12x_2" localSheetId="63">'310'!$F$72:$F$73</definedName>
    <definedName name="OSRRefD21_12x_2" localSheetId="71">'310 &amp; 491'!$F$71:$F$73</definedName>
    <definedName name="OSRRefD21_12x_2" localSheetId="52">'311'!$F$81:$F$82</definedName>
    <definedName name="OSRRefD21_12x_2" localSheetId="57">'315'!$F$85:$F$86</definedName>
    <definedName name="OSRRefD21_12x_2" localSheetId="66">'321'!$F$72</definedName>
    <definedName name="OSRRefD21_12x_2" localSheetId="68">'325'!$F$67:$F$69</definedName>
    <definedName name="OSRRefD21_12x_2" localSheetId="58">'326'!$F$69:$F$70</definedName>
    <definedName name="OSRRefD21_12x_2" localSheetId="56">'331'!$F$85</definedName>
    <definedName name="OSRRefD21_12x_2" localSheetId="54">'333'!$F$87</definedName>
    <definedName name="OSRRefD21_12x_2" localSheetId="73">'405'!$F$71:$F$79</definedName>
    <definedName name="OSRRefD21_12x_2" localSheetId="75">'411'!$F$65</definedName>
    <definedName name="OSRRefD21_12x_2" localSheetId="79">'415'!$F$70:$F$73</definedName>
    <definedName name="OSRRefD21_12x_2" localSheetId="80">'418'!$F$73:$F$74</definedName>
    <definedName name="OSRRefD21_12x_2" localSheetId="87">'433'!$F$70:$F$73</definedName>
    <definedName name="OSRRefD21_12x_2" localSheetId="89">'444'!$F$69:$F$72</definedName>
    <definedName name="OSRRefD21_12x_2" localSheetId="90">'450'!$F$69:$F$72</definedName>
    <definedName name="OSRRefD21_12x_2" localSheetId="72">'491'!$F$70:$F$72</definedName>
    <definedName name="OSRRefD21_12x_2" localSheetId="85">'492'!$F$70:$F$72</definedName>
    <definedName name="OSRRefD21_12x_2" localSheetId="92">'501'!$F$67</definedName>
    <definedName name="OSRRefD21_12x_2" localSheetId="39">'Div 2'!$F$63:$F$66</definedName>
    <definedName name="OSRRefD21_12x_2" localSheetId="47">'Div 3'!$F$104</definedName>
    <definedName name="OSRRefD21_12x_2" localSheetId="70">'Div 4'!$F$73</definedName>
    <definedName name="OSRRefD21_12x_2" localSheetId="91">'Div 5'!$F$67</definedName>
    <definedName name="OSRRefD21_12x_2" localSheetId="2">Summary!$F$112</definedName>
    <definedName name="OSRRefD21_12x_3" localSheetId="41">'201'!$G$63:$G$64</definedName>
    <definedName name="OSRRefD21_12x_3" localSheetId="42">'202'!$G$63</definedName>
    <definedName name="OSRRefD21_12x_3" localSheetId="43">'203'!$G$68</definedName>
    <definedName name="OSRRefD21_12x_3" localSheetId="48">'300'!$G$98</definedName>
    <definedName name="OSRRefD21_12x_3" localSheetId="49">'300 &amp; 317'!$G$104</definedName>
    <definedName name="OSRRefD21_12x_3" localSheetId="50">'301'!$G$64</definedName>
    <definedName name="OSRRefD21_12x_3" localSheetId="55">'307'!$G$76:$G$79</definedName>
    <definedName name="OSRRefD21_12x_3" localSheetId="51">'308'!$G$81:$G$82</definedName>
    <definedName name="OSRRefD21_12x_3" localSheetId="64">'309'!$G$54</definedName>
    <definedName name="OSRRefD21_12x_3" localSheetId="63">'310'!$G$72:$G$73</definedName>
    <definedName name="OSRRefD21_12x_3" localSheetId="71">'310 &amp; 491'!$G$71:$G$73</definedName>
    <definedName name="OSRRefD21_12x_3" localSheetId="52">'311'!$G$81:$G$82</definedName>
    <definedName name="OSRRefD21_12x_3" localSheetId="57">'315'!$G$85:$G$86</definedName>
    <definedName name="OSRRefD21_12x_3" localSheetId="66">'321'!$G$72</definedName>
    <definedName name="OSRRefD21_12x_3" localSheetId="68">'325'!$G$67:$G$69</definedName>
    <definedName name="OSRRefD21_12x_3" localSheetId="58">'326'!$G$69:$G$70</definedName>
    <definedName name="OSRRefD21_12x_3" localSheetId="56">'331'!$G$85</definedName>
    <definedName name="OSRRefD21_12x_3" localSheetId="54">'333'!$G$87</definedName>
    <definedName name="OSRRefD21_12x_3" localSheetId="73">'405'!$G$71:$G$79</definedName>
    <definedName name="OSRRefD21_12x_3" localSheetId="75">'411'!$G$65</definedName>
    <definedName name="OSRRefD21_12x_3" localSheetId="79">'415'!$G$70:$G$73</definedName>
    <definedName name="OSRRefD21_12x_3" localSheetId="80">'418'!$G$73:$G$74</definedName>
    <definedName name="OSRRefD21_12x_3" localSheetId="87">'433'!$G$70:$G$73</definedName>
    <definedName name="OSRRefD21_12x_3" localSheetId="89">'444'!$G$69:$G$72</definedName>
    <definedName name="OSRRefD21_12x_3" localSheetId="90">'450'!$G$69:$G$72</definedName>
    <definedName name="OSRRefD21_12x_3" localSheetId="72">'491'!$G$70:$G$72</definedName>
    <definedName name="OSRRefD21_12x_3" localSheetId="85">'492'!$G$70:$G$72</definedName>
    <definedName name="OSRRefD21_12x_3" localSheetId="92">'501'!$G$67</definedName>
    <definedName name="OSRRefD21_12x_3" localSheetId="39">'Div 2'!$G$63:$G$66</definedName>
    <definedName name="OSRRefD21_12x_3" localSheetId="47">'Div 3'!$G$104</definedName>
    <definedName name="OSRRefD21_12x_3" localSheetId="70">'Div 4'!$G$73</definedName>
    <definedName name="OSRRefD21_12x_3" localSheetId="91">'Div 5'!$G$67</definedName>
    <definedName name="OSRRefD21_12x_3" localSheetId="2">Summary!$G$112</definedName>
    <definedName name="OSRRefD21_12x_4" localSheetId="41">'201'!$H$63:$H$64</definedName>
    <definedName name="OSRRefD21_12x_4" localSheetId="42">'202'!$H$63</definedName>
    <definedName name="OSRRefD21_12x_4" localSheetId="43">'203'!$H$68</definedName>
    <definedName name="OSRRefD21_12x_4" localSheetId="48">'300'!$H$98</definedName>
    <definedName name="OSRRefD21_12x_4" localSheetId="49">'300 &amp; 317'!$H$104</definedName>
    <definedName name="OSRRefD21_12x_4" localSheetId="50">'301'!$H$64</definedName>
    <definedName name="OSRRefD21_12x_4" localSheetId="55">'307'!$H$76:$H$79</definedName>
    <definedName name="OSRRefD21_12x_4" localSheetId="51">'308'!$H$81:$H$82</definedName>
    <definedName name="OSRRefD21_12x_4" localSheetId="64">'309'!$H$54</definedName>
    <definedName name="OSRRefD21_12x_4" localSheetId="63">'310'!$H$72:$H$73</definedName>
    <definedName name="OSRRefD21_12x_4" localSheetId="71">'310 &amp; 491'!$H$71:$H$73</definedName>
    <definedName name="OSRRefD21_12x_4" localSheetId="52">'311'!$H$81:$H$82</definedName>
    <definedName name="OSRRefD21_12x_4" localSheetId="57">'315'!$H$85:$H$86</definedName>
    <definedName name="OSRRefD21_12x_4" localSheetId="66">'321'!$H$72</definedName>
    <definedName name="OSRRefD21_12x_4" localSheetId="68">'325'!$H$67:$H$69</definedName>
    <definedName name="OSRRefD21_12x_4" localSheetId="58">'326'!$H$69:$H$70</definedName>
    <definedName name="OSRRefD21_12x_4" localSheetId="56">'331'!$H$85</definedName>
    <definedName name="OSRRefD21_12x_4" localSheetId="54">'333'!$H$87</definedName>
    <definedName name="OSRRefD21_12x_4" localSheetId="73">'405'!$H$71:$H$79</definedName>
    <definedName name="OSRRefD21_12x_4" localSheetId="75">'411'!$H$65</definedName>
    <definedName name="OSRRefD21_12x_4" localSheetId="79">'415'!$H$70:$H$73</definedName>
    <definedName name="OSRRefD21_12x_4" localSheetId="80">'418'!$H$73:$H$74</definedName>
    <definedName name="OSRRefD21_12x_4" localSheetId="87">'433'!$H$70:$H$73</definedName>
    <definedName name="OSRRefD21_12x_4" localSheetId="89">'444'!$H$69:$H$72</definedName>
    <definedName name="OSRRefD21_12x_4" localSheetId="90">'450'!$H$69:$H$72</definedName>
    <definedName name="OSRRefD21_12x_4" localSheetId="72">'491'!$H$70:$H$72</definedName>
    <definedName name="OSRRefD21_12x_4" localSheetId="85">'492'!$H$70:$H$72</definedName>
    <definedName name="OSRRefD21_12x_4" localSheetId="92">'501'!$H$67</definedName>
    <definedName name="OSRRefD21_12x_4" localSheetId="39">'Div 2'!$H$63:$H$66</definedName>
    <definedName name="OSRRefD21_12x_4" localSheetId="47">'Div 3'!$H$104</definedName>
    <definedName name="OSRRefD21_12x_4" localSheetId="70">'Div 4'!$H$73</definedName>
    <definedName name="OSRRefD21_12x_4" localSheetId="91">'Div 5'!$H$67</definedName>
    <definedName name="OSRRefD21_12x_4" localSheetId="2">Summary!$H$112</definedName>
    <definedName name="OSRRefD21_12x_5" localSheetId="41">'201'!$I$63:$I$64</definedName>
    <definedName name="OSRRefD21_12x_5" localSheetId="42">'202'!$I$63</definedName>
    <definedName name="OSRRefD21_12x_5" localSheetId="43">'203'!$I$68</definedName>
    <definedName name="OSRRefD21_12x_5" localSheetId="48">'300'!$I$98</definedName>
    <definedName name="OSRRefD21_12x_5" localSheetId="49">'300 &amp; 317'!$I$104</definedName>
    <definedName name="OSRRefD21_12x_5" localSheetId="50">'301'!$I$64</definedName>
    <definedName name="OSRRefD21_12x_5" localSheetId="55">'307'!$I$76:$I$79</definedName>
    <definedName name="OSRRefD21_12x_5" localSheetId="51">'308'!$I$81:$I$82</definedName>
    <definedName name="OSRRefD21_12x_5" localSheetId="64">'309'!$I$54</definedName>
    <definedName name="OSRRefD21_12x_5" localSheetId="63">'310'!$I$72:$I$73</definedName>
    <definedName name="OSRRefD21_12x_5" localSheetId="71">'310 &amp; 491'!$I$71:$I$73</definedName>
    <definedName name="OSRRefD21_12x_5" localSheetId="52">'311'!$I$81:$I$82</definedName>
    <definedName name="OSRRefD21_12x_5" localSheetId="57">'315'!$I$85:$I$86</definedName>
    <definedName name="OSRRefD21_12x_5" localSheetId="66">'321'!$I$72</definedName>
    <definedName name="OSRRefD21_12x_5" localSheetId="68">'325'!$I$67:$I$69</definedName>
    <definedName name="OSRRefD21_12x_5" localSheetId="58">'326'!$I$69:$I$70</definedName>
    <definedName name="OSRRefD21_12x_5" localSheetId="56">'331'!$I$85</definedName>
    <definedName name="OSRRefD21_12x_5" localSheetId="54">'333'!$I$87</definedName>
    <definedName name="OSRRefD21_12x_5" localSheetId="73">'405'!$I$71:$I$79</definedName>
    <definedName name="OSRRefD21_12x_5" localSheetId="75">'411'!$I$65</definedName>
    <definedName name="OSRRefD21_12x_5" localSheetId="79">'415'!$I$70:$I$73</definedName>
    <definedName name="OSRRefD21_12x_5" localSheetId="80">'418'!$I$73:$I$74</definedName>
    <definedName name="OSRRefD21_12x_5" localSheetId="87">'433'!$I$70:$I$73</definedName>
    <definedName name="OSRRefD21_12x_5" localSheetId="89">'444'!$I$69:$I$72</definedName>
    <definedName name="OSRRefD21_12x_5" localSheetId="90">'450'!$I$69:$I$72</definedName>
    <definedName name="OSRRefD21_12x_5" localSheetId="72">'491'!$I$70:$I$72</definedName>
    <definedName name="OSRRefD21_12x_5" localSheetId="85">'492'!$I$70:$I$72</definedName>
    <definedName name="OSRRefD21_12x_5" localSheetId="92">'501'!$I$67</definedName>
    <definedName name="OSRRefD21_12x_5" localSheetId="39">'Div 2'!$I$63:$I$66</definedName>
    <definedName name="OSRRefD21_12x_5" localSheetId="47">'Div 3'!$I$104</definedName>
    <definedName name="OSRRefD21_12x_5" localSheetId="70">'Div 4'!$I$73</definedName>
    <definedName name="OSRRefD21_12x_5" localSheetId="91">'Div 5'!$I$67</definedName>
    <definedName name="OSRRefD21_12x_5" localSheetId="2">Summary!$I$112</definedName>
    <definedName name="OSRRefD21_12x_6" localSheetId="41">'201'!$J$63:$J$64</definedName>
    <definedName name="OSRRefD21_12x_6" localSheetId="42">'202'!$J$63</definedName>
    <definedName name="OSRRefD21_12x_6" localSheetId="43">'203'!$J$68</definedName>
    <definedName name="OSRRefD21_12x_6" localSheetId="48">'300'!$J$98</definedName>
    <definedName name="OSRRefD21_12x_6" localSheetId="49">'300 &amp; 317'!$J$104</definedName>
    <definedName name="OSRRefD21_12x_6" localSheetId="50">'301'!$J$64</definedName>
    <definedName name="OSRRefD21_12x_6" localSheetId="55">'307'!$J$76:$J$79</definedName>
    <definedName name="OSRRefD21_12x_6" localSheetId="51">'308'!$J$81:$J$82</definedName>
    <definedName name="OSRRefD21_12x_6" localSheetId="64">'309'!$J$54</definedName>
    <definedName name="OSRRefD21_12x_6" localSheetId="63">'310'!$J$72:$J$73</definedName>
    <definedName name="OSRRefD21_12x_6" localSheetId="71">'310 &amp; 491'!$J$71:$J$73</definedName>
    <definedName name="OSRRefD21_12x_6" localSheetId="52">'311'!$J$81:$J$82</definedName>
    <definedName name="OSRRefD21_12x_6" localSheetId="57">'315'!$J$85:$J$86</definedName>
    <definedName name="OSRRefD21_12x_6" localSheetId="66">'321'!$J$72</definedName>
    <definedName name="OSRRefD21_12x_6" localSheetId="68">'325'!$J$67:$J$69</definedName>
    <definedName name="OSRRefD21_12x_6" localSheetId="58">'326'!$J$69:$J$70</definedName>
    <definedName name="OSRRefD21_12x_6" localSheetId="56">'331'!$J$85</definedName>
    <definedName name="OSRRefD21_12x_6" localSheetId="54">'333'!$J$87</definedName>
    <definedName name="OSRRefD21_12x_6" localSheetId="73">'405'!$J$71:$J$79</definedName>
    <definedName name="OSRRefD21_12x_6" localSheetId="75">'411'!$J$65</definedName>
    <definedName name="OSRRefD21_12x_6" localSheetId="79">'415'!$J$70:$J$73</definedName>
    <definedName name="OSRRefD21_12x_6" localSheetId="80">'418'!$J$73:$J$74</definedName>
    <definedName name="OSRRefD21_12x_6" localSheetId="87">'433'!$J$70:$J$73</definedName>
    <definedName name="OSRRefD21_12x_6" localSheetId="89">'444'!$J$69:$J$72</definedName>
    <definedName name="OSRRefD21_12x_6" localSheetId="90">'450'!$J$69:$J$72</definedName>
    <definedName name="OSRRefD21_12x_6" localSheetId="72">'491'!$J$70:$J$72</definedName>
    <definedName name="OSRRefD21_12x_6" localSheetId="85">'492'!$J$70:$J$72</definedName>
    <definedName name="OSRRefD21_12x_6" localSheetId="92">'501'!$J$67</definedName>
    <definedName name="OSRRefD21_12x_6" localSheetId="39">'Div 2'!$J$63:$J$66</definedName>
    <definedName name="OSRRefD21_12x_6" localSheetId="47">'Div 3'!$J$104</definedName>
    <definedName name="OSRRefD21_12x_6" localSheetId="70">'Div 4'!$J$73</definedName>
    <definedName name="OSRRefD21_12x_6" localSheetId="91">'Div 5'!$J$67</definedName>
    <definedName name="OSRRefD21_12x_6" localSheetId="2">Summary!$J$112</definedName>
    <definedName name="OSRRefD21_12x_7" localSheetId="41">'201'!$K$63:$K$64</definedName>
    <definedName name="OSRRefD21_12x_7" localSheetId="42">'202'!$K$63</definedName>
    <definedName name="OSRRefD21_12x_7" localSheetId="43">'203'!$K$68</definedName>
    <definedName name="OSRRefD21_12x_7" localSheetId="48">'300'!$K$98</definedName>
    <definedName name="OSRRefD21_12x_7" localSheetId="49">'300 &amp; 317'!$K$104</definedName>
    <definedName name="OSRRefD21_12x_7" localSheetId="50">'301'!$K$64</definedName>
    <definedName name="OSRRefD21_12x_7" localSheetId="55">'307'!$K$76:$K$79</definedName>
    <definedName name="OSRRefD21_12x_7" localSheetId="51">'308'!$K$81:$K$82</definedName>
    <definedName name="OSRRefD21_12x_7" localSheetId="64">'309'!$K$54</definedName>
    <definedName name="OSRRefD21_12x_7" localSheetId="63">'310'!$K$72:$K$73</definedName>
    <definedName name="OSRRefD21_12x_7" localSheetId="71">'310 &amp; 491'!$K$71:$K$73</definedName>
    <definedName name="OSRRefD21_12x_7" localSheetId="52">'311'!$K$81:$K$82</definedName>
    <definedName name="OSRRefD21_12x_7" localSheetId="57">'315'!$K$85:$K$86</definedName>
    <definedName name="OSRRefD21_12x_7" localSheetId="66">'321'!$K$72</definedName>
    <definedName name="OSRRefD21_12x_7" localSheetId="68">'325'!$K$67:$K$69</definedName>
    <definedName name="OSRRefD21_12x_7" localSheetId="58">'326'!$K$69:$K$70</definedName>
    <definedName name="OSRRefD21_12x_7" localSheetId="56">'331'!$K$85</definedName>
    <definedName name="OSRRefD21_12x_7" localSheetId="54">'333'!$K$87</definedName>
    <definedName name="OSRRefD21_12x_7" localSheetId="73">'405'!$K$71:$K$79</definedName>
    <definedName name="OSRRefD21_12x_7" localSheetId="75">'411'!$K$65</definedName>
    <definedName name="OSRRefD21_12x_7" localSheetId="79">'415'!$K$70:$K$73</definedName>
    <definedName name="OSRRefD21_12x_7" localSheetId="80">'418'!$K$73:$K$74</definedName>
    <definedName name="OSRRefD21_12x_7" localSheetId="87">'433'!$K$70:$K$73</definedName>
    <definedName name="OSRRefD21_12x_7" localSheetId="89">'444'!$K$69:$K$72</definedName>
    <definedName name="OSRRefD21_12x_7" localSheetId="90">'450'!$K$69:$K$72</definedName>
    <definedName name="OSRRefD21_12x_7" localSheetId="72">'491'!$K$70:$K$72</definedName>
    <definedName name="OSRRefD21_12x_7" localSheetId="85">'492'!$K$70:$K$72</definedName>
    <definedName name="OSRRefD21_12x_7" localSheetId="92">'501'!$K$67</definedName>
    <definedName name="OSRRefD21_12x_7" localSheetId="39">'Div 2'!$K$63:$K$66</definedName>
    <definedName name="OSRRefD21_12x_7" localSheetId="47">'Div 3'!$K$104</definedName>
    <definedName name="OSRRefD21_12x_7" localSheetId="70">'Div 4'!$K$73</definedName>
    <definedName name="OSRRefD21_12x_7" localSheetId="91">'Div 5'!$K$67</definedName>
    <definedName name="OSRRefD21_12x_7" localSheetId="2">Summary!$K$112</definedName>
    <definedName name="OSRRefD21_12x_8" localSheetId="41">'201'!$L$63:$L$64</definedName>
    <definedName name="OSRRefD21_12x_8" localSheetId="42">'202'!$L$63</definedName>
    <definedName name="OSRRefD21_12x_8" localSheetId="43">'203'!$L$68</definedName>
    <definedName name="OSRRefD21_12x_8" localSheetId="48">'300'!$L$98</definedName>
    <definedName name="OSRRefD21_12x_8" localSheetId="49">'300 &amp; 317'!$L$104</definedName>
    <definedName name="OSRRefD21_12x_8" localSheetId="50">'301'!$L$64</definedName>
    <definedName name="OSRRefD21_12x_8" localSheetId="55">'307'!$L$76:$L$79</definedName>
    <definedName name="OSRRefD21_12x_8" localSheetId="51">'308'!$L$81:$L$82</definedName>
    <definedName name="OSRRefD21_12x_8" localSheetId="64">'309'!$L$54</definedName>
    <definedName name="OSRRefD21_12x_8" localSheetId="63">'310'!$L$72:$L$73</definedName>
    <definedName name="OSRRefD21_12x_8" localSheetId="71">'310 &amp; 491'!$L$71:$L$73</definedName>
    <definedName name="OSRRefD21_12x_8" localSheetId="52">'311'!$L$81:$L$82</definedName>
    <definedName name="OSRRefD21_12x_8" localSheetId="57">'315'!$L$85:$L$86</definedName>
    <definedName name="OSRRefD21_12x_8" localSheetId="66">'321'!$L$72</definedName>
    <definedName name="OSRRefD21_12x_8" localSheetId="68">'325'!$L$67:$L$69</definedName>
    <definedName name="OSRRefD21_12x_8" localSheetId="58">'326'!$L$69:$L$70</definedName>
    <definedName name="OSRRefD21_12x_8" localSheetId="56">'331'!$L$85</definedName>
    <definedName name="OSRRefD21_12x_8" localSheetId="54">'333'!$L$87</definedName>
    <definedName name="OSRRefD21_12x_8" localSheetId="73">'405'!$L$71:$L$79</definedName>
    <definedName name="OSRRefD21_12x_8" localSheetId="75">'411'!$L$65</definedName>
    <definedName name="OSRRefD21_12x_8" localSheetId="79">'415'!$L$70:$L$73</definedName>
    <definedName name="OSRRefD21_12x_8" localSheetId="80">'418'!$L$73:$L$74</definedName>
    <definedName name="OSRRefD21_12x_8" localSheetId="87">'433'!$L$70:$L$73</definedName>
    <definedName name="OSRRefD21_12x_8" localSheetId="89">'444'!$L$69:$L$72</definedName>
    <definedName name="OSRRefD21_12x_8" localSheetId="90">'450'!$L$69:$L$72</definedName>
    <definedName name="OSRRefD21_12x_8" localSheetId="72">'491'!$L$70:$L$72</definedName>
    <definedName name="OSRRefD21_12x_8" localSheetId="85">'492'!$L$70:$L$72</definedName>
    <definedName name="OSRRefD21_12x_8" localSheetId="92">'501'!$L$67</definedName>
    <definedName name="OSRRefD21_12x_8" localSheetId="39">'Div 2'!$L$63:$L$66</definedName>
    <definedName name="OSRRefD21_12x_8" localSheetId="47">'Div 3'!$L$104</definedName>
    <definedName name="OSRRefD21_12x_8" localSheetId="70">'Div 4'!$L$73</definedName>
    <definedName name="OSRRefD21_12x_8" localSheetId="91">'Div 5'!$L$67</definedName>
    <definedName name="OSRRefD21_12x_8" localSheetId="2">Summary!$L$112</definedName>
    <definedName name="OSRRefD21_12x_9" localSheetId="41">'201'!$M$63:$M$64</definedName>
    <definedName name="OSRRefD21_12x_9" localSheetId="42">'202'!$M$63</definedName>
    <definedName name="OSRRefD21_12x_9" localSheetId="43">'203'!$M$68</definedName>
    <definedName name="OSRRefD21_12x_9" localSheetId="48">'300'!$M$98</definedName>
    <definedName name="OSRRefD21_12x_9" localSheetId="49">'300 &amp; 317'!$M$104</definedName>
    <definedName name="OSRRefD21_12x_9" localSheetId="50">'301'!$M$64</definedName>
    <definedName name="OSRRefD21_12x_9" localSheetId="55">'307'!$M$76:$M$79</definedName>
    <definedName name="OSRRefD21_12x_9" localSheetId="51">'308'!$M$81:$M$82</definedName>
    <definedName name="OSRRefD21_12x_9" localSheetId="64">'309'!$M$54</definedName>
    <definedName name="OSRRefD21_12x_9" localSheetId="63">'310'!$M$72:$M$73</definedName>
    <definedName name="OSRRefD21_12x_9" localSheetId="71">'310 &amp; 491'!$M$71:$M$73</definedName>
    <definedName name="OSRRefD21_12x_9" localSheetId="52">'311'!$M$81:$M$82</definedName>
    <definedName name="OSRRefD21_12x_9" localSheetId="57">'315'!$M$85:$M$86</definedName>
    <definedName name="OSRRefD21_12x_9" localSheetId="66">'321'!$M$72</definedName>
    <definedName name="OSRRefD21_12x_9" localSheetId="68">'325'!$M$67:$M$69</definedName>
    <definedName name="OSRRefD21_12x_9" localSheetId="58">'326'!$M$69:$M$70</definedName>
    <definedName name="OSRRefD21_12x_9" localSheetId="56">'331'!$M$85</definedName>
    <definedName name="OSRRefD21_12x_9" localSheetId="54">'333'!$M$87</definedName>
    <definedName name="OSRRefD21_12x_9" localSheetId="73">'405'!$M$71:$M$79</definedName>
    <definedName name="OSRRefD21_12x_9" localSheetId="75">'411'!$M$65</definedName>
    <definedName name="OSRRefD21_12x_9" localSheetId="79">'415'!$M$70:$M$73</definedName>
    <definedName name="OSRRefD21_12x_9" localSheetId="80">'418'!$M$73:$M$74</definedName>
    <definedName name="OSRRefD21_12x_9" localSheetId="87">'433'!$M$70:$M$73</definedName>
    <definedName name="OSRRefD21_12x_9" localSheetId="89">'444'!$M$69:$M$72</definedName>
    <definedName name="OSRRefD21_12x_9" localSheetId="90">'450'!$M$69:$M$72</definedName>
    <definedName name="OSRRefD21_12x_9" localSheetId="72">'491'!$M$70:$M$72</definedName>
    <definedName name="OSRRefD21_12x_9" localSheetId="85">'492'!$M$70:$M$72</definedName>
    <definedName name="OSRRefD21_12x_9" localSheetId="92">'501'!$M$67</definedName>
    <definedName name="OSRRefD21_12x_9" localSheetId="39">'Div 2'!$M$63:$M$66</definedName>
    <definedName name="OSRRefD21_12x_9" localSheetId="47">'Div 3'!$M$104</definedName>
    <definedName name="OSRRefD21_12x_9" localSheetId="70">'Div 4'!$M$73</definedName>
    <definedName name="OSRRefD21_12x_9" localSheetId="91">'Div 5'!$M$67</definedName>
    <definedName name="OSRRefD21_12x_9" localSheetId="2">Summary!$M$112</definedName>
    <definedName name="OSRRefD21_13_0x" localSheetId="41">'201'!$D$66:$M$66</definedName>
    <definedName name="OSRRefD21_13_0x" localSheetId="43">'203'!$D$70:$M$70</definedName>
    <definedName name="OSRRefD21_13_0x" localSheetId="48">'300'!$D$100:$M$100</definedName>
    <definedName name="OSRRefD21_13_0x" localSheetId="49">'300 &amp; 317'!$D$106:$M$106</definedName>
    <definedName name="OSRRefD21_13_0x" localSheetId="50">'301'!$D$66:$M$66</definedName>
    <definedName name="OSRRefD21_13_0x" localSheetId="55">'307'!$D$81:$M$81</definedName>
    <definedName name="OSRRefD21_13_0x" localSheetId="51">'308'!$D$84:$M$84</definedName>
    <definedName name="OSRRefD21_13_0x" localSheetId="63">'310'!$D$75:$M$75</definedName>
    <definedName name="OSRRefD21_13_0x" localSheetId="71">'310 &amp; 491'!$D$75:$M$75</definedName>
    <definedName name="OSRRefD21_13_0x" localSheetId="52">'311'!$D$84:$M$84</definedName>
    <definedName name="OSRRefD21_13_0x" localSheetId="57">'315'!$D$88:$M$88</definedName>
    <definedName name="OSRRefD21_13_0x" localSheetId="68">'325'!$D$71:$M$71</definedName>
    <definedName name="OSRRefD21_13_0x" localSheetId="58">'326'!$D$72:$M$72</definedName>
    <definedName name="OSRRefD21_13_0x" localSheetId="56">'331'!$D$87:$M$87</definedName>
    <definedName name="OSRRefD21_13_0x" localSheetId="54">'333'!$D$89:$M$89</definedName>
    <definedName name="OSRRefD21_13_0x" localSheetId="73">'405'!$D$81:$M$81</definedName>
    <definedName name="OSRRefD21_13_0x" localSheetId="75">'411'!$D$67:$M$67</definedName>
    <definedName name="OSRRefD21_13_0x" localSheetId="79">'415'!$D$75:$M$75</definedName>
    <definedName name="OSRRefD21_13_0x" localSheetId="80">'418'!$D$76:$M$76</definedName>
    <definedName name="OSRRefD21_13_0x" localSheetId="87">'433'!$D$75:$M$75</definedName>
    <definedName name="OSRRefD21_13_0x" localSheetId="89">'444'!$D$74:$M$74</definedName>
    <definedName name="OSRRefD21_13_0x" localSheetId="90">'450'!$D$74:$M$74</definedName>
    <definedName name="OSRRefD21_13_0x" localSheetId="72">'491'!$D$74:$M$74</definedName>
    <definedName name="OSRRefD21_13_0x" localSheetId="85">'492'!$D$74:$M$74</definedName>
    <definedName name="OSRRefD21_13_0x" localSheetId="92">'501'!$D$69:$M$69</definedName>
    <definedName name="OSRRefD21_13_0x" localSheetId="39">'Div 2'!$D$68:$M$68</definedName>
    <definedName name="OSRRefD21_13_0x" localSheetId="47">'Div 3'!$D$106:$M$106</definedName>
    <definedName name="OSRRefD21_13_0x" localSheetId="70">'Div 4'!$D$75:$M$75</definedName>
    <definedName name="OSRRefD21_13_0x" localSheetId="91">'Div 5'!$D$69:$M$69</definedName>
    <definedName name="OSRRefD21_13_0x" localSheetId="2">Summary!$D$114:$M$114</definedName>
    <definedName name="OSRRefD21_13_1x" localSheetId="63">'310'!$D$76:$M$76</definedName>
    <definedName name="OSRRefD21_13_1x" localSheetId="71">'310 &amp; 491'!$D$76:$M$76</definedName>
    <definedName name="OSRRefD21_13_1x" localSheetId="57">'315'!$D$89:$M$89</definedName>
    <definedName name="OSRRefD21_13_1x" localSheetId="68">'325'!$D$72:$M$72</definedName>
    <definedName name="OSRRefD21_13_1x" localSheetId="58">'326'!$D$73:$M$73</definedName>
    <definedName name="OSRRefD21_13_1x" localSheetId="75">'411'!$D$68:$M$68</definedName>
    <definedName name="OSRRefD21_13_1x" localSheetId="87">'433'!$D$76:$M$76</definedName>
    <definedName name="OSRRefD21_13_1x" localSheetId="89">'444'!$D$75:$M$75</definedName>
    <definedName name="OSRRefD21_13_1x" localSheetId="90">'450'!$D$75:$M$75</definedName>
    <definedName name="OSRRefD21_13_1x" localSheetId="85">'492'!$D$75:$M$75</definedName>
    <definedName name="OSRRefD21_13_1x" localSheetId="39">'Div 2'!$D$69:$M$69</definedName>
    <definedName name="OSRRefD21_13_2x" localSheetId="63">'310'!$D$77:$M$77</definedName>
    <definedName name="OSRRefD21_13_2x" localSheetId="57">'315'!$D$90:$M$90</definedName>
    <definedName name="OSRRefD21_13_2x" localSheetId="68">'325'!$D$73:$M$73</definedName>
    <definedName name="OSRRefD21_13_2x" localSheetId="87">'433'!$D$77:$M$77</definedName>
    <definedName name="OSRRefD21_13_2x" localSheetId="89">'444'!$D$76:$M$76</definedName>
    <definedName name="OSRRefD21_13_2x" localSheetId="90">'450'!$D$76:$M$76</definedName>
    <definedName name="OSRRefD21_13_2x" localSheetId="85">'492'!$D$76:$M$76</definedName>
    <definedName name="OSRRefD21_13_2x" localSheetId="39">'Div 2'!$D$70:$M$70</definedName>
    <definedName name="OSRRefD21_13_3x" localSheetId="68">'325'!$D$74:$M$74</definedName>
    <definedName name="OSRRefD21_13_3x" localSheetId="87">'433'!$D$78:$M$78</definedName>
    <definedName name="OSRRefD21_13_3x" localSheetId="89">'444'!$D$77:$M$77</definedName>
    <definedName name="OSRRefD21_13_3x" localSheetId="90">'450'!$D$77:$M$77</definedName>
    <definedName name="OSRRefD21_13_3x" localSheetId="85">'492'!$D$77:$M$77</definedName>
    <definedName name="OSRRefD21_13_3x" localSheetId="39">'Div 2'!$D$71:$M$71</definedName>
    <definedName name="OSRRefD21_13_4x" localSheetId="68">'325'!$D$75:$M$75</definedName>
    <definedName name="OSRRefD21_13_4x" localSheetId="87">'433'!$D$79:$M$79</definedName>
    <definedName name="OSRRefD21_13_4x" localSheetId="89">'444'!$D$78:$M$78</definedName>
    <definedName name="OSRRefD21_13_4x" localSheetId="90">'450'!$D$78:$M$78</definedName>
    <definedName name="OSRRefD21_13_5x" localSheetId="68">'325'!$D$76:$M$76</definedName>
    <definedName name="OSRRefD21_13_5x" localSheetId="87">'433'!$D$80:$M$80</definedName>
    <definedName name="OSRRefD21_13_5x" localSheetId="89">'444'!$D$79:$M$79</definedName>
    <definedName name="OSRRefD21_13_5x" localSheetId="90">'450'!$D$79:$M$79</definedName>
    <definedName name="OSRRefD21_13_6x" localSheetId="87">'433'!$D$81:$M$81</definedName>
    <definedName name="OSRRefD21_13_6x" localSheetId="89">'444'!$D$80:$M$80</definedName>
    <definedName name="OSRRefD21_13_6x" localSheetId="90">'450'!$D$80:$M$80</definedName>
    <definedName name="OSRRefD21_13_7x" localSheetId="87">'433'!$D$82:$M$82</definedName>
    <definedName name="OSRRefD21_13_7x" localSheetId="89">'444'!$D$81:$M$81</definedName>
    <definedName name="OSRRefD21_13_8x" localSheetId="89">'444'!$D$82:$M$82</definedName>
    <definedName name="OSRRefD21_13x_0" localSheetId="41">'201'!$D$66</definedName>
    <definedName name="OSRRefD21_13x_0" localSheetId="43">'203'!$D$70</definedName>
    <definedName name="OSRRefD21_13x_0" localSheetId="48">'300'!$D$100</definedName>
    <definedName name="OSRRefD21_13x_0" localSheetId="49">'300 &amp; 317'!$D$106</definedName>
    <definedName name="OSRRefD21_13x_0" localSheetId="50">'301'!$D$66</definedName>
    <definedName name="OSRRefD21_13x_0" localSheetId="55">'307'!$D$81</definedName>
    <definedName name="OSRRefD21_13x_0" localSheetId="51">'308'!$D$84</definedName>
    <definedName name="OSRRefD21_13x_0" localSheetId="63">'310'!$D$75:$D$77</definedName>
    <definedName name="OSRRefD21_13x_0" localSheetId="71">'310 &amp; 491'!$D$75:$D$76</definedName>
    <definedName name="OSRRefD21_13x_0" localSheetId="52">'311'!$D$84</definedName>
    <definedName name="OSRRefD21_13x_0" localSheetId="57">'315'!$D$88:$D$90</definedName>
    <definedName name="OSRRefD21_13x_0" localSheetId="68">'325'!$D$71:$D$76</definedName>
    <definedName name="OSRRefD21_13x_0" localSheetId="58">'326'!$D$72:$D$73</definedName>
    <definedName name="OSRRefD21_13x_0" localSheetId="56">'331'!$D$87</definedName>
    <definedName name="OSRRefD21_13x_0" localSheetId="54">'333'!$D$89</definedName>
    <definedName name="OSRRefD21_13x_0" localSheetId="73">'405'!$D$81</definedName>
    <definedName name="OSRRefD21_13x_0" localSheetId="75">'411'!$D$67:$D$68</definedName>
    <definedName name="OSRRefD21_13x_0" localSheetId="79">'415'!$D$75</definedName>
    <definedName name="OSRRefD21_13x_0" localSheetId="80">'418'!$D$76</definedName>
    <definedName name="OSRRefD21_13x_0" localSheetId="87">'433'!$D$75:$D$82</definedName>
    <definedName name="OSRRefD21_13x_0" localSheetId="89">'444'!$D$74:$D$82</definedName>
    <definedName name="OSRRefD21_13x_0" localSheetId="90">'450'!$D$74:$D$80</definedName>
    <definedName name="OSRRefD21_13x_0" localSheetId="72">'491'!$D$74</definedName>
    <definedName name="OSRRefD21_13x_0" localSheetId="85">'492'!$D$74:$D$77</definedName>
    <definedName name="OSRRefD21_13x_0" localSheetId="92">'501'!$D$69</definedName>
    <definedName name="OSRRefD21_13x_0" localSheetId="39">'Div 2'!$D$68:$D$71</definedName>
    <definedName name="OSRRefD21_13x_0" localSheetId="47">'Div 3'!$D$106</definedName>
    <definedName name="OSRRefD21_13x_0" localSheetId="70">'Div 4'!$D$75</definedName>
    <definedName name="OSRRefD21_13x_0" localSheetId="91">'Div 5'!$D$69</definedName>
    <definedName name="OSRRefD21_13x_0" localSheetId="2">Summary!$D$114</definedName>
    <definedName name="OSRRefD21_13x_1" localSheetId="41">'201'!$E$66</definedName>
    <definedName name="OSRRefD21_13x_1" localSheetId="43">'203'!$E$70</definedName>
    <definedName name="OSRRefD21_13x_1" localSheetId="48">'300'!$E$100</definedName>
    <definedName name="OSRRefD21_13x_1" localSheetId="49">'300 &amp; 317'!$E$106</definedName>
    <definedName name="OSRRefD21_13x_1" localSheetId="50">'301'!$E$66</definedName>
    <definedName name="OSRRefD21_13x_1" localSheetId="55">'307'!$E$81</definedName>
    <definedName name="OSRRefD21_13x_1" localSheetId="51">'308'!$E$84</definedName>
    <definedName name="OSRRefD21_13x_1" localSheetId="63">'310'!$E$75:$E$77</definedName>
    <definedName name="OSRRefD21_13x_1" localSheetId="71">'310 &amp; 491'!$E$75:$E$76</definedName>
    <definedName name="OSRRefD21_13x_1" localSheetId="52">'311'!$E$84</definedName>
    <definedName name="OSRRefD21_13x_1" localSheetId="57">'315'!$E$88:$E$90</definedName>
    <definedName name="OSRRefD21_13x_1" localSheetId="68">'325'!$E$71:$E$76</definedName>
    <definedName name="OSRRefD21_13x_1" localSheetId="58">'326'!$E$72:$E$73</definedName>
    <definedName name="OSRRefD21_13x_1" localSheetId="56">'331'!$E$87</definedName>
    <definedName name="OSRRefD21_13x_1" localSheetId="54">'333'!$E$89</definedName>
    <definedName name="OSRRefD21_13x_1" localSheetId="73">'405'!$E$81</definedName>
    <definedName name="OSRRefD21_13x_1" localSheetId="75">'411'!$E$67:$E$68</definedName>
    <definedName name="OSRRefD21_13x_1" localSheetId="79">'415'!$E$75</definedName>
    <definedName name="OSRRefD21_13x_1" localSheetId="80">'418'!$E$76</definedName>
    <definedName name="OSRRefD21_13x_1" localSheetId="87">'433'!$E$75:$E$82</definedName>
    <definedName name="OSRRefD21_13x_1" localSheetId="89">'444'!$E$74:$E$82</definedName>
    <definedName name="OSRRefD21_13x_1" localSheetId="90">'450'!$E$74:$E$80</definedName>
    <definedName name="OSRRefD21_13x_1" localSheetId="72">'491'!$E$74</definedName>
    <definedName name="OSRRefD21_13x_1" localSheetId="85">'492'!$E$74:$E$77</definedName>
    <definedName name="OSRRefD21_13x_1" localSheetId="92">'501'!$E$69</definedName>
    <definedName name="OSRRefD21_13x_1" localSheetId="39">'Div 2'!$E$68:$E$71</definedName>
    <definedName name="OSRRefD21_13x_1" localSheetId="47">'Div 3'!$E$106</definedName>
    <definedName name="OSRRefD21_13x_1" localSheetId="70">'Div 4'!$E$75</definedName>
    <definedName name="OSRRefD21_13x_1" localSheetId="91">'Div 5'!$E$69</definedName>
    <definedName name="OSRRefD21_13x_1" localSheetId="2">Summary!$E$114</definedName>
    <definedName name="OSRRefD21_13x_2" localSheetId="41">'201'!$F$66</definedName>
    <definedName name="OSRRefD21_13x_2" localSheetId="43">'203'!$F$70</definedName>
    <definedName name="OSRRefD21_13x_2" localSheetId="48">'300'!$F$100</definedName>
    <definedName name="OSRRefD21_13x_2" localSheetId="49">'300 &amp; 317'!$F$106</definedName>
    <definedName name="OSRRefD21_13x_2" localSheetId="50">'301'!$F$66</definedName>
    <definedName name="OSRRefD21_13x_2" localSheetId="55">'307'!$F$81</definedName>
    <definedName name="OSRRefD21_13x_2" localSheetId="51">'308'!$F$84</definedName>
    <definedName name="OSRRefD21_13x_2" localSheetId="63">'310'!$F$75:$F$77</definedName>
    <definedName name="OSRRefD21_13x_2" localSheetId="71">'310 &amp; 491'!$F$75:$F$76</definedName>
    <definedName name="OSRRefD21_13x_2" localSheetId="52">'311'!$F$84</definedName>
    <definedName name="OSRRefD21_13x_2" localSheetId="57">'315'!$F$88:$F$90</definedName>
    <definedName name="OSRRefD21_13x_2" localSheetId="68">'325'!$F$71:$F$76</definedName>
    <definedName name="OSRRefD21_13x_2" localSheetId="58">'326'!$F$72:$F$73</definedName>
    <definedName name="OSRRefD21_13x_2" localSheetId="56">'331'!$F$87</definedName>
    <definedName name="OSRRefD21_13x_2" localSheetId="54">'333'!$F$89</definedName>
    <definedName name="OSRRefD21_13x_2" localSheetId="73">'405'!$F$81</definedName>
    <definedName name="OSRRefD21_13x_2" localSheetId="75">'411'!$F$67:$F$68</definedName>
    <definedName name="OSRRefD21_13x_2" localSheetId="79">'415'!$F$75</definedName>
    <definedName name="OSRRefD21_13x_2" localSheetId="80">'418'!$F$76</definedName>
    <definedName name="OSRRefD21_13x_2" localSheetId="87">'433'!$F$75:$F$82</definedName>
    <definedName name="OSRRefD21_13x_2" localSheetId="89">'444'!$F$74:$F$82</definedName>
    <definedName name="OSRRefD21_13x_2" localSheetId="90">'450'!$F$74:$F$80</definedName>
    <definedName name="OSRRefD21_13x_2" localSheetId="72">'491'!$F$74</definedName>
    <definedName name="OSRRefD21_13x_2" localSheetId="85">'492'!$F$74:$F$77</definedName>
    <definedName name="OSRRefD21_13x_2" localSheetId="92">'501'!$F$69</definedName>
    <definedName name="OSRRefD21_13x_2" localSheetId="39">'Div 2'!$F$68:$F$71</definedName>
    <definedName name="OSRRefD21_13x_2" localSheetId="47">'Div 3'!$F$106</definedName>
    <definedName name="OSRRefD21_13x_2" localSheetId="70">'Div 4'!$F$75</definedName>
    <definedName name="OSRRefD21_13x_2" localSheetId="91">'Div 5'!$F$69</definedName>
    <definedName name="OSRRefD21_13x_2" localSheetId="2">Summary!$F$114</definedName>
    <definedName name="OSRRefD21_13x_3" localSheetId="41">'201'!$G$66</definedName>
    <definedName name="OSRRefD21_13x_3" localSheetId="43">'203'!$G$70</definedName>
    <definedName name="OSRRefD21_13x_3" localSheetId="48">'300'!$G$100</definedName>
    <definedName name="OSRRefD21_13x_3" localSheetId="49">'300 &amp; 317'!$G$106</definedName>
    <definedName name="OSRRefD21_13x_3" localSheetId="50">'301'!$G$66</definedName>
    <definedName name="OSRRefD21_13x_3" localSheetId="55">'307'!$G$81</definedName>
    <definedName name="OSRRefD21_13x_3" localSheetId="51">'308'!$G$84</definedName>
    <definedName name="OSRRefD21_13x_3" localSheetId="63">'310'!$G$75:$G$77</definedName>
    <definedName name="OSRRefD21_13x_3" localSheetId="71">'310 &amp; 491'!$G$75:$G$76</definedName>
    <definedName name="OSRRefD21_13x_3" localSheetId="52">'311'!$G$84</definedName>
    <definedName name="OSRRefD21_13x_3" localSheetId="57">'315'!$G$88:$G$90</definedName>
    <definedName name="OSRRefD21_13x_3" localSheetId="68">'325'!$G$71:$G$76</definedName>
    <definedName name="OSRRefD21_13x_3" localSheetId="58">'326'!$G$72:$G$73</definedName>
    <definedName name="OSRRefD21_13x_3" localSheetId="56">'331'!$G$87</definedName>
    <definedName name="OSRRefD21_13x_3" localSheetId="54">'333'!$G$89</definedName>
    <definedName name="OSRRefD21_13x_3" localSheetId="73">'405'!$G$81</definedName>
    <definedName name="OSRRefD21_13x_3" localSheetId="75">'411'!$G$67:$G$68</definedName>
    <definedName name="OSRRefD21_13x_3" localSheetId="79">'415'!$G$75</definedName>
    <definedName name="OSRRefD21_13x_3" localSheetId="80">'418'!$G$76</definedName>
    <definedName name="OSRRefD21_13x_3" localSheetId="87">'433'!$G$75:$G$82</definedName>
    <definedName name="OSRRefD21_13x_3" localSheetId="89">'444'!$G$74:$G$82</definedName>
    <definedName name="OSRRefD21_13x_3" localSheetId="90">'450'!$G$74:$G$80</definedName>
    <definedName name="OSRRefD21_13x_3" localSheetId="72">'491'!$G$74</definedName>
    <definedName name="OSRRefD21_13x_3" localSheetId="85">'492'!$G$74:$G$77</definedName>
    <definedName name="OSRRefD21_13x_3" localSheetId="92">'501'!$G$69</definedName>
    <definedName name="OSRRefD21_13x_3" localSheetId="39">'Div 2'!$G$68:$G$71</definedName>
    <definedName name="OSRRefD21_13x_3" localSheetId="47">'Div 3'!$G$106</definedName>
    <definedName name="OSRRefD21_13x_3" localSheetId="70">'Div 4'!$G$75</definedName>
    <definedName name="OSRRefD21_13x_3" localSheetId="91">'Div 5'!$G$69</definedName>
    <definedName name="OSRRefD21_13x_3" localSheetId="2">Summary!$G$114</definedName>
    <definedName name="OSRRefD21_13x_4" localSheetId="41">'201'!$H$66</definedName>
    <definedName name="OSRRefD21_13x_4" localSheetId="43">'203'!$H$70</definedName>
    <definedName name="OSRRefD21_13x_4" localSheetId="48">'300'!$H$100</definedName>
    <definedName name="OSRRefD21_13x_4" localSheetId="49">'300 &amp; 317'!$H$106</definedName>
    <definedName name="OSRRefD21_13x_4" localSheetId="50">'301'!$H$66</definedName>
    <definedName name="OSRRefD21_13x_4" localSheetId="55">'307'!$H$81</definedName>
    <definedName name="OSRRefD21_13x_4" localSheetId="51">'308'!$H$84</definedName>
    <definedName name="OSRRefD21_13x_4" localSheetId="63">'310'!$H$75:$H$77</definedName>
    <definedName name="OSRRefD21_13x_4" localSheetId="71">'310 &amp; 491'!$H$75:$H$76</definedName>
    <definedName name="OSRRefD21_13x_4" localSheetId="52">'311'!$H$84</definedName>
    <definedName name="OSRRefD21_13x_4" localSheetId="57">'315'!$H$88:$H$90</definedName>
    <definedName name="OSRRefD21_13x_4" localSheetId="68">'325'!$H$71:$H$76</definedName>
    <definedName name="OSRRefD21_13x_4" localSheetId="58">'326'!$H$72:$H$73</definedName>
    <definedName name="OSRRefD21_13x_4" localSheetId="56">'331'!$H$87</definedName>
    <definedName name="OSRRefD21_13x_4" localSheetId="54">'333'!$H$89</definedName>
    <definedName name="OSRRefD21_13x_4" localSheetId="73">'405'!$H$81</definedName>
    <definedName name="OSRRefD21_13x_4" localSheetId="75">'411'!$H$67:$H$68</definedName>
    <definedName name="OSRRefD21_13x_4" localSheetId="79">'415'!$H$75</definedName>
    <definedName name="OSRRefD21_13x_4" localSheetId="80">'418'!$H$76</definedName>
    <definedName name="OSRRefD21_13x_4" localSheetId="87">'433'!$H$75:$H$82</definedName>
    <definedName name="OSRRefD21_13x_4" localSheetId="89">'444'!$H$74:$H$82</definedName>
    <definedName name="OSRRefD21_13x_4" localSheetId="90">'450'!$H$74:$H$80</definedName>
    <definedName name="OSRRefD21_13x_4" localSheetId="72">'491'!$H$74</definedName>
    <definedName name="OSRRefD21_13x_4" localSheetId="85">'492'!$H$74:$H$77</definedName>
    <definedName name="OSRRefD21_13x_4" localSheetId="92">'501'!$H$69</definedName>
    <definedName name="OSRRefD21_13x_4" localSheetId="39">'Div 2'!$H$68:$H$71</definedName>
    <definedName name="OSRRefD21_13x_4" localSheetId="47">'Div 3'!$H$106</definedName>
    <definedName name="OSRRefD21_13x_4" localSheetId="70">'Div 4'!$H$75</definedName>
    <definedName name="OSRRefD21_13x_4" localSheetId="91">'Div 5'!$H$69</definedName>
    <definedName name="OSRRefD21_13x_4" localSheetId="2">Summary!$H$114</definedName>
    <definedName name="OSRRefD21_13x_5" localSheetId="41">'201'!$I$66</definedName>
    <definedName name="OSRRefD21_13x_5" localSheetId="43">'203'!$I$70</definedName>
    <definedName name="OSRRefD21_13x_5" localSheetId="48">'300'!$I$100</definedName>
    <definedName name="OSRRefD21_13x_5" localSheetId="49">'300 &amp; 317'!$I$106</definedName>
    <definedName name="OSRRefD21_13x_5" localSheetId="50">'301'!$I$66</definedName>
    <definedName name="OSRRefD21_13x_5" localSheetId="55">'307'!$I$81</definedName>
    <definedName name="OSRRefD21_13x_5" localSheetId="51">'308'!$I$84</definedName>
    <definedName name="OSRRefD21_13x_5" localSheetId="63">'310'!$I$75:$I$77</definedName>
    <definedName name="OSRRefD21_13x_5" localSheetId="71">'310 &amp; 491'!$I$75:$I$76</definedName>
    <definedName name="OSRRefD21_13x_5" localSheetId="52">'311'!$I$84</definedName>
    <definedName name="OSRRefD21_13x_5" localSheetId="57">'315'!$I$88:$I$90</definedName>
    <definedName name="OSRRefD21_13x_5" localSheetId="68">'325'!$I$71:$I$76</definedName>
    <definedName name="OSRRefD21_13x_5" localSheetId="58">'326'!$I$72:$I$73</definedName>
    <definedName name="OSRRefD21_13x_5" localSheetId="56">'331'!$I$87</definedName>
    <definedName name="OSRRefD21_13x_5" localSheetId="54">'333'!$I$89</definedName>
    <definedName name="OSRRefD21_13x_5" localSheetId="73">'405'!$I$81</definedName>
    <definedName name="OSRRefD21_13x_5" localSheetId="75">'411'!$I$67:$I$68</definedName>
    <definedName name="OSRRefD21_13x_5" localSheetId="79">'415'!$I$75</definedName>
    <definedName name="OSRRefD21_13x_5" localSheetId="80">'418'!$I$76</definedName>
    <definedName name="OSRRefD21_13x_5" localSheetId="87">'433'!$I$75:$I$82</definedName>
    <definedName name="OSRRefD21_13x_5" localSheetId="89">'444'!$I$74:$I$82</definedName>
    <definedName name="OSRRefD21_13x_5" localSheetId="90">'450'!$I$74:$I$80</definedName>
    <definedName name="OSRRefD21_13x_5" localSheetId="72">'491'!$I$74</definedName>
    <definedName name="OSRRefD21_13x_5" localSheetId="85">'492'!$I$74:$I$77</definedName>
    <definedName name="OSRRefD21_13x_5" localSheetId="92">'501'!$I$69</definedName>
    <definedName name="OSRRefD21_13x_5" localSheetId="39">'Div 2'!$I$68:$I$71</definedName>
    <definedName name="OSRRefD21_13x_5" localSheetId="47">'Div 3'!$I$106</definedName>
    <definedName name="OSRRefD21_13x_5" localSheetId="70">'Div 4'!$I$75</definedName>
    <definedName name="OSRRefD21_13x_5" localSheetId="91">'Div 5'!$I$69</definedName>
    <definedName name="OSRRefD21_13x_5" localSheetId="2">Summary!$I$114</definedName>
    <definedName name="OSRRefD21_13x_6" localSheetId="41">'201'!$J$66</definedName>
    <definedName name="OSRRefD21_13x_6" localSheetId="43">'203'!$J$70</definedName>
    <definedName name="OSRRefD21_13x_6" localSheetId="48">'300'!$J$100</definedName>
    <definedName name="OSRRefD21_13x_6" localSheetId="49">'300 &amp; 317'!$J$106</definedName>
    <definedName name="OSRRefD21_13x_6" localSheetId="50">'301'!$J$66</definedName>
    <definedName name="OSRRefD21_13x_6" localSheetId="55">'307'!$J$81</definedName>
    <definedName name="OSRRefD21_13x_6" localSheetId="51">'308'!$J$84</definedName>
    <definedName name="OSRRefD21_13x_6" localSheetId="63">'310'!$J$75:$J$77</definedName>
    <definedName name="OSRRefD21_13x_6" localSheetId="71">'310 &amp; 491'!$J$75:$J$76</definedName>
    <definedName name="OSRRefD21_13x_6" localSheetId="52">'311'!$J$84</definedName>
    <definedName name="OSRRefD21_13x_6" localSheetId="57">'315'!$J$88:$J$90</definedName>
    <definedName name="OSRRefD21_13x_6" localSheetId="68">'325'!$J$71:$J$76</definedName>
    <definedName name="OSRRefD21_13x_6" localSheetId="58">'326'!$J$72:$J$73</definedName>
    <definedName name="OSRRefD21_13x_6" localSheetId="56">'331'!$J$87</definedName>
    <definedName name="OSRRefD21_13x_6" localSheetId="54">'333'!$J$89</definedName>
    <definedName name="OSRRefD21_13x_6" localSheetId="73">'405'!$J$81</definedName>
    <definedName name="OSRRefD21_13x_6" localSheetId="75">'411'!$J$67:$J$68</definedName>
    <definedName name="OSRRefD21_13x_6" localSheetId="79">'415'!$J$75</definedName>
    <definedName name="OSRRefD21_13x_6" localSheetId="80">'418'!$J$76</definedName>
    <definedName name="OSRRefD21_13x_6" localSheetId="87">'433'!$J$75:$J$82</definedName>
    <definedName name="OSRRefD21_13x_6" localSheetId="89">'444'!$J$74:$J$82</definedName>
    <definedName name="OSRRefD21_13x_6" localSheetId="90">'450'!$J$74:$J$80</definedName>
    <definedName name="OSRRefD21_13x_6" localSheetId="72">'491'!$J$74</definedName>
    <definedName name="OSRRefD21_13x_6" localSheetId="85">'492'!$J$74:$J$77</definedName>
    <definedName name="OSRRefD21_13x_6" localSheetId="92">'501'!$J$69</definedName>
    <definedName name="OSRRefD21_13x_6" localSheetId="39">'Div 2'!$J$68:$J$71</definedName>
    <definedName name="OSRRefD21_13x_6" localSheetId="47">'Div 3'!$J$106</definedName>
    <definedName name="OSRRefD21_13x_6" localSheetId="70">'Div 4'!$J$75</definedName>
    <definedName name="OSRRefD21_13x_6" localSheetId="91">'Div 5'!$J$69</definedName>
    <definedName name="OSRRefD21_13x_6" localSheetId="2">Summary!$J$114</definedName>
    <definedName name="OSRRefD21_13x_7" localSheetId="41">'201'!$K$66</definedName>
    <definedName name="OSRRefD21_13x_7" localSheetId="43">'203'!$K$70</definedName>
    <definedName name="OSRRefD21_13x_7" localSheetId="48">'300'!$K$100</definedName>
    <definedName name="OSRRefD21_13x_7" localSheetId="49">'300 &amp; 317'!$K$106</definedName>
    <definedName name="OSRRefD21_13x_7" localSheetId="50">'301'!$K$66</definedName>
    <definedName name="OSRRefD21_13x_7" localSheetId="55">'307'!$K$81</definedName>
    <definedName name="OSRRefD21_13x_7" localSheetId="51">'308'!$K$84</definedName>
    <definedName name="OSRRefD21_13x_7" localSheetId="63">'310'!$K$75:$K$77</definedName>
    <definedName name="OSRRefD21_13x_7" localSheetId="71">'310 &amp; 491'!$K$75:$K$76</definedName>
    <definedName name="OSRRefD21_13x_7" localSheetId="52">'311'!$K$84</definedName>
    <definedName name="OSRRefD21_13x_7" localSheetId="57">'315'!$K$88:$K$90</definedName>
    <definedName name="OSRRefD21_13x_7" localSheetId="68">'325'!$K$71:$K$76</definedName>
    <definedName name="OSRRefD21_13x_7" localSheetId="58">'326'!$K$72:$K$73</definedName>
    <definedName name="OSRRefD21_13x_7" localSheetId="56">'331'!$K$87</definedName>
    <definedName name="OSRRefD21_13x_7" localSheetId="54">'333'!$K$89</definedName>
    <definedName name="OSRRefD21_13x_7" localSheetId="73">'405'!$K$81</definedName>
    <definedName name="OSRRefD21_13x_7" localSheetId="75">'411'!$K$67:$K$68</definedName>
    <definedName name="OSRRefD21_13x_7" localSheetId="79">'415'!$K$75</definedName>
    <definedName name="OSRRefD21_13x_7" localSheetId="80">'418'!$K$76</definedName>
    <definedName name="OSRRefD21_13x_7" localSheetId="87">'433'!$K$75:$K$82</definedName>
    <definedName name="OSRRefD21_13x_7" localSheetId="89">'444'!$K$74:$K$82</definedName>
    <definedName name="OSRRefD21_13x_7" localSheetId="90">'450'!$K$74:$K$80</definedName>
    <definedName name="OSRRefD21_13x_7" localSheetId="72">'491'!$K$74</definedName>
    <definedName name="OSRRefD21_13x_7" localSheetId="85">'492'!$K$74:$K$77</definedName>
    <definedName name="OSRRefD21_13x_7" localSheetId="92">'501'!$K$69</definedName>
    <definedName name="OSRRefD21_13x_7" localSheetId="39">'Div 2'!$K$68:$K$71</definedName>
    <definedName name="OSRRefD21_13x_7" localSheetId="47">'Div 3'!$K$106</definedName>
    <definedName name="OSRRefD21_13x_7" localSheetId="70">'Div 4'!$K$75</definedName>
    <definedName name="OSRRefD21_13x_7" localSheetId="91">'Div 5'!$K$69</definedName>
    <definedName name="OSRRefD21_13x_7" localSheetId="2">Summary!$K$114</definedName>
    <definedName name="OSRRefD21_13x_8" localSheetId="41">'201'!$L$66</definedName>
    <definedName name="OSRRefD21_13x_8" localSheetId="43">'203'!$L$70</definedName>
    <definedName name="OSRRefD21_13x_8" localSheetId="48">'300'!$L$100</definedName>
    <definedName name="OSRRefD21_13x_8" localSheetId="49">'300 &amp; 317'!$L$106</definedName>
    <definedName name="OSRRefD21_13x_8" localSheetId="50">'301'!$L$66</definedName>
    <definedName name="OSRRefD21_13x_8" localSheetId="55">'307'!$L$81</definedName>
    <definedName name="OSRRefD21_13x_8" localSheetId="51">'308'!$L$84</definedName>
    <definedName name="OSRRefD21_13x_8" localSheetId="63">'310'!$L$75:$L$77</definedName>
    <definedName name="OSRRefD21_13x_8" localSheetId="71">'310 &amp; 491'!$L$75:$L$76</definedName>
    <definedName name="OSRRefD21_13x_8" localSheetId="52">'311'!$L$84</definedName>
    <definedName name="OSRRefD21_13x_8" localSheetId="57">'315'!$L$88:$L$90</definedName>
    <definedName name="OSRRefD21_13x_8" localSheetId="68">'325'!$L$71:$L$76</definedName>
    <definedName name="OSRRefD21_13x_8" localSheetId="58">'326'!$L$72:$L$73</definedName>
    <definedName name="OSRRefD21_13x_8" localSheetId="56">'331'!$L$87</definedName>
    <definedName name="OSRRefD21_13x_8" localSheetId="54">'333'!$L$89</definedName>
    <definedName name="OSRRefD21_13x_8" localSheetId="73">'405'!$L$81</definedName>
    <definedName name="OSRRefD21_13x_8" localSheetId="75">'411'!$L$67:$L$68</definedName>
    <definedName name="OSRRefD21_13x_8" localSheetId="79">'415'!$L$75</definedName>
    <definedName name="OSRRefD21_13x_8" localSheetId="80">'418'!$L$76</definedName>
    <definedName name="OSRRefD21_13x_8" localSheetId="87">'433'!$L$75:$L$82</definedName>
    <definedName name="OSRRefD21_13x_8" localSheetId="89">'444'!$L$74:$L$82</definedName>
    <definedName name="OSRRefD21_13x_8" localSheetId="90">'450'!$L$74:$L$80</definedName>
    <definedName name="OSRRefD21_13x_8" localSheetId="72">'491'!$L$74</definedName>
    <definedName name="OSRRefD21_13x_8" localSheetId="85">'492'!$L$74:$L$77</definedName>
    <definedName name="OSRRefD21_13x_8" localSheetId="92">'501'!$L$69</definedName>
    <definedName name="OSRRefD21_13x_8" localSheetId="39">'Div 2'!$L$68:$L$71</definedName>
    <definedName name="OSRRefD21_13x_8" localSheetId="47">'Div 3'!$L$106</definedName>
    <definedName name="OSRRefD21_13x_8" localSheetId="70">'Div 4'!$L$75</definedName>
    <definedName name="OSRRefD21_13x_8" localSheetId="91">'Div 5'!$L$69</definedName>
    <definedName name="OSRRefD21_13x_8" localSheetId="2">Summary!$L$114</definedName>
    <definedName name="OSRRefD21_13x_9" localSheetId="41">'201'!$M$66</definedName>
    <definedName name="OSRRefD21_13x_9" localSheetId="43">'203'!$M$70</definedName>
    <definedName name="OSRRefD21_13x_9" localSheetId="48">'300'!$M$100</definedName>
    <definedName name="OSRRefD21_13x_9" localSheetId="49">'300 &amp; 317'!$M$106</definedName>
    <definedName name="OSRRefD21_13x_9" localSheetId="50">'301'!$M$66</definedName>
    <definedName name="OSRRefD21_13x_9" localSheetId="55">'307'!$M$81</definedName>
    <definedName name="OSRRefD21_13x_9" localSheetId="51">'308'!$M$84</definedName>
    <definedName name="OSRRefD21_13x_9" localSheetId="63">'310'!$M$75:$M$77</definedName>
    <definedName name="OSRRefD21_13x_9" localSheetId="71">'310 &amp; 491'!$M$75:$M$76</definedName>
    <definedName name="OSRRefD21_13x_9" localSheetId="52">'311'!$M$84</definedName>
    <definedName name="OSRRefD21_13x_9" localSheetId="57">'315'!$M$88:$M$90</definedName>
    <definedName name="OSRRefD21_13x_9" localSheetId="68">'325'!$M$71:$M$76</definedName>
    <definedName name="OSRRefD21_13x_9" localSheetId="58">'326'!$M$72:$M$73</definedName>
    <definedName name="OSRRefD21_13x_9" localSheetId="56">'331'!$M$87</definedName>
    <definedName name="OSRRefD21_13x_9" localSheetId="54">'333'!$M$89</definedName>
    <definedName name="OSRRefD21_13x_9" localSheetId="73">'405'!$M$81</definedName>
    <definedName name="OSRRefD21_13x_9" localSheetId="75">'411'!$M$67:$M$68</definedName>
    <definedName name="OSRRefD21_13x_9" localSheetId="79">'415'!$M$75</definedName>
    <definedName name="OSRRefD21_13x_9" localSheetId="80">'418'!$M$76</definedName>
    <definedName name="OSRRefD21_13x_9" localSheetId="87">'433'!$M$75:$M$82</definedName>
    <definedName name="OSRRefD21_13x_9" localSheetId="89">'444'!$M$74:$M$82</definedName>
    <definedName name="OSRRefD21_13x_9" localSheetId="90">'450'!$M$74:$M$80</definedName>
    <definedName name="OSRRefD21_13x_9" localSheetId="72">'491'!$M$74</definedName>
    <definedName name="OSRRefD21_13x_9" localSheetId="85">'492'!$M$74:$M$77</definedName>
    <definedName name="OSRRefD21_13x_9" localSheetId="92">'501'!$M$69</definedName>
    <definedName name="OSRRefD21_13x_9" localSheetId="39">'Div 2'!$M$68:$M$71</definedName>
    <definedName name="OSRRefD21_13x_9" localSheetId="47">'Div 3'!$M$106</definedName>
    <definedName name="OSRRefD21_13x_9" localSheetId="70">'Div 4'!$M$75</definedName>
    <definedName name="OSRRefD21_13x_9" localSheetId="91">'Div 5'!$M$69</definedName>
    <definedName name="OSRRefD21_13x_9" localSheetId="2">Summary!$M$114</definedName>
    <definedName name="OSRRefD21_14_0x" localSheetId="41">'201'!$D$68:$M$68</definedName>
    <definedName name="OSRRefD21_14_0x" localSheetId="48">'300'!$D$102:$M$102</definedName>
    <definedName name="OSRRefD21_14_0x" localSheetId="49">'300 &amp; 317'!$D$108:$M$108</definedName>
    <definedName name="OSRRefD21_14_0x" localSheetId="50">'301'!$D$68:$M$68</definedName>
    <definedName name="OSRRefD21_14_0x" localSheetId="63">'310'!$D$79:$M$79</definedName>
    <definedName name="OSRRefD21_14_0x" localSheetId="71">'310 &amp; 491'!$D$78:$M$78</definedName>
    <definedName name="OSRRefD21_14_0x" localSheetId="57">'315'!$D$92:$M$92</definedName>
    <definedName name="OSRRefD21_14_0x" localSheetId="68">'325'!$D$78:$M$78</definedName>
    <definedName name="OSRRefD21_14_0x" localSheetId="58">'326'!$D$75:$M$75</definedName>
    <definedName name="OSRRefD21_14_0x" localSheetId="56">'331'!$D$89:$M$89</definedName>
    <definedName name="OSRRefD21_14_0x" localSheetId="54">'333'!$D$91:$M$91</definedName>
    <definedName name="OSRRefD21_14_0x" localSheetId="73">'405'!$D$83:$M$83</definedName>
    <definedName name="OSRRefD21_14_0x" localSheetId="75">'411'!$D$70:$M$70</definedName>
    <definedName name="OSRRefD21_14_0x" localSheetId="79">'415'!$D$77:$M$77</definedName>
    <definedName name="OSRRefD21_14_0x" localSheetId="80">'418'!$D$78:$M$78</definedName>
    <definedName name="OSRRefD21_14_0x" localSheetId="87">'433'!$D$84:$M$84</definedName>
    <definedName name="OSRRefD21_14_0x" localSheetId="89">'444'!$D$84:$M$84</definedName>
    <definedName name="OSRRefD21_14_0x" localSheetId="90">'450'!$D$82:$M$82</definedName>
    <definedName name="OSRRefD21_14_0x" localSheetId="72">'491'!$D$76:$M$76</definedName>
    <definedName name="OSRRefD21_14_0x" localSheetId="85">'492'!$D$79:$M$79</definedName>
    <definedName name="OSRRefD21_14_0x" localSheetId="39">'Div 2'!$D$73:$M$73</definedName>
    <definedName name="OSRRefD21_14_0x" localSheetId="47">'Div 3'!$D$108:$M$108</definedName>
    <definedName name="OSRRefD21_14_0x" localSheetId="70">'Div 4'!$D$77:$M$77</definedName>
    <definedName name="OSRRefD21_14_0x" localSheetId="2">Summary!$D$116:$M$116</definedName>
    <definedName name="OSRRefD21_14_1x" localSheetId="63">'310'!$D$80:$M$80</definedName>
    <definedName name="OSRRefD21_14_1x" localSheetId="71">'310 &amp; 491'!$D$79:$M$79</definedName>
    <definedName name="OSRRefD21_14_1x" localSheetId="57">'315'!$D$93:$M$93</definedName>
    <definedName name="OSRRefD21_14_1x" localSheetId="68">'325'!$D$79:$M$79</definedName>
    <definedName name="OSRRefD21_14_1x" localSheetId="58">'326'!$D$76:$M$76</definedName>
    <definedName name="OSRRefD21_14_1x" localSheetId="56">'331'!$D$90:$M$90</definedName>
    <definedName name="OSRRefD21_14_1x" localSheetId="54">'333'!$D$92:$M$92</definedName>
    <definedName name="OSRRefD21_14_1x" localSheetId="79">'415'!$D$78:$M$78</definedName>
    <definedName name="OSRRefD21_14_1x" localSheetId="72">'491'!$D$77:$M$77</definedName>
    <definedName name="OSRRefD21_14_1x" localSheetId="85">'492'!$D$80:$M$80</definedName>
    <definedName name="OSRRefD21_14_1x" localSheetId="39">'Div 2'!$D$74:$M$74</definedName>
    <definedName name="OSRRefD21_14_1x" localSheetId="70">'Div 4'!$D$78:$M$78</definedName>
    <definedName name="OSRRefD21_14_2x" localSheetId="63">'310'!$D$81:$M$81</definedName>
    <definedName name="OSRRefD21_14_2x" localSheetId="71">'310 &amp; 491'!$D$80:$M$80</definedName>
    <definedName name="OSRRefD21_14_2x" localSheetId="58">'326'!$D$77:$M$77</definedName>
    <definedName name="OSRRefD21_14_2x" localSheetId="79">'415'!$D$79:$M$79</definedName>
    <definedName name="OSRRefD21_14_2x" localSheetId="72">'491'!$D$78:$M$78</definedName>
    <definedName name="OSRRefD21_14_2x" localSheetId="85">'492'!$D$81:$M$81</definedName>
    <definedName name="OSRRefD21_14_2x" localSheetId="70">'Div 4'!$D$79:$M$79</definedName>
    <definedName name="OSRRefD21_14_3x" localSheetId="63">'310'!$D$82:$M$82</definedName>
    <definedName name="OSRRefD21_14_3x" localSheetId="71">'310 &amp; 491'!$D$81:$M$81</definedName>
    <definedName name="OSRRefD21_14_3x" localSheetId="79">'415'!$D$80:$M$80</definedName>
    <definedName name="OSRRefD21_14_3x" localSheetId="72">'491'!$D$79:$M$79</definedName>
    <definedName name="OSRRefD21_14_3x" localSheetId="85">'492'!$D$82:$M$82</definedName>
    <definedName name="OSRRefD21_14_4x" localSheetId="63">'310'!$D$83:$M$83</definedName>
    <definedName name="OSRRefD21_14_4x" localSheetId="71">'310 &amp; 491'!$D$82:$M$82</definedName>
    <definedName name="OSRRefD21_14_4x" localSheetId="79">'415'!$D$81:$M$81</definedName>
    <definedName name="OSRRefD21_14_4x" localSheetId="72">'491'!$D$80:$M$80</definedName>
    <definedName name="OSRRefD21_14_4x" localSheetId="85">'492'!$D$83:$M$83</definedName>
    <definedName name="OSRRefD21_14_5x" localSheetId="63">'310'!$D$84:$M$84</definedName>
    <definedName name="OSRRefD21_14_5x" localSheetId="79">'415'!$D$82:$M$82</definedName>
    <definedName name="OSRRefD21_14_5x" localSheetId="85">'492'!$D$84:$M$84</definedName>
    <definedName name="OSRRefD21_14_6x" localSheetId="85">'492'!$D$85:$M$85</definedName>
    <definedName name="OSRRefD21_14_7x" localSheetId="85">'492'!$D$86:$M$86</definedName>
    <definedName name="OSRRefD21_14_8x" localSheetId="85">'492'!$D$87:$M$87</definedName>
    <definedName name="OSRRefD21_14x_0" localSheetId="41">'201'!$D$68</definedName>
    <definedName name="OSRRefD21_14x_0" localSheetId="48">'300'!$D$102</definedName>
    <definedName name="OSRRefD21_14x_0" localSheetId="49">'300 &amp; 317'!$D$108</definedName>
    <definedName name="OSRRefD21_14x_0" localSheetId="50">'301'!$D$68</definedName>
    <definedName name="OSRRefD21_14x_0" localSheetId="63">'310'!$D$79:$D$84</definedName>
    <definedName name="OSRRefD21_14x_0" localSheetId="71">'310 &amp; 491'!$D$78:$D$82</definedName>
    <definedName name="OSRRefD21_14x_0" localSheetId="57">'315'!$D$92:$D$93</definedName>
    <definedName name="OSRRefD21_14x_0" localSheetId="68">'325'!$D$78:$D$79</definedName>
    <definedName name="OSRRefD21_14x_0" localSheetId="58">'326'!$D$75:$D$77</definedName>
    <definedName name="OSRRefD21_14x_0" localSheetId="56">'331'!$D$89:$D$90</definedName>
    <definedName name="OSRRefD21_14x_0" localSheetId="54">'333'!$D$91:$D$92</definedName>
    <definedName name="OSRRefD21_14x_0" localSheetId="73">'405'!$D$83</definedName>
    <definedName name="OSRRefD21_14x_0" localSheetId="75">'411'!$D$70</definedName>
    <definedName name="OSRRefD21_14x_0" localSheetId="79">'415'!$D$77:$D$82</definedName>
    <definedName name="OSRRefD21_14x_0" localSheetId="80">'418'!$D$78</definedName>
    <definedName name="OSRRefD21_14x_0" localSheetId="87">'433'!$D$84</definedName>
    <definedName name="OSRRefD21_14x_0" localSheetId="89">'444'!$D$84</definedName>
    <definedName name="OSRRefD21_14x_0" localSheetId="90">'450'!$D$82</definedName>
    <definedName name="OSRRefD21_14x_0" localSheetId="72">'491'!$D$76:$D$80</definedName>
    <definedName name="OSRRefD21_14x_0" localSheetId="85">'492'!$D$79:$D$87</definedName>
    <definedName name="OSRRefD21_14x_0" localSheetId="39">'Div 2'!$D$73:$D$74</definedName>
    <definedName name="OSRRefD21_14x_0" localSheetId="47">'Div 3'!$D$108</definedName>
    <definedName name="OSRRefD21_14x_0" localSheetId="70">'Div 4'!$D$77:$D$79</definedName>
    <definedName name="OSRRefD21_14x_0" localSheetId="2">Summary!$D$116</definedName>
    <definedName name="OSRRefD21_14x_1" localSheetId="41">'201'!$E$68</definedName>
    <definedName name="OSRRefD21_14x_1" localSheetId="48">'300'!$E$102</definedName>
    <definedName name="OSRRefD21_14x_1" localSheetId="49">'300 &amp; 317'!$E$108</definedName>
    <definedName name="OSRRefD21_14x_1" localSheetId="50">'301'!$E$68</definedName>
    <definedName name="OSRRefD21_14x_1" localSheetId="63">'310'!$E$79:$E$84</definedName>
    <definedName name="OSRRefD21_14x_1" localSheetId="71">'310 &amp; 491'!$E$78:$E$82</definedName>
    <definedName name="OSRRefD21_14x_1" localSheetId="57">'315'!$E$92:$E$93</definedName>
    <definedName name="OSRRefD21_14x_1" localSheetId="68">'325'!$E$78:$E$79</definedName>
    <definedName name="OSRRefD21_14x_1" localSheetId="58">'326'!$E$75:$E$77</definedName>
    <definedName name="OSRRefD21_14x_1" localSheetId="56">'331'!$E$89:$E$90</definedName>
    <definedName name="OSRRefD21_14x_1" localSheetId="54">'333'!$E$91:$E$92</definedName>
    <definedName name="OSRRefD21_14x_1" localSheetId="73">'405'!$E$83</definedName>
    <definedName name="OSRRefD21_14x_1" localSheetId="75">'411'!$E$70</definedName>
    <definedName name="OSRRefD21_14x_1" localSheetId="79">'415'!$E$77:$E$82</definedName>
    <definedName name="OSRRefD21_14x_1" localSheetId="80">'418'!$E$78</definedName>
    <definedName name="OSRRefD21_14x_1" localSheetId="87">'433'!$E$84</definedName>
    <definedName name="OSRRefD21_14x_1" localSheetId="89">'444'!$E$84</definedName>
    <definedName name="OSRRefD21_14x_1" localSheetId="90">'450'!$E$82</definedName>
    <definedName name="OSRRefD21_14x_1" localSheetId="72">'491'!$E$76:$E$80</definedName>
    <definedName name="OSRRefD21_14x_1" localSheetId="85">'492'!$E$79:$E$87</definedName>
    <definedName name="OSRRefD21_14x_1" localSheetId="39">'Div 2'!$E$73:$E$74</definedName>
    <definedName name="OSRRefD21_14x_1" localSheetId="47">'Div 3'!$E$108</definedName>
    <definedName name="OSRRefD21_14x_1" localSheetId="70">'Div 4'!$E$77:$E$79</definedName>
    <definedName name="OSRRefD21_14x_1" localSheetId="2">Summary!$E$116</definedName>
    <definedName name="OSRRefD21_14x_2" localSheetId="41">'201'!$F$68</definedName>
    <definedName name="OSRRefD21_14x_2" localSheetId="48">'300'!$F$102</definedName>
    <definedName name="OSRRefD21_14x_2" localSheetId="49">'300 &amp; 317'!$F$108</definedName>
    <definedName name="OSRRefD21_14x_2" localSheetId="50">'301'!$F$68</definedName>
    <definedName name="OSRRefD21_14x_2" localSheetId="63">'310'!$F$79:$F$84</definedName>
    <definedName name="OSRRefD21_14x_2" localSheetId="71">'310 &amp; 491'!$F$78:$F$82</definedName>
    <definedName name="OSRRefD21_14x_2" localSheetId="57">'315'!$F$92:$F$93</definedName>
    <definedName name="OSRRefD21_14x_2" localSheetId="68">'325'!$F$78:$F$79</definedName>
    <definedName name="OSRRefD21_14x_2" localSheetId="58">'326'!$F$75:$F$77</definedName>
    <definedName name="OSRRefD21_14x_2" localSheetId="56">'331'!$F$89:$F$90</definedName>
    <definedName name="OSRRefD21_14x_2" localSheetId="54">'333'!$F$91:$F$92</definedName>
    <definedName name="OSRRefD21_14x_2" localSheetId="73">'405'!$F$83</definedName>
    <definedName name="OSRRefD21_14x_2" localSheetId="75">'411'!$F$70</definedName>
    <definedName name="OSRRefD21_14x_2" localSheetId="79">'415'!$F$77:$F$82</definedName>
    <definedName name="OSRRefD21_14x_2" localSheetId="80">'418'!$F$78</definedName>
    <definedName name="OSRRefD21_14x_2" localSheetId="87">'433'!$F$84</definedName>
    <definedName name="OSRRefD21_14x_2" localSheetId="89">'444'!$F$84</definedName>
    <definedName name="OSRRefD21_14x_2" localSheetId="90">'450'!$F$82</definedName>
    <definedName name="OSRRefD21_14x_2" localSheetId="72">'491'!$F$76:$F$80</definedName>
    <definedName name="OSRRefD21_14x_2" localSheetId="85">'492'!$F$79:$F$87</definedName>
    <definedName name="OSRRefD21_14x_2" localSheetId="39">'Div 2'!$F$73:$F$74</definedName>
    <definedName name="OSRRefD21_14x_2" localSheetId="47">'Div 3'!$F$108</definedName>
    <definedName name="OSRRefD21_14x_2" localSheetId="70">'Div 4'!$F$77:$F$79</definedName>
    <definedName name="OSRRefD21_14x_2" localSheetId="2">Summary!$F$116</definedName>
    <definedName name="OSRRefD21_14x_3" localSheetId="41">'201'!$G$68</definedName>
    <definedName name="OSRRefD21_14x_3" localSheetId="48">'300'!$G$102</definedName>
    <definedName name="OSRRefD21_14x_3" localSheetId="49">'300 &amp; 317'!$G$108</definedName>
    <definedName name="OSRRefD21_14x_3" localSheetId="50">'301'!$G$68</definedName>
    <definedName name="OSRRefD21_14x_3" localSheetId="63">'310'!$G$79:$G$84</definedName>
    <definedName name="OSRRefD21_14x_3" localSheetId="71">'310 &amp; 491'!$G$78:$G$82</definedName>
    <definedName name="OSRRefD21_14x_3" localSheetId="57">'315'!$G$92:$G$93</definedName>
    <definedName name="OSRRefD21_14x_3" localSheetId="68">'325'!$G$78:$G$79</definedName>
    <definedName name="OSRRefD21_14x_3" localSheetId="58">'326'!$G$75:$G$77</definedName>
    <definedName name="OSRRefD21_14x_3" localSheetId="56">'331'!$G$89:$G$90</definedName>
    <definedName name="OSRRefD21_14x_3" localSheetId="54">'333'!$G$91:$G$92</definedName>
    <definedName name="OSRRefD21_14x_3" localSheetId="73">'405'!$G$83</definedName>
    <definedName name="OSRRefD21_14x_3" localSheetId="75">'411'!$G$70</definedName>
    <definedName name="OSRRefD21_14x_3" localSheetId="79">'415'!$G$77:$G$82</definedName>
    <definedName name="OSRRefD21_14x_3" localSheetId="80">'418'!$G$78</definedName>
    <definedName name="OSRRefD21_14x_3" localSheetId="87">'433'!$G$84</definedName>
    <definedName name="OSRRefD21_14x_3" localSheetId="89">'444'!$G$84</definedName>
    <definedName name="OSRRefD21_14x_3" localSheetId="90">'450'!$G$82</definedName>
    <definedName name="OSRRefD21_14x_3" localSheetId="72">'491'!$G$76:$G$80</definedName>
    <definedName name="OSRRefD21_14x_3" localSheetId="85">'492'!$G$79:$G$87</definedName>
    <definedName name="OSRRefD21_14x_3" localSheetId="39">'Div 2'!$G$73:$G$74</definedName>
    <definedName name="OSRRefD21_14x_3" localSheetId="47">'Div 3'!$G$108</definedName>
    <definedName name="OSRRefD21_14x_3" localSheetId="70">'Div 4'!$G$77:$G$79</definedName>
    <definedName name="OSRRefD21_14x_3" localSheetId="2">Summary!$G$116</definedName>
    <definedName name="OSRRefD21_14x_4" localSheetId="41">'201'!$H$68</definedName>
    <definedName name="OSRRefD21_14x_4" localSheetId="48">'300'!$H$102</definedName>
    <definedName name="OSRRefD21_14x_4" localSheetId="49">'300 &amp; 317'!$H$108</definedName>
    <definedName name="OSRRefD21_14x_4" localSheetId="50">'301'!$H$68</definedName>
    <definedName name="OSRRefD21_14x_4" localSheetId="63">'310'!$H$79:$H$84</definedName>
    <definedName name="OSRRefD21_14x_4" localSheetId="71">'310 &amp; 491'!$H$78:$H$82</definedName>
    <definedName name="OSRRefD21_14x_4" localSheetId="57">'315'!$H$92:$H$93</definedName>
    <definedName name="OSRRefD21_14x_4" localSheetId="68">'325'!$H$78:$H$79</definedName>
    <definedName name="OSRRefD21_14x_4" localSheetId="58">'326'!$H$75:$H$77</definedName>
    <definedName name="OSRRefD21_14x_4" localSheetId="56">'331'!$H$89:$H$90</definedName>
    <definedName name="OSRRefD21_14x_4" localSheetId="54">'333'!$H$91:$H$92</definedName>
    <definedName name="OSRRefD21_14x_4" localSheetId="73">'405'!$H$83</definedName>
    <definedName name="OSRRefD21_14x_4" localSheetId="75">'411'!$H$70</definedName>
    <definedName name="OSRRefD21_14x_4" localSheetId="79">'415'!$H$77:$H$82</definedName>
    <definedName name="OSRRefD21_14x_4" localSheetId="80">'418'!$H$78</definedName>
    <definedName name="OSRRefD21_14x_4" localSheetId="87">'433'!$H$84</definedName>
    <definedName name="OSRRefD21_14x_4" localSheetId="89">'444'!$H$84</definedName>
    <definedName name="OSRRefD21_14x_4" localSheetId="90">'450'!$H$82</definedName>
    <definedName name="OSRRefD21_14x_4" localSheetId="72">'491'!$H$76:$H$80</definedName>
    <definedName name="OSRRefD21_14x_4" localSheetId="85">'492'!$H$79:$H$87</definedName>
    <definedName name="OSRRefD21_14x_4" localSheetId="39">'Div 2'!$H$73:$H$74</definedName>
    <definedName name="OSRRefD21_14x_4" localSheetId="47">'Div 3'!$H$108</definedName>
    <definedName name="OSRRefD21_14x_4" localSheetId="70">'Div 4'!$H$77:$H$79</definedName>
    <definedName name="OSRRefD21_14x_4" localSheetId="2">Summary!$H$116</definedName>
    <definedName name="OSRRefD21_14x_5" localSheetId="41">'201'!$I$68</definedName>
    <definedName name="OSRRefD21_14x_5" localSheetId="48">'300'!$I$102</definedName>
    <definedName name="OSRRefD21_14x_5" localSheetId="49">'300 &amp; 317'!$I$108</definedName>
    <definedName name="OSRRefD21_14x_5" localSheetId="50">'301'!$I$68</definedName>
    <definedName name="OSRRefD21_14x_5" localSheetId="63">'310'!$I$79:$I$84</definedName>
    <definedName name="OSRRefD21_14x_5" localSheetId="71">'310 &amp; 491'!$I$78:$I$82</definedName>
    <definedName name="OSRRefD21_14x_5" localSheetId="57">'315'!$I$92:$I$93</definedName>
    <definedName name="OSRRefD21_14x_5" localSheetId="68">'325'!$I$78:$I$79</definedName>
    <definedName name="OSRRefD21_14x_5" localSheetId="58">'326'!$I$75:$I$77</definedName>
    <definedName name="OSRRefD21_14x_5" localSheetId="56">'331'!$I$89:$I$90</definedName>
    <definedName name="OSRRefD21_14x_5" localSheetId="54">'333'!$I$91:$I$92</definedName>
    <definedName name="OSRRefD21_14x_5" localSheetId="73">'405'!$I$83</definedName>
    <definedName name="OSRRefD21_14x_5" localSheetId="75">'411'!$I$70</definedName>
    <definedName name="OSRRefD21_14x_5" localSheetId="79">'415'!$I$77:$I$82</definedName>
    <definedName name="OSRRefD21_14x_5" localSheetId="80">'418'!$I$78</definedName>
    <definedName name="OSRRefD21_14x_5" localSheetId="87">'433'!$I$84</definedName>
    <definedName name="OSRRefD21_14x_5" localSheetId="89">'444'!$I$84</definedName>
    <definedName name="OSRRefD21_14x_5" localSheetId="90">'450'!$I$82</definedName>
    <definedName name="OSRRefD21_14x_5" localSheetId="72">'491'!$I$76:$I$80</definedName>
    <definedName name="OSRRefD21_14x_5" localSheetId="85">'492'!$I$79:$I$87</definedName>
    <definedName name="OSRRefD21_14x_5" localSheetId="39">'Div 2'!$I$73:$I$74</definedName>
    <definedName name="OSRRefD21_14x_5" localSheetId="47">'Div 3'!$I$108</definedName>
    <definedName name="OSRRefD21_14x_5" localSheetId="70">'Div 4'!$I$77:$I$79</definedName>
    <definedName name="OSRRefD21_14x_5" localSheetId="2">Summary!$I$116</definedName>
    <definedName name="OSRRefD21_14x_6" localSheetId="41">'201'!$J$68</definedName>
    <definedName name="OSRRefD21_14x_6" localSheetId="48">'300'!$J$102</definedName>
    <definedName name="OSRRefD21_14x_6" localSheetId="49">'300 &amp; 317'!$J$108</definedName>
    <definedName name="OSRRefD21_14x_6" localSheetId="50">'301'!$J$68</definedName>
    <definedName name="OSRRefD21_14x_6" localSheetId="63">'310'!$J$79:$J$84</definedName>
    <definedName name="OSRRefD21_14x_6" localSheetId="71">'310 &amp; 491'!$J$78:$J$82</definedName>
    <definedName name="OSRRefD21_14x_6" localSheetId="57">'315'!$J$92:$J$93</definedName>
    <definedName name="OSRRefD21_14x_6" localSheetId="68">'325'!$J$78:$J$79</definedName>
    <definedName name="OSRRefD21_14x_6" localSheetId="58">'326'!$J$75:$J$77</definedName>
    <definedName name="OSRRefD21_14x_6" localSheetId="56">'331'!$J$89:$J$90</definedName>
    <definedName name="OSRRefD21_14x_6" localSheetId="54">'333'!$J$91:$J$92</definedName>
    <definedName name="OSRRefD21_14x_6" localSheetId="73">'405'!$J$83</definedName>
    <definedName name="OSRRefD21_14x_6" localSheetId="75">'411'!$J$70</definedName>
    <definedName name="OSRRefD21_14x_6" localSheetId="79">'415'!$J$77:$J$82</definedName>
    <definedName name="OSRRefD21_14x_6" localSheetId="80">'418'!$J$78</definedName>
    <definedName name="OSRRefD21_14x_6" localSheetId="87">'433'!$J$84</definedName>
    <definedName name="OSRRefD21_14x_6" localSheetId="89">'444'!$J$84</definedName>
    <definedName name="OSRRefD21_14x_6" localSheetId="90">'450'!$J$82</definedName>
    <definedName name="OSRRefD21_14x_6" localSheetId="72">'491'!$J$76:$J$80</definedName>
    <definedName name="OSRRefD21_14x_6" localSheetId="85">'492'!$J$79:$J$87</definedName>
    <definedName name="OSRRefD21_14x_6" localSheetId="39">'Div 2'!$J$73:$J$74</definedName>
    <definedName name="OSRRefD21_14x_6" localSheetId="47">'Div 3'!$J$108</definedName>
    <definedName name="OSRRefD21_14x_6" localSheetId="70">'Div 4'!$J$77:$J$79</definedName>
    <definedName name="OSRRefD21_14x_6" localSheetId="2">Summary!$J$116</definedName>
    <definedName name="OSRRefD21_14x_7" localSheetId="41">'201'!$K$68</definedName>
    <definedName name="OSRRefD21_14x_7" localSheetId="48">'300'!$K$102</definedName>
    <definedName name="OSRRefD21_14x_7" localSheetId="49">'300 &amp; 317'!$K$108</definedName>
    <definedName name="OSRRefD21_14x_7" localSheetId="50">'301'!$K$68</definedName>
    <definedName name="OSRRefD21_14x_7" localSheetId="63">'310'!$K$79:$K$84</definedName>
    <definedName name="OSRRefD21_14x_7" localSheetId="71">'310 &amp; 491'!$K$78:$K$82</definedName>
    <definedName name="OSRRefD21_14x_7" localSheetId="57">'315'!$K$92:$K$93</definedName>
    <definedName name="OSRRefD21_14x_7" localSheetId="68">'325'!$K$78:$K$79</definedName>
    <definedName name="OSRRefD21_14x_7" localSheetId="58">'326'!$K$75:$K$77</definedName>
    <definedName name="OSRRefD21_14x_7" localSheetId="56">'331'!$K$89:$K$90</definedName>
    <definedName name="OSRRefD21_14x_7" localSheetId="54">'333'!$K$91:$K$92</definedName>
    <definedName name="OSRRefD21_14x_7" localSheetId="73">'405'!$K$83</definedName>
    <definedName name="OSRRefD21_14x_7" localSheetId="75">'411'!$K$70</definedName>
    <definedName name="OSRRefD21_14x_7" localSheetId="79">'415'!$K$77:$K$82</definedName>
    <definedName name="OSRRefD21_14x_7" localSheetId="80">'418'!$K$78</definedName>
    <definedName name="OSRRefD21_14x_7" localSheetId="87">'433'!$K$84</definedName>
    <definedName name="OSRRefD21_14x_7" localSheetId="89">'444'!$K$84</definedName>
    <definedName name="OSRRefD21_14x_7" localSheetId="90">'450'!$K$82</definedName>
    <definedName name="OSRRefD21_14x_7" localSheetId="72">'491'!$K$76:$K$80</definedName>
    <definedName name="OSRRefD21_14x_7" localSheetId="85">'492'!$K$79:$K$87</definedName>
    <definedName name="OSRRefD21_14x_7" localSheetId="39">'Div 2'!$K$73:$K$74</definedName>
    <definedName name="OSRRefD21_14x_7" localSheetId="47">'Div 3'!$K$108</definedName>
    <definedName name="OSRRefD21_14x_7" localSheetId="70">'Div 4'!$K$77:$K$79</definedName>
    <definedName name="OSRRefD21_14x_7" localSheetId="2">Summary!$K$116</definedName>
    <definedName name="OSRRefD21_14x_8" localSheetId="41">'201'!$L$68</definedName>
    <definedName name="OSRRefD21_14x_8" localSheetId="48">'300'!$L$102</definedName>
    <definedName name="OSRRefD21_14x_8" localSheetId="49">'300 &amp; 317'!$L$108</definedName>
    <definedName name="OSRRefD21_14x_8" localSheetId="50">'301'!$L$68</definedName>
    <definedName name="OSRRefD21_14x_8" localSheetId="63">'310'!$L$79:$L$84</definedName>
    <definedName name="OSRRefD21_14x_8" localSheetId="71">'310 &amp; 491'!$L$78:$L$82</definedName>
    <definedName name="OSRRefD21_14x_8" localSheetId="57">'315'!$L$92:$L$93</definedName>
    <definedName name="OSRRefD21_14x_8" localSheetId="68">'325'!$L$78:$L$79</definedName>
    <definedName name="OSRRefD21_14x_8" localSheetId="58">'326'!$L$75:$L$77</definedName>
    <definedName name="OSRRefD21_14x_8" localSheetId="56">'331'!$L$89:$L$90</definedName>
    <definedName name="OSRRefD21_14x_8" localSheetId="54">'333'!$L$91:$L$92</definedName>
    <definedName name="OSRRefD21_14x_8" localSheetId="73">'405'!$L$83</definedName>
    <definedName name="OSRRefD21_14x_8" localSheetId="75">'411'!$L$70</definedName>
    <definedName name="OSRRefD21_14x_8" localSheetId="79">'415'!$L$77:$L$82</definedName>
    <definedName name="OSRRefD21_14x_8" localSheetId="80">'418'!$L$78</definedName>
    <definedName name="OSRRefD21_14x_8" localSheetId="87">'433'!$L$84</definedName>
    <definedName name="OSRRefD21_14x_8" localSheetId="89">'444'!$L$84</definedName>
    <definedName name="OSRRefD21_14x_8" localSheetId="90">'450'!$L$82</definedName>
    <definedName name="OSRRefD21_14x_8" localSheetId="72">'491'!$L$76:$L$80</definedName>
    <definedName name="OSRRefD21_14x_8" localSheetId="85">'492'!$L$79:$L$87</definedName>
    <definedName name="OSRRefD21_14x_8" localSheetId="39">'Div 2'!$L$73:$L$74</definedName>
    <definedName name="OSRRefD21_14x_8" localSheetId="47">'Div 3'!$L$108</definedName>
    <definedName name="OSRRefD21_14x_8" localSheetId="70">'Div 4'!$L$77:$L$79</definedName>
    <definedName name="OSRRefD21_14x_8" localSheetId="2">Summary!$L$116</definedName>
    <definedName name="OSRRefD21_14x_9" localSheetId="41">'201'!$M$68</definedName>
    <definedName name="OSRRefD21_14x_9" localSheetId="48">'300'!$M$102</definedName>
    <definedName name="OSRRefD21_14x_9" localSheetId="49">'300 &amp; 317'!$M$108</definedName>
    <definedName name="OSRRefD21_14x_9" localSheetId="50">'301'!$M$68</definedName>
    <definedName name="OSRRefD21_14x_9" localSheetId="63">'310'!$M$79:$M$84</definedName>
    <definedName name="OSRRefD21_14x_9" localSheetId="71">'310 &amp; 491'!$M$78:$M$82</definedName>
    <definedName name="OSRRefD21_14x_9" localSheetId="57">'315'!$M$92:$M$93</definedName>
    <definedName name="OSRRefD21_14x_9" localSheetId="68">'325'!$M$78:$M$79</definedName>
    <definedName name="OSRRefD21_14x_9" localSheetId="58">'326'!$M$75:$M$77</definedName>
    <definedName name="OSRRefD21_14x_9" localSheetId="56">'331'!$M$89:$M$90</definedName>
    <definedName name="OSRRefD21_14x_9" localSheetId="54">'333'!$M$91:$M$92</definedName>
    <definedName name="OSRRefD21_14x_9" localSheetId="73">'405'!$M$83</definedName>
    <definedName name="OSRRefD21_14x_9" localSheetId="75">'411'!$M$70</definedName>
    <definedName name="OSRRefD21_14x_9" localSheetId="79">'415'!$M$77:$M$82</definedName>
    <definedName name="OSRRefD21_14x_9" localSheetId="80">'418'!$M$78</definedName>
    <definedName name="OSRRefD21_14x_9" localSheetId="87">'433'!$M$84</definedName>
    <definedName name="OSRRefD21_14x_9" localSheetId="89">'444'!$M$84</definedName>
    <definedName name="OSRRefD21_14x_9" localSheetId="90">'450'!$M$82</definedName>
    <definedName name="OSRRefD21_14x_9" localSheetId="72">'491'!$M$76:$M$80</definedName>
    <definedName name="OSRRefD21_14x_9" localSheetId="85">'492'!$M$79:$M$87</definedName>
    <definedName name="OSRRefD21_14x_9" localSheetId="39">'Div 2'!$M$73:$M$74</definedName>
    <definedName name="OSRRefD21_14x_9" localSheetId="47">'Div 3'!$M$108</definedName>
    <definedName name="OSRRefD21_14x_9" localSheetId="70">'Div 4'!$M$77:$M$79</definedName>
    <definedName name="OSRRefD21_14x_9" localSheetId="2">Summary!$M$116</definedName>
    <definedName name="OSRRefD21_15_0x" localSheetId="48">'300'!$D$104:$M$104</definedName>
    <definedName name="OSRRefD21_15_0x" localSheetId="49">'300 &amp; 317'!$D$110:$M$110</definedName>
    <definedName name="OSRRefD21_15_0x" localSheetId="50">'301'!$D$70:$M$70</definedName>
    <definedName name="OSRRefD21_15_0x" localSheetId="63">'310'!$D$86:$M$86</definedName>
    <definedName name="OSRRefD21_15_0x" localSheetId="71">'310 &amp; 491'!$D$84:$M$84</definedName>
    <definedName name="OSRRefD21_15_0x" localSheetId="57">'315'!$D$95:$M$95</definedName>
    <definedName name="OSRRefD21_15_0x" localSheetId="68">'325'!$D$81:$M$81</definedName>
    <definedName name="OSRRefD21_15_0x" localSheetId="58">'326'!$D$79:$M$79</definedName>
    <definedName name="OSRRefD21_15_0x" localSheetId="56">'331'!$D$92:$M$92</definedName>
    <definedName name="OSRRefD21_15_0x" localSheetId="54">'333'!$D$94:$M$94</definedName>
    <definedName name="OSRRefD21_15_0x" localSheetId="73">'405'!$D$85:$M$85</definedName>
    <definedName name="OSRRefD21_15_0x" localSheetId="79">'415'!$D$84:$M$84</definedName>
    <definedName name="OSRRefD21_15_0x" localSheetId="87">'433'!$D$86:$M$86</definedName>
    <definedName name="OSRRefD21_15_0x" localSheetId="89">'444'!$D$86:$M$86</definedName>
    <definedName name="OSRRefD21_15_0x" localSheetId="90">'450'!$D$84:$M$84</definedName>
    <definedName name="OSRRefD21_15_0x" localSheetId="72">'491'!$D$82:$M$82</definedName>
    <definedName name="OSRRefD21_15_0x" localSheetId="85">'492'!$D$89:$M$89</definedName>
    <definedName name="OSRRefD21_15_0x" localSheetId="39">'Div 2'!$D$76:$M$76</definedName>
    <definedName name="OSRRefD21_15_0x" localSheetId="47">'Div 3'!$D$110:$M$110</definedName>
    <definedName name="OSRRefD21_15_0x" localSheetId="70">'Div 4'!$D$81:$M$81</definedName>
    <definedName name="OSRRefD21_15_0x" localSheetId="2">Summary!$D$118:$M$118</definedName>
    <definedName name="OSRRefD21_15_1x" localSheetId="50">'301'!$D$71:$M$71</definedName>
    <definedName name="OSRRefD21_15_1x" localSheetId="63">'310'!$D$87:$M$87</definedName>
    <definedName name="OSRRefD21_15_1x" localSheetId="57">'315'!$D$96:$M$96</definedName>
    <definedName name="OSRRefD21_15_1x" localSheetId="56">'331'!$D$93:$M$93</definedName>
    <definedName name="OSRRefD21_15_1x" localSheetId="54">'333'!$D$95:$M$95</definedName>
    <definedName name="OSRRefD21_15_1x" localSheetId="79">'415'!$D$85:$M$85</definedName>
    <definedName name="OSRRefD21_15_1x" localSheetId="85">'492'!$D$90:$M$90</definedName>
    <definedName name="OSRRefD21_15_1x" localSheetId="39">'Div 2'!$D$77:$M$77</definedName>
    <definedName name="OSRRefD21_15_2x" localSheetId="50">'301'!$D$72:$M$72</definedName>
    <definedName name="OSRRefD21_15_2x" localSheetId="57">'315'!$D$97:$M$97</definedName>
    <definedName name="OSRRefD21_15_2x" localSheetId="56">'331'!$D$94:$M$94</definedName>
    <definedName name="OSRRefD21_15_2x" localSheetId="54">'333'!$D$96:$M$96</definedName>
    <definedName name="OSRRefD21_15_3x" localSheetId="50">'301'!$D$73:$M$73</definedName>
    <definedName name="OSRRefD21_15_3x" localSheetId="57">'315'!$D$98:$M$98</definedName>
    <definedName name="OSRRefD21_15x_0" localSheetId="48">'300'!$D$104</definedName>
    <definedName name="OSRRefD21_15x_0" localSheetId="49">'300 &amp; 317'!$D$110</definedName>
    <definedName name="OSRRefD21_15x_0" localSheetId="50">'301'!$D$70:$D$73</definedName>
    <definedName name="OSRRefD21_15x_0" localSheetId="63">'310'!$D$86:$D$87</definedName>
    <definedName name="OSRRefD21_15x_0" localSheetId="71">'310 &amp; 491'!$D$84</definedName>
    <definedName name="OSRRefD21_15x_0" localSheetId="57">'315'!$D$95:$D$98</definedName>
    <definedName name="OSRRefD21_15x_0" localSheetId="68">'325'!$D$81</definedName>
    <definedName name="OSRRefD21_15x_0" localSheetId="58">'326'!$D$79</definedName>
    <definedName name="OSRRefD21_15x_0" localSheetId="56">'331'!$D$92:$D$94</definedName>
    <definedName name="OSRRefD21_15x_0" localSheetId="54">'333'!$D$94:$D$96</definedName>
    <definedName name="OSRRefD21_15x_0" localSheetId="73">'405'!$D$85</definedName>
    <definedName name="OSRRefD21_15x_0" localSheetId="79">'415'!$D$84:$D$85</definedName>
    <definedName name="OSRRefD21_15x_0" localSheetId="87">'433'!$D$86</definedName>
    <definedName name="OSRRefD21_15x_0" localSheetId="89">'444'!$D$86</definedName>
    <definedName name="OSRRefD21_15x_0" localSheetId="90">'450'!$D$84</definedName>
    <definedName name="OSRRefD21_15x_0" localSheetId="72">'491'!$D$82</definedName>
    <definedName name="OSRRefD21_15x_0" localSheetId="85">'492'!$D$89:$D$90</definedName>
    <definedName name="OSRRefD21_15x_0" localSheetId="39">'Div 2'!$D$76:$D$77</definedName>
    <definedName name="OSRRefD21_15x_0" localSheetId="47">'Div 3'!$D$110</definedName>
    <definedName name="OSRRefD21_15x_0" localSheetId="70">'Div 4'!$D$81</definedName>
    <definedName name="OSRRefD21_15x_0" localSheetId="2">Summary!$D$118</definedName>
    <definedName name="OSRRefD21_15x_1" localSheetId="48">'300'!$E$104</definedName>
    <definedName name="OSRRefD21_15x_1" localSheetId="49">'300 &amp; 317'!$E$110</definedName>
    <definedName name="OSRRefD21_15x_1" localSheetId="50">'301'!$E$70:$E$73</definedName>
    <definedName name="OSRRefD21_15x_1" localSheetId="63">'310'!$E$86:$E$87</definedName>
    <definedName name="OSRRefD21_15x_1" localSheetId="71">'310 &amp; 491'!$E$84</definedName>
    <definedName name="OSRRefD21_15x_1" localSheetId="57">'315'!$E$95:$E$98</definedName>
    <definedName name="OSRRefD21_15x_1" localSheetId="68">'325'!$E$81</definedName>
    <definedName name="OSRRefD21_15x_1" localSheetId="58">'326'!$E$79</definedName>
    <definedName name="OSRRefD21_15x_1" localSheetId="56">'331'!$E$92:$E$94</definedName>
    <definedName name="OSRRefD21_15x_1" localSheetId="54">'333'!$E$94:$E$96</definedName>
    <definedName name="OSRRefD21_15x_1" localSheetId="73">'405'!$E$85</definedName>
    <definedName name="OSRRefD21_15x_1" localSheetId="79">'415'!$E$84:$E$85</definedName>
    <definedName name="OSRRefD21_15x_1" localSheetId="87">'433'!$E$86</definedName>
    <definedName name="OSRRefD21_15x_1" localSheetId="89">'444'!$E$86</definedName>
    <definedName name="OSRRefD21_15x_1" localSheetId="90">'450'!$E$84</definedName>
    <definedName name="OSRRefD21_15x_1" localSheetId="72">'491'!$E$82</definedName>
    <definedName name="OSRRefD21_15x_1" localSheetId="85">'492'!$E$89:$E$90</definedName>
    <definedName name="OSRRefD21_15x_1" localSheetId="39">'Div 2'!$E$76:$E$77</definedName>
    <definedName name="OSRRefD21_15x_1" localSheetId="47">'Div 3'!$E$110</definedName>
    <definedName name="OSRRefD21_15x_1" localSheetId="70">'Div 4'!$E$81</definedName>
    <definedName name="OSRRefD21_15x_1" localSheetId="2">Summary!$E$118</definedName>
    <definedName name="OSRRefD21_15x_2" localSheetId="48">'300'!$F$104</definedName>
    <definedName name="OSRRefD21_15x_2" localSheetId="49">'300 &amp; 317'!$F$110</definedName>
    <definedName name="OSRRefD21_15x_2" localSheetId="50">'301'!$F$70:$F$73</definedName>
    <definedName name="OSRRefD21_15x_2" localSheetId="63">'310'!$F$86:$F$87</definedName>
    <definedName name="OSRRefD21_15x_2" localSheetId="71">'310 &amp; 491'!$F$84</definedName>
    <definedName name="OSRRefD21_15x_2" localSheetId="57">'315'!$F$95:$F$98</definedName>
    <definedName name="OSRRefD21_15x_2" localSheetId="68">'325'!$F$81</definedName>
    <definedName name="OSRRefD21_15x_2" localSheetId="58">'326'!$F$79</definedName>
    <definedName name="OSRRefD21_15x_2" localSheetId="56">'331'!$F$92:$F$94</definedName>
    <definedName name="OSRRefD21_15x_2" localSheetId="54">'333'!$F$94:$F$96</definedName>
    <definedName name="OSRRefD21_15x_2" localSheetId="73">'405'!$F$85</definedName>
    <definedName name="OSRRefD21_15x_2" localSheetId="79">'415'!$F$84:$F$85</definedName>
    <definedName name="OSRRefD21_15x_2" localSheetId="87">'433'!$F$86</definedName>
    <definedName name="OSRRefD21_15x_2" localSheetId="89">'444'!$F$86</definedName>
    <definedName name="OSRRefD21_15x_2" localSheetId="90">'450'!$F$84</definedName>
    <definedName name="OSRRefD21_15x_2" localSheetId="72">'491'!$F$82</definedName>
    <definedName name="OSRRefD21_15x_2" localSheetId="85">'492'!$F$89:$F$90</definedName>
    <definedName name="OSRRefD21_15x_2" localSheetId="39">'Div 2'!$F$76:$F$77</definedName>
    <definedName name="OSRRefD21_15x_2" localSheetId="47">'Div 3'!$F$110</definedName>
    <definedName name="OSRRefD21_15x_2" localSheetId="70">'Div 4'!$F$81</definedName>
    <definedName name="OSRRefD21_15x_2" localSheetId="2">Summary!$F$118</definedName>
    <definedName name="OSRRefD21_15x_3" localSheetId="48">'300'!$G$104</definedName>
    <definedName name="OSRRefD21_15x_3" localSheetId="49">'300 &amp; 317'!$G$110</definedName>
    <definedName name="OSRRefD21_15x_3" localSheetId="50">'301'!$G$70:$G$73</definedName>
    <definedName name="OSRRefD21_15x_3" localSheetId="63">'310'!$G$86:$G$87</definedName>
    <definedName name="OSRRefD21_15x_3" localSheetId="71">'310 &amp; 491'!$G$84</definedName>
    <definedName name="OSRRefD21_15x_3" localSheetId="57">'315'!$G$95:$G$98</definedName>
    <definedName name="OSRRefD21_15x_3" localSheetId="68">'325'!$G$81</definedName>
    <definedName name="OSRRefD21_15x_3" localSheetId="58">'326'!$G$79</definedName>
    <definedName name="OSRRefD21_15x_3" localSheetId="56">'331'!$G$92:$G$94</definedName>
    <definedName name="OSRRefD21_15x_3" localSheetId="54">'333'!$G$94:$G$96</definedName>
    <definedName name="OSRRefD21_15x_3" localSheetId="73">'405'!$G$85</definedName>
    <definedName name="OSRRefD21_15x_3" localSheetId="79">'415'!$G$84:$G$85</definedName>
    <definedName name="OSRRefD21_15x_3" localSheetId="87">'433'!$G$86</definedName>
    <definedName name="OSRRefD21_15x_3" localSheetId="89">'444'!$G$86</definedName>
    <definedName name="OSRRefD21_15x_3" localSheetId="90">'450'!$G$84</definedName>
    <definedName name="OSRRefD21_15x_3" localSheetId="72">'491'!$G$82</definedName>
    <definedName name="OSRRefD21_15x_3" localSheetId="85">'492'!$G$89:$G$90</definedName>
    <definedName name="OSRRefD21_15x_3" localSheetId="39">'Div 2'!$G$76:$G$77</definedName>
    <definedName name="OSRRefD21_15x_3" localSheetId="47">'Div 3'!$G$110</definedName>
    <definedName name="OSRRefD21_15x_3" localSheetId="70">'Div 4'!$G$81</definedName>
    <definedName name="OSRRefD21_15x_3" localSheetId="2">Summary!$G$118</definedName>
    <definedName name="OSRRefD21_15x_4" localSheetId="48">'300'!$H$104</definedName>
    <definedName name="OSRRefD21_15x_4" localSheetId="49">'300 &amp; 317'!$H$110</definedName>
    <definedName name="OSRRefD21_15x_4" localSheetId="50">'301'!$H$70:$H$73</definedName>
    <definedName name="OSRRefD21_15x_4" localSheetId="63">'310'!$H$86:$H$87</definedName>
    <definedName name="OSRRefD21_15x_4" localSheetId="71">'310 &amp; 491'!$H$84</definedName>
    <definedName name="OSRRefD21_15x_4" localSheetId="57">'315'!$H$95:$H$98</definedName>
    <definedName name="OSRRefD21_15x_4" localSheetId="68">'325'!$H$81</definedName>
    <definedName name="OSRRefD21_15x_4" localSheetId="58">'326'!$H$79</definedName>
    <definedName name="OSRRefD21_15x_4" localSheetId="56">'331'!$H$92:$H$94</definedName>
    <definedName name="OSRRefD21_15x_4" localSheetId="54">'333'!$H$94:$H$96</definedName>
    <definedName name="OSRRefD21_15x_4" localSheetId="73">'405'!$H$85</definedName>
    <definedName name="OSRRefD21_15x_4" localSheetId="79">'415'!$H$84:$H$85</definedName>
    <definedName name="OSRRefD21_15x_4" localSheetId="87">'433'!$H$86</definedName>
    <definedName name="OSRRefD21_15x_4" localSheetId="89">'444'!$H$86</definedName>
    <definedName name="OSRRefD21_15x_4" localSheetId="90">'450'!$H$84</definedName>
    <definedName name="OSRRefD21_15x_4" localSheetId="72">'491'!$H$82</definedName>
    <definedName name="OSRRefD21_15x_4" localSheetId="85">'492'!$H$89:$H$90</definedName>
    <definedName name="OSRRefD21_15x_4" localSheetId="39">'Div 2'!$H$76:$H$77</definedName>
    <definedName name="OSRRefD21_15x_4" localSheetId="47">'Div 3'!$H$110</definedName>
    <definedName name="OSRRefD21_15x_4" localSheetId="70">'Div 4'!$H$81</definedName>
    <definedName name="OSRRefD21_15x_4" localSheetId="2">Summary!$H$118</definedName>
    <definedName name="OSRRefD21_15x_5" localSheetId="48">'300'!$I$104</definedName>
    <definedName name="OSRRefD21_15x_5" localSheetId="49">'300 &amp; 317'!$I$110</definedName>
    <definedName name="OSRRefD21_15x_5" localSheetId="50">'301'!$I$70:$I$73</definedName>
    <definedName name="OSRRefD21_15x_5" localSheetId="63">'310'!$I$86:$I$87</definedName>
    <definedName name="OSRRefD21_15x_5" localSheetId="71">'310 &amp; 491'!$I$84</definedName>
    <definedName name="OSRRefD21_15x_5" localSheetId="57">'315'!$I$95:$I$98</definedName>
    <definedName name="OSRRefD21_15x_5" localSheetId="68">'325'!$I$81</definedName>
    <definedName name="OSRRefD21_15x_5" localSheetId="58">'326'!$I$79</definedName>
    <definedName name="OSRRefD21_15x_5" localSheetId="56">'331'!$I$92:$I$94</definedName>
    <definedName name="OSRRefD21_15x_5" localSheetId="54">'333'!$I$94:$I$96</definedName>
    <definedName name="OSRRefD21_15x_5" localSheetId="73">'405'!$I$85</definedName>
    <definedName name="OSRRefD21_15x_5" localSheetId="79">'415'!$I$84:$I$85</definedName>
    <definedName name="OSRRefD21_15x_5" localSheetId="87">'433'!$I$86</definedName>
    <definedName name="OSRRefD21_15x_5" localSheetId="89">'444'!$I$86</definedName>
    <definedName name="OSRRefD21_15x_5" localSheetId="90">'450'!$I$84</definedName>
    <definedName name="OSRRefD21_15x_5" localSheetId="72">'491'!$I$82</definedName>
    <definedName name="OSRRefD21_15x_5" localSheetId="85">'492'!$I$89:$I$90</definedName>
    <definedName name="OSRRefD21_15x_5" localSheetId="39">'Div 2'!$I$76:$I$77</definedName>
    <definedName name="OSRRefD21_15x_5" localSheetId="47">'Div 3'!$I$110</definedName>
    <definedName name="OSRRefD21_15x_5" localSheetId="70">'Div 4'!$I$81</definedName>
    <definedName name="OSRRefD21_15x_5" localSheetId="2">Summary!$I$118</definedName>
    <definedName name="OSRRefD21_15x_6" localSheetId="48">'300'!$J$104</definedName>
    <definedName name="OSRRefD21_15x_6" localSheetId="49">'300 &amp; 317'!$J$110</definedName>
    <definedName name="OSRRefD21_15x_6" localSheetId="50">'301'!$J$70:$J$73</definedName>
    <definedName name="OSRRefD21_15x_6" localSheetId="63">'310'!$J$86:$J$87</definedName>
    <definedName name="OSRRefD21_15x_6" localSheetId="71">'310 &amp; 491'!$J$84</definedName>
    <definedName name="OSRRefD21_15x_6" localSheetId="57">'315'!$J$95:$J$98</definedName>
    <definedName name="OSRRefD21_15x_6" localSheetId="68">'325'!$J$81</definedName>
    <definedName name="OSRRefD21_15x_6" localSheetId="58">'326'!$J$79</definedName>
    <definedName name="OSRRefD21_15x_6" localSheetId="56">'331'!$J$92:$J$94</definedName>
    <definedName name="OSRRefD21_15x_6" localSheetId="54">'333'!$J$94:$J$96</definedName>
    <definedName name="OSRRefD21_15x_6" localSheetId="73">'405'!$J$85</definedName>
    <definedName name="OSRRefD21_15x_6" localSheetId="79">'415'!$J$84:$J$85</definedName>
    <definedName name="OSRRefD21_15x_6" localSheetId="87">'433'!$J$86</definedName>
    <definedName name="OSRRefD21_15x_6" localSheetId="89">'444'!$J$86</definedName>
    <definedName name="OSRRefD21_15x_6" localSheetId="90">'450'!$J$84</definedName>
    <definedName name="OSRRefD21_15x_6" localSheetId="72">'491'!$J$82</definedName>
    <definedName name="OSRRefD21_15x_6" localSheetId="85">'492'!$J$89:$J$90</definedName>
    <definedName name="OSRRefD21_15x_6" localSheetId="39">'Div 2'!$J$76:$J$77</definedName>
    <definedName name="OSRRefD21_15x_6" localSheetId="47">'Div 3'!$J$110</definedName>
    <definedName name="OSRRefD21_15x_6" localSheetId="70">'Div 4'!$J$81</definedName>
    <definedName name="OSRRefD21_15x_6" localSheetId="2">Summary!$J$118</definedName>
    <definedName name="OSRRefD21_15x_7" localSheetId="48">'300'!$K$104</definedName>
    <definedName name="OSRRefD21_15x_7" localSheetId="49">'300 &amp; 317'!$K$110</definedName>
    <definedName name="OSRRefD21_15x_7" localSheetId="50">'301'!$K$70:$K$73</definedName>
    <definedName name="OSRRefD21_15x_7" localSheetId="63">'310'!$K$86:$K$87</definedName>
    <definedName name="OSRRefD21_15x_7" localSheetId="71">'310 &amp; 491'!$K$84</definedName>
    <definedName name="OSRRefD21_15x_7" localSheetId="57">'315'!$K$95:$K$98</definedName>
    <definedName name="OSRRefD21_15x_7" localSheetId="68">'325'!$K$81</definedName>
    <definedName name="OSRRefD21_15x_7" localSheetId="58">'326'!$K$79</definedName>
    <definedName name="OSRRefD21_15x_7" localSheetId="56">'331'!$K$92:$K$94</definedName>
    <definedName name="OSRRefD21_15x_7" localSheetId="54">'333'!$K$94:$K$96</definedName>
    <definedName name="OSRRefD21_15x_7" localSheetId="73">'405'!$K$85</definedName>
    <definedName name="OSRRefD21_15x_7" localSheetId="79">'415'!$K$84:$K$85</definedName>
    <definedName name="OSRRefD21_15x_7" localSheetId="87">'433'!$K$86</definedName>
    <definedName name="OSRRefD21_15x_7" localSheetId="89">'444'!$K$86</definedName>
    <definedName name="OSRRefD21_15x_7" localSheetId="90">'450'!$K$84</definedName>
    <definedName name="OSRRefD21_15x_7" localSheetId="72">'491'!$K$82</definedName>
    <definedName name="OSRRefD21_15x_7" localSheetId="85">'492'!$K$89:$K$90</definedName>
    <definedName name="OSRRefD21_15x_7" localSheetId="39">'Div 2'!$K$76:$K$77</definedName>
    <definedName name="OSRRefD21_15x_7" localSheetId="47">'Div 3'!$K$110</definedName>
    <definedName name="OSRRefD21_15x_7" localSheetId="70">'Div 4'!$K$81</definedName>
    <definedName name="OSRRefD21_15x_7" localSheetId="2">Summary!$K$118</definedName>
    <definedName name="OSRRefD21_15x_8" localSheetId="48">'300'!$L$104</definedName>
    <definedName name="OSRRefD21_15x_8" localSheetId="49">'300 &amp; 317'!$L$110</definedName>
    <definedName name="OSRRefD21_15x_8" localSheetId="50">'301'!$L$70:$L$73</definedName>
    <definedName name="OSRRefD21_15x_8" localSheetId="63">'310'!$L$86:$L$87</definedName>
    <definedName name="OSRRefD21_15x_8" localSheetId="71">'310 &amp; 491'!$L$84</definedName>
    <definedName name="OSRRefD21_15x_8" localSheetId="57">'315'!$L$95:$L$98</definedName>
    <definedName name="OSRRefD21_15x_8" localSheetId="68">'325'!$L$81</definedName>
    <definedName name="OSRRefD21_15x_8" localSheetId="58">'326'!$L$79</definedName>
    <definedName name="OSRRefD21_15x_8" localSheetId="56">'331'!$L$92:$L$94</definedName>
    <definedName name="OSRRefD21_15x_8" localSheetId="54">'333'!$L$94:$L$96</definedName>
    <definedName name="OSRRefD21_15x_8" localSheetId="73">'405'!$L$85</definedName>
    <definedName name="OSRRefD21_15x_8" localSheetId="79">'415'!$L$84:$L$85</definedName>
    <definedName name="OSRRefD21_15x_8" localSheetId="87">'433'!$L$86</definedName>
    <definedName name="OSRRefD21_15x_8" localSheetId="89">'444'!$L$86</definedName>
    <definedName name="OSRRefD21_15x_8" localSheetId="90">'450'!$L$84</definedName>
    <definedName name="OSRRefD21_15x_8" localSheetId="72">'491'!$L$82</definedName>
    <definedName name="OSRRefD21_15x_8" localSheetId="85">'492'!$L$89:$L$90</definedName>
    <definedName name="OSRRefD21_15x_8" localSheetId="39">'Div 2'!$L$76:$L$77</definedName>
    <definedName name="OSRRefD21_15x_8" localSheetId="47">'Div 3'!$L$110</definedName>
    <definedName name="OSRRefD21_15x_8" localSheetId="70">'Div 4'!$L$81</definedName>
    <definedName name="OSRRefD21_15x_8" localSheetId="2">Summary!$L$118</definedName>
    <definedName name="OSRRefD21_15x_9" localSheetId="48">'300'!$M$104</definedName>
    <definedName name="OSRRefD21_15x_9" localSheetId="49">'300 &amp; 317'!$M$110</definedName>
    <definedName name="OSRRefD21_15x_9" localSheetId="50">'301'!$M$70:$M$73</definedName>
    <definedName name="OSRRefD21_15x_9" localSheetId="63">'310'!$M$86:$M$87</definedName>
    <definedName name="OSRRefD21_15x_9" localSheetId="71">'310 &amp; 491'!$M$84</definedName>
    <definedName name="OSRRefD21_15x_9" localSheetId="57">'315'!$M$95:$M$98</definedName>
    <definedName name="OSRRefD21_15x_9" localSheetId="68">'325'!$M$81</definedName>
    <definedName name="OSRRefD21_15x_9" localSheetId="58">'326'!$M$79</definedName>
    <definedName name="OSRRefD21_15x_9" localSheetId="56">'331'!$M$92:$M$94</definedName>
    <definedName name="OSRRefD21_15x_9" localSheetId="54">'333'!$M$94:$M$96</definedName>
    <definedName name="OSRRefD21_15x_9" localSheetId="73">'405'!$M$85</definedName>
    <definedName name="OSRRefD21_15x_9" localSheetId="79">'415'!$M$84:$M$85</definedName>
    <definedName name="OSRRefD21_15x_9" localSheetId="87">'433'!$M$86</definedName>
    <definedName name="OSRRefD21_15x_9" localSheetId="89">'444'!$M$86</definedName>
    <definedName name="OSRRefD21_15x_9" localSheetId="90">'450'!$M$84</definedName>
    <definedName name="OSRRefD21_15x_9" localSheetId="72">'491'!$M$82</definedName>
    <definedName name="OSRRefD21_15x_9" localSheetId="85">'492'!$M$89:$M$90</definedName>
    <definedName name="OSRRefD21_15x_9" localSheetId="39">'Div 2'!$M$76:$M$77</definedName>
    <definedName name="OSRRefD21_15x_9" localSheetId="47">'Div 3'!$M$110</definedName>
    <definedName name="OSRRefD21_15x_9" localSheetId="70">'Div 4'!$M$81</definedName>
    <definedName name="OSRRefD21_15x_9" localSheetId="2">Summary!$M$118</definedName>
    <definedName name="OSRRefD21_16_0x" localSheetId="48">'300'!$D$106:$M$106</definedName>
    <definedName name="OSRRefD21_16_0x" localSheetId="49">'300 &amp; 317'!$D$112:$M$112</definedName>
    <definedName name="OSRRefD21_16_0x" localSheetId="50">'301'!$D$75:$M$75</definedName>
    <definedName name="OSRRefD21_16_0x" localSheetId="63">'310'!$D$89:$M$89</definedName>
    <definedName name="OSRRefD21_16_0x" localSheetId="71">'310 &amp; 491'!$D$86:$M$86</definedName>
    <definedName name="OSRRefD21_16_0x" localSheetId="57">'315'!$D$100:$M$100</definedName>
    <definedName name="OSRRefD21_16_0x" localSheetId="68">'325'!$D$83:$M$83</definedName>
    <definedName name="OSRRefD21_16_0x" localSheetId="58">'326'!$D$81:$M$81</definedName>
    <definedName name="OSRRefD21_16_0x" localSheetId="56">'331'!$D$96:$M$96</definedName>
    <definedName name="OSRRefD21_16_0x" localSheetId="54">'333'!$D$98:$M$98</definedName>
    <definedName name="OSRRefD21_16_0x" localSheetId="79">'415'!$D$87:$M$87</definedName>
    <definedName name="OSRRefD21_16_0x" localSheetId="90">'450'!$D$86:$M$86</definedName>
    <definedName name="OSRRefD21_16_0x" localSheetId="72">'491'!$D$84:$M$84</definedName>
    <definedName name="OSRRefD21_16_0x" localSheetId="85">'492'!$D$92:$M$92</definedName>
    <definedName name="OSRRefD21_16_0x" localSheetId="39">'Div 2'!$D$79:$M$79</definedName>
    <definedName name="OSRRefD21_16_0x" localSheetId="47">'Div 3'!$D$112:$M$112</definedName>
    <definedName name="OSRRefD21_16_0x" localSheetId="70">'Div 4'!$D$83:$M$83</definedName>
    <definedName name="OSRRefD21_16_0x" localSheetId="2">Summary!$D$120:$M$120</definedName>
    <definedName name="OSRRefD21_16_1x" localSheetId="48">'300'!$D$107:$M$107</definedName>
    <definedName name="OSRRefD21_16_1x" localSheetId="49">'300 &amp; 317'!$D$113:$M$113</definedName>
    <definedName name="OSRRefD21_16_1x" localSheetId="50">'301'!$D$76:$M$76</definedName>
    <definedName name="OSRRefD21_16_1x" localSheetId="71">'310 &amp; 491'!$D$87:$M$87</definedName>
    <definedName name="OSRRefD21_16_1x" localSheetId="58">'326'!$D$82:$M$82</definedName>
    <definedName name="OSRRefD21_16_1x" localSheetId="56">'331'!$D$97:$M$97</definedName>
    <definedName name="OSRRefD21_16_1x" localSheetId="54">'333'!$D$99:$M$99</definedName>
    <definedName name="OSRRefD21_16_1x" localSheetId="72">'491'!$D$85:$M$85</definedName>
    <definedName name="OSRRefD21_16_1x" localSheetId="39">'Div 2'!$D$80:$M$80</definedName>
    <definedName name="OSRRefD21_16_1x" localSheetId="70">'Div 4'!$D$84:$M$84</definedName>
    <definedName name="OSRRefD21_16_2x" localSheetId="48">'300'!$D$108:$M$108</definedName>
    <definedName name="OSRRefD21_16_2x" localSheetId="49">'300 &amp; 317'!$D$114:$M$114</definedName>
    <definedName name="OSRRefD21_16_2x" localSheetId="71">'310 &amp; 491'!$D$88:$M$88</definedName>
    <definedName name="OSRRefD21_16_2x" localSheetId="54">'333'!$D$100:$M$100</definedName>
    <definedName name="OSRRefD21_16_2x" localSheetId="72">'491'!$D$86:$M$86</definedName>
    <definedName name="OSRRefD21_16_2x" localSheetId="39">'Div 2'!$D$81:$M$81</definedName>
    <definedName name="OSRRefD21_16_2x" localSheetId="70">'Div 4'!$D$85:$M$85</definedName>
    <definedName name="OSRRefD21_16_3x" localSheetId="48">'300'!$D$109:$M$109</definedName>
    <definedName name="OSRRefD21_16_3x" localSheetId="49">'300 &amp; 317'!$D$115:$M$115</definedName>
    <definedName name="OSRRefD21_16_3x" localSheetId="71">'310 &amp; 491'!$D$89:$M$89</definedName>
    <definedName name="OSRRefD21_16_3x" localSheetId="72">'491'!$D$87:$M$87</definedName>
    <definedName name="OSRRefD21_16_3x" localSheetId="39">'Div 2'!$D$82:$M$82</definedName>
    <definedName name="OSRRefD21_16_3x" localSheetId="70">'Div 4'!$D$86:$M$86</definedName>
    <definedName name="OSRRefD21_16_4x" localSheetId="71">'310 &amp; 491'!$D$90:$M$90</definedName>
    <definedName name="OSRRefD21_16_4x" localSheetId="72">'491'!$D$88:$M$88</definedName>
    <definedName name="OSRRefD21_16_4x" localSheetId="39">'Div 2'!$D$83:$M$83</definedName>
    <definedName name="OSRRefD21_16_4x" localSheetId="70">'Div 4'!$D$87:$M$87</definedName>
    <definedName name="OSRRefD21_16_5x" localSheetId="71">'310 &amp; 491'!$D$91:$M$91</definedName>
    <definedName name="OSRRefD21_16_5x" localSheetId="72">'491'!$D$89:$M$89</definedName>
    <definedName name="OSRRefD21_16_6x" localSheetId="71">'310 &amp; 491'!$D$92:$M$92</definedName>
    <definedName name="OSRRefD21_16_6x" localSheetId="72">'491'!$D$90:$M$90</definedName>
    <definedName name="OSRRefD21_16_7x" localSheetId="71">'310 &amp; 491'!$D$93:$M$93</definedName>
    <definedName name="OSRRefD21_16_7x" localSheetId="72">'491'!$D$91:$M$91</definedName>
    <definedName name="OSRRefD21_16_8x" localSheetId="71">'310 &amp; 491'!$D$94:$M$94</definedName>
    <definedName name="OSRRefD21_16_8x" localSheetId="72">'491'!$D$92:$M$92</definedName>
    <definedName name="OSRRefD21_16x_0" localSheetId="48">'300'!$D$106:$D$109</definedName>
    <definedName name="OSRRefD21_16x_0" localSheetId="49">'300 &amp; 317'!$D$112:$D$115</definedName>
    <definedName name="OSRRefD21_16x_0" localSheetId="50">'301'!$D$75:$D$76</definedName>
    <definedName name="OSRRefD21_16x_0" localSheetId="63">'310'!$D$89</definedName>
    <definedName name="OSRRefD21_16x_0" localSheetId="71">'310 &amp; 491'!$D$86:$D$94</definedName>
    <definedName name="OSRRefD21_16x_0" localSheetId="57">'315'!$D$100</definedName>
    <definedName name="OSRRefD21_16x_0" localSheetId="68">'325'!$D$83</definedName>
    <definedName name="OSRRefD21_16x_0" localSheetId="58">'326'!$D$81:$D$82</definedName>
    <definedName name="OSRRefD21_16x_0" localSheetId="56">'331'!$D$96:$D$97</definedName>
    <definedName name="OSRRefD21_16x_0" localSheetId="54">'333'!$D$98:$D$100</definedName>
    <definedName name="OSRRefD21_16x_0" localSheetId="79">'415'!$D$87</definedName>
    <definedName name="OSRRefD21_16x_0" localSheetId="90">'450'!$D$86</definedName>
    <definedName name="OSRRefD21_16x_0" localSheetId="72">'491'!$D$84:$D$92</definedName>
    <definedName name="OSRRefD21_16x_0" localSheetId="85">'492'!$D$92</definedName>
    <definedName name="OSRRefD21_16x_0" localSheetId="39">'Div 2'!$D$79:$D$83</definedName>
    <definedName name="OSRRefD21_16x_0" localSheetId="47">'Div 3'!$D$112</definedName>
    <definedName name="OSRRefD21_16x_0" localSheetId="70">'Div 4'!$D$83:$D$87</definedName>
    <definedName name="OSRRefD21_16x_0" localSheetId="2">Summary!$D$120</definedName>
    <definedName name="OSRRefD21_16x_1" localSheetId="48">'300'!$E$106:$E$109</definedName>
    <definedName name="OSRRefD21_16x_1" localSheetId="49">'300 &amp; 317'!$E$112:$E$115</definedName>
    <definedName name="OSRRefD21_16x_1" localSheetId="50">'301'!$E$75:$E$76</definedName>
    <definedName name="OSRRefD21_16x_1" localSheetId="63">'310'!$E$89</definedName>
    <definedName name="OSRRefD21_16x_1" localSheetId="71">'310 &amp; 491'!$E$86:$E$94</definedName>
    <definedName name="OSRRefD21_16x_1" localSheetId="57">'315'!$E$100</definedName>
    <definedName name="OSRRefD21_16x_1" localSheetId="68">'325'!$E$83</definedName>
    <definedName name="OSRRefD21_16x_1" localSheetId="58">'326'!$E$81:$E$82</definedName>
    <definedName name="OSRRefD21_16x_1" localSheetId="56">'331'!$E$96:$E$97</definedName>
    <definedName name="OSRRefD21_16x_1" localSheetId="54">'333'!$E$98:$E$100</definedName>
    <definedName name="OSRRefD21_16x_1" localSheetId="79">'415'!$E$87</definedName>
    <definedName name="OSRRefD21_16x_1" localSheetId="90">'450'!$E$86</definedName>
    <definedName name="OSRRefD21_16x_1" localSheetId="72">'491'!$E$84:$E$92</definedName>
    <definedName name="OSRRefD21_16x_1" localSheetId="85">'492'!$E$92</definedName>
    <definedName name="OSRRefD21_16x_1" localSheetId="39">'Div 2'!$E$79:$E$83</definedName>
    <definedName name="OSRRefD21_16x_1" localSheetId="47">'Div 3'!$E$112</definedName>
    <definedName name="OSRRefD21_16x_1" localSheetId="70">'Div 4'!$E$83:$E$87</definedName>
    <definedName name="OSRRefD21_16x_1" localSheetId="2">Summary!$E$120</definedName>
    <definedName name="OSRRefD21_16x_2" localSheetId="48">'300'!$F$106:$F$109</definedName>
    <definedName name="OSRRefD21_16x_2" localSheetId="49">'300 &amp; 317'!$F$112:$F$115</definedName>
    <definedName name="OSRRefD21_16x_2" localSheetId="50">'301'!$F$75:$F$76</definedName>
    <definedName name="OSRRefD21_16x_2" localSheetId="63">'310'!$F$89</definedName>
    <definedName name="OSRRefD21_16x_2" localSheetId="71">'310 &amp; 491'!$F$86:$F$94</definedName>
    <definedName name="OSRRefD21_16x_2" localSheetId="57">'315'!$F$100</definedName>
    <definedName name="OSRRefD21_16x_2" localSheetId="68">'325'!$F$83</definedName>
    <definedName name="OSRRefD21_16x_2" localSheetId="58">'326'!$F$81:$F$82</definedName>
    <definedName name="OSRRefD21_16x_2" localSheetId="56">'331'!$F$96:$F$97</definedName>
    <definedName name="OSRRefD21_16x_2" localSheetId="54">'333'!$F$98:$F$100</definedName>
    <definedName name="OSRRefD21_16x_2" localSheetId="79">'415'!$F$87</definedName>
    <definedName name="OSRRefD21_16x_2" localSheetId="90">'450'!$F$86</definedName>
    <definedName name="OSRRefD21_16x_2" localSheetId="72">'491'!$F$84:$F$92</definedName>
    <definedName name="OSRRefD21_16x_2" localSheetId="85">'492'!$F$92</definedName>
    <definedName name="OSRRefD21_16x_2" localSheetId="39">'Div 2'!$F$79:$F$83</definedName>
    <definedName name="OSRRefD21_16x_2" localSheetId="47">'Div 3'!$F$112</definedName>
    <definedName name="OSRRefD21_16x_2" localSheetId="70">'Div 4'!$F$83:$F$87</definedName>
    <definedName name="OSRRefD21_16x_2" localSheetId="2">Summary!$F$120</definedName>
    <definedName name="OSRRefD21_16x_3" localSheetId="48">'300'!$G$106:$G$109</definedName>
    <definedName name="OSRRefD21_16x_3" localSheetId="49">'300 &amp; 317'!$G$112:$G$115</definedName>
    <definedName name="OSRRefD21_16x_3" localSheetId="50">'301'!$G$75:$G$76</definedName>
    <definedName name="OSRRefD21_16x_3" localSheetId="63">'310'!$G$89</definedName>
    <definedName name="OSRRefD21_16x_3" localSheetId="71">'310 &amp; 491'!$G$86:$G$94</definedName>
    <definedName name="OSRRefD21_16x_3" localSheetId="57">'315'!$G$100</definedName>
    <definedName name="OSRRefD21_16x_3" localSheetId="68">'325'!$G$83</definedName>
    <definedName name="OSRRefD21_16x_3" localSheetId="58">'326'!$G$81:$G$82</definedName>
    <definedName name="OSRRefD21_16x_3" localSheetId="56">'331'!$G$96:$G$97</definedName>
    <definedName name="OSRRefD21_16x_3" localSheetId="54">'333'!$G$98:$G$100</definedName>
    <definedName name="OSRRefD21_16x_3" localSheetId="79">'415'!$G$87</definedName>
    <definedName name="OSRRefD21_16x_3" localSheetId="90">'450'!$G$86</definedName>
    <definedName name="OSRRefD21_16x_3" localSheetId="72">'491'!$G$84:$G$92</definedName>
    <definedName name="OSRRefD21_16x_3" localSheetId="85">'492'!$G$92</definedName>
    <definedName name="OSRRefD21_16x_3" localSheetId="39">'Div 2'!$G$79:$G$83</definedName>
    <definedName name="OSRRefD21_16x_3" localSheetId="47">'Div 3'!$G$112</definedName>
    <definedName name="OSRRefD21_16x_3" localSheetId="70">'Div 4'!$G$83:$G$87</definedName>
    <definedName name="OSRRefD21_16x_3" localSheetId="2">Summary!$G$120</definedName>
    <definedName name="OSRRefD21_16x_4" localSheetId="48">'300'!$H$106:$H$109</definedName>
    <definedName name="OSRRefD21_16x_4" localSheetId="49">'300 &amp; 317'!$H$112:$H$115</definedName>
    <definedName name="OSRRefD21_16x_4" localSheetId="50">'301'!$H$75:$H$76</definedName>
    <definedName name="OSRRefD21_16x_4" localSheetId="63">'310'!$H$89</definedName>
    <definedName name="OSRRefD21_16x_4" localSheetId="71">'310 &amp; 491'!$H$86:$H$94</definedName>
    <definedName name="OSRRefD21_16x_4" localSheetId="57">'315'!$H$100</definedName>
    <definedName name="OSRRefD21_16x_4" localSheetId="68">'325'!$H$83</definedName>
    <definedName name="OSRRefD21_16x_4" localSheetId="58">'326'!$H$81:$H$82</definedName>
    <definedName name="OSRRefD21_16x_4" localSheetId="56">'331'!$H$96:$H$97</definedName>
    <definedName name="OSRRefD21_16x_4" localSheetId="54">'333'!$H$98:$H$100</definedName>
    <definedName name="OSRRefD21_16x_4" localSheetId="79">'415'!$H$87</definedName>
    <definedName name="OSRRefD21_16x_4" localSheetId="90">'450'!$H$86</definedName>
    <definedName name="OSRRefD21_16x_4" localSheetId="72">'491'!$H$84:$H$92</definedName>
    <definedName name="OSRRefD21_16x_4" localSheetId="85">'492'!$H$92</definedName>
    <definedName name="OSRRefD21_16x_4" localSheetId="39">'Div 2'!$H$79:$H$83</definedName>
    <definedName name="OSRRefD21_16x_4" localSheetId="47">'Div 3'!$H$112</definedName>
    <definedName name="OSRRefD21_16x_4" localSheetId="70">'Div 4'!$H$83:$H$87</definedName>
    <definedName name="OSRRefD21_16x_4" localSheetId="2">Summary!$H$120</definedName>
    <definedName name="OSRRefD21_16x_5" localSheetId="48">'300'!$I$106:$I$109</definedName>
    <definedName name="OSRRefD21_16x_5" localSheetId="49">'300 &amp; 317'!$I$112:$I$115</definedName>
    <definedName name="OSRRefD21_16x_5" localSheetId="50">'301'!$I$75:$I$76</definedName>
    <definedName name="OSRRefD21_16x_5" localSheetId="63">'310'!$I$89</definedName>
    <definedName name="OSRRefD21_16x_5" localSheetId="71">'310 &amp; 491'!$I$86:$I$94</definedName>
    <definedName name="OSRRefD21_16x_5" localSheetId="57">'315'!$I$100</definedName>
    <definedName name="OSRRefD21_16x_5" localSheetId="68">'325'!$I$83</definedName>
    <definedName name="OSRRefD21_16x_5" localSheetId="58">'326'!$I$81:$I$82</definedName>
    <definedName name="OSRRefD21_16x_5" localSheetId="56">'331'!$I$96:$I$97</definedName>
    <definedName name="OSRRefD21_16x_5" localSheetId="54">'333'!$I$98:$I$100</definedName>
    <definedName name="OSRRefD21_16x_5" localSheetId="79">'415'!$I$87</definedName>
    <definedName name="OSRRefD21_16x_5" localSheetId="90">'450'!$I$86</definedName>
    <definedName name="OSRRefD21_16x_5" localSheetId="72">'491'!$I$84:$I$92</definedName>
    <definedName name="OSRRefD21_16x_5" localSheetId="85">'492'!$I$92</definedName>
    <definedName name="OSRRefD21_16x_5" localSheetId="39">'Div 2'!$I$79:$I$83</definedName>
    <definedName name="OSRRefD21_16x_5" localSheetId="47">'Div 3'!$I$112</definedName>
    <definedName name="OSRRefD21_16x_5" localSheetId="70">'Div 4'!$I$83:$I$87</definedName>
    <definedName name="OSRRefD21_16x_5" localSheetId="2">Summary!$I$120</definedName>
    <definedName name="OSRRefD21_16x_6" localSheetId="48">'300'!$J$106:$J$109</definedName>
    <definedName name="OSRRefD21_16x_6" localSheetId="49">'300 &amp; 317'!$J$112:$J$115</definedName>
    <definedName name="OSRRefD21_16x_6" localSheetId="50">'301'!$J$75:$J$76</definedName>
    <definedName name="OSRRefD21_16x_6" localSheetId="63">'310'!$J$89</definedName>
    <definedName name="OSRRefD21_16x_6" localSheetId="71">'310 &amp; 491'!$J$86:$J$94</definedName>
    <definedName name="OSRRefD21_16x_6" localSheetId="57">'315'!$J$100</definedName>
    <definedName name="OSRRefD21_16x_6" localSheetId="68">'325'!$J$83</definedName>
    <definedName name="OSRRefD21_16x_6" localSheetId="58">'326'!$J$81:$J$82</definedName>
    <definedName name="OSRRefD21_16x_6" localSheetId="56">'331'!$J$96:$J$97</definedName>
    <definedName name="OSRRefD21_16x_6" localSheetId="54">'333'!$J$98:$J$100</definedName>
    <definedName name="OSRRefD21_16x_6" localSheetId="79">'415'!$J$87</definedName>
    <definedName name="OSRRefD21_16x_6" localSheetId="90">'450'!$J$86</definedName>
    <definedName name="OSRRefD21_16x_6" localSheetId="72">'491'!$J$84:$J$92</definedName>
    <definedName name="OSRRefD21_16x_6" localSheetId="85">'492'!$J$92</definedName>
    <definedName name="OSRRefD21_16x_6" localSheetId="39">'Div 2'!$J$79:$J$83</definedName>
    <definedName name="OSRRefD21_16x_6" localSheetId="47">'Div 3'!$J$112</definedName>
    <definedName name="OSRRefD21_16x_6" localSheetId="70">'Div 4'!$J$83:$J$87</definedName>
    <definedName name="OSRRefD21_16x_6" localSheetId="2">Summary!$J$120</definedName>
    <definedName name="OSRRefD21_16x_7" localSheetId="48">'300'!$K$106:$K$109</definedName>
    <definedName name="OSRRefD21_16x_7" localSheetId="49">'300 &amp; 317'!$K$112:$K$115</definedName>
    <definedName name="OSRRefD21_16x_7" localSheetId="50">'301'!$K$75:$K$76</definedName>
    <definedName name="OSRRefD21_16x_7" localSheetId="63">'310'!$K$89</definedName>
    <definedName name="OSRRefD21_16x_7" localSheetId="71">'310 &amp; 491'!$K$86:$K$94</definedName>
    <definedName name="OSRRefD21_16x_7" localSheetId="57">'315'!$K$100</definedName>
    <definedName name="OSRRefD21_16x_7" localSheetId="68">'325'!$K$83</definedName>
    <definedName name="OSRRefD21_16x_7" localSheetId="58">'326'!$K$81:$K$82</definedName>
    <definedName name="OSRRefD21_16x_7" localSheetId="56">'331'!$K$96:$K$97</definedName>
    <definedName name="OSRRefD21_16x_7" localSheetId="54">'333'!$K$98:$K$100</definedName>
    <definedName name="OSRRefD21_16x_7" localSheetId="79">'415'!$K$87</definedName>
    <definedName name="OSRRefD21_16x_7" localSheetId="90">'450'!$K$86</definedName>
    <definedName name="OSRRefD21_16x_7" localSheetId="72">'491'!$K$84:$K$92</definedName>
    <definedName name="OSRRefD21_16x_7" localSheetId="85">'492'!$K$92</definedName>
    <definedName name="OSRRefD21_16x_7" localSheetId="39">'Div 2'!$K$79:$K$83</definedName>
    <definedName name="OSRRefD21_16x_7" localSheetId="47">'Div 3'!$K$112</definedName>
    <definedName name="OSRRefD21_16x_7" localSheetId="70">'Div 4'!$K$83:$K$87</definedName>
    <definedName name="OSRRefD21_16x_7" localSheetId="2">Summary!$K$120</definedName>
    <definedName name="OSRRefD21_16x_8" localSheetId="48">'300'!$L$106:$L$109</definedName>
    <definedName name="OSRRefD21_16x_8" localSheetId="49">'300 &amp; 317'!$L$112:$L$115</definedName>
    <definedName name="OSRRefD21_16x_8" localSheetId="50">'301'!$L$75:$L$76</definedName>
    <definedName name="OSRRefD21_16x_8" localSheetId="63">'310'!$L$89</definedName>
    <definedName name="OSRRefD21_16x_8" localSheetId="71">'310 &amp; 491'!$L$86:$L$94</definedName>
    <definedName name="OSRRefD21_16x_8" localSheetId="57">'315'!$L$100</definedName>
    <definedName name="OSRRefD21_16x_8" localSheetId="68">'325'!$L$83</definedName>
    <definedName name="OSRRefD21_16x_8" localSheetId="58">'326'!$L$81:$L$82</definedName>
    <definedName name="OSRRefD21_16x_8" localSheetId="56">'331'!$L$96:$L$97</definedName>
    <definedName name="OSRRefD21_16x_8" localSheetId="54">'333'!$L$98:$L$100</definedName>
    <definedName name="OSRRefD21_16x_8" localSheetId="79">'415'!$L$87</definedName>
    <definedName name="OSRRefD21_16x_8" localSheetId="90">'450'!$L$86</definedName>
    <definedName name="OSRRefD21_16x_8" localSheetId="72">'491'!$L$84:$L$92</definedName>
    <definedName name="OSRRefD21_16x_8" localSheetId="85">'492'!$L$92</definedName>
    <definedName name="OSRRefD21_16x_8" localSheetId="39">'Div 2'!$L$79:$L$83</definedName>
    <definedName name="OSRRefD21_16x_8" localSheetId="47">'Div 3'!$L$112</definedName>
    <definedName name="OSRRefD21_16x_8" localSheetId="70">'Div 4'!$L$83:$L$87</definedName>
    <definedName name="OSRRefD21_16x_8" localSheetId="2">Summary!$L$120</definedName>
    <definedName name="OSRRefD21_16x_9" localSheetId="48">'300'!$M$106:$M$109</definedName>
    <definedName name="OSRRefD21_16x_9" localSheetId="49">'300 &amp; 317'!$M$112:$M$115</definedName>
    <definedName name="OSRRefD21_16x_9" localSheetId="50">'301'!$M$75:$M$76</definedName>
    <definedName name="OSRRefD21_16x_9" localSheetId="63">'310'!$M$89</definedName>
    <definedName name="OSRRefD21_16x_9" localSheetId="71">'310 &amp; 491'!$M$86:$M$94</definedName>
    <definedName name="OSRRefD21_16x_9" localSheetId="57">'315'!$M$100</definedName>
    <definedName name="OSRRefD21_16x_9" localSheetId="68">'325'!$M$83</definedName>
    <definedName name="OSRRefD21_16x_9" localSheetId="58">'326'!$M$81:$M$82</definedName>
    <definedName name="OSRRefD21_16x_9" localSheetId="56">'331'!$M$96:$M$97</definedName>
    <definedName name="OSRRefD21_16x_9" localSheetId="54">'333'!$M$98:$M$100</definedName>
    <definedName name="OSRRefD21_16x_9" localSheetId="79">'415'!$M$87</definedName>
    <definedName name="OSRRefD21_16x_9" localSheetId="90">'450'!$M$86</definedName>
    <definedName name="OSRRefD21_16x_9" localSheetId="72">'491'!$M$84:$M$92</definedName>
    <definedName name="OSRRefD21_16x_9" localSheetId="85">'492'!$M$92</definedName>
    <definedName name="OSRRefD21_16x_9" localSheetId="39">'Div 2'!$M$79:$M$83</definedName>
    <definedName name="OSRRefD21_16x_9" localSheetId="47">'Div 3'!$M$112</definedName>
    <definedName name="OSRRefD21_16x_9" localSheetId="70">'Div 4'!$M$83:$M$87</definedName>
    <definedName name="OSRRefD21_16x_9" localSheetId="2">Summary!$M$120</definedName>
    <definedName name="OSRRefD21_17_0x" localSheetId="48">'300'!$D$111:$M$111</definedName>
    <definedName name="OSRRefD21_17_0x" localSheetId="49">'300 &amp; 317'!$D$117:$M$117</definedName>
    <definedName name="OSRRefD21_17_0x" localSheetId="50">'301'!$D$78:$M$78</definedName>
    <definedName name="OSRRefD21_17_0x" localSheetId="63">'310'!$D$91:$M$91</definedName>
    <definedName name="OSRRefD21_17_0x" localSheetId="71">'310 &amp; 491'!$D$96:$M$96</definedName>
    <definedName name="OSRRefD21_17_0x" localSheetId="57">'315'!$D$102:$M$102</definedName>
    <definedName name="OSRRefD21_17_0x" localSheetId="58">'326'!$D$84:$M$84</definedName>
    <definedName name="OSRRefD21_17_0x" localSheetId="56">'331'!$D$99:$M$99</definedName>
    <definedName name="OSRRefD21_17_0x" localSheetId="54">'333'!$D$102:$M$102</definedName>
    <definedName name="OSRRefD21_17_0x" localSheetId="79">'415'!$D$89:$M$89</definedName>
    <definedName name="OSRRefD21_17_0x" localSheetId="72">'491'!$D$94:$M$94</definedName>
    <definedName name="OSRRefD21_17_0x" localSheetId="85">'492'!$D$94:$M$94</definedName>
    <definedName name="OSRRefD21_17_0x" localSheetId="39">'Div 2'!$D$85:$M$85</definedName>
    <definedName name="OSRRefD21_17_0x" localSheetId="47">'Div 3'!$D$114:$M$114</definedName>
    <definedName name="OSRRefD21_17_0x" localSheetId="70">'Div 4'!$D$89:$M$89</definedName>
    <definedName name="OSRRefD21_17_0x" localSheetId="2">Summary!$D$122:$M$122</definedName>
    <definedName name="OSRRefD21_17_1x" localSheetId="48">'300'!$D$112:$M$112</definedName>
    <definedName name="OSRRefD21_17_1x" localSheetId="49">'300 &amp; 317'!$D$118:$M$118</definedName>
    <definedName name="OSRRefD21_17_1x" localSheetId="71">'310 &amp; 491'!$D$97:$M$97</definedName>
    <definedName name="OSRRefD21_17_1x" localSheetId="56">'331'!$D$100:$M$100</definedName>
    <definedName name="OSRRefD21_17_1x" localSheetId="54">'333'!$D$103:$M$103</definedName>
    <definedName name="OSRRefD21_17_1x" localSheetId="72">'491'!$D$95:$M$95</definedName>
    <definedName name="OSRRefD21_17_1x" localSheetId="85">'492'!$D$95:$M$95</definedName>
    <definedName name="OSRRefD21_17_1x" localSheetId="39">'Div 2'!$D$86:$M$86</definedName>
    <definedName name="OSRRefD21_17_1x" localSheetId="47">'Div 3'!$D$115:$M$115</definedName>
    <definedName name="OSRRefD21_17_2x" localSheetId="48">'300'!$D$113:$M$113</definedName>
    <definedName name="OSRRefD21_17_2x" localSheetId="49">'300 &amp; 317'!$D$119:$M$119</definedName>
    <definedName name="OSRRefD21_17_2x" localSheetId="47">'Div 3'!$D$116:$M$116</definedName>
    <definedName name="OSRRefD21_17_3x" localSheetId="48">'300'!$D$114:$M$114</definedName>
    <definedName name="OSRRefD21_17_3x" localSheetId="49">'300 &amp; 317'!$D$120:$M$120</definedName>
    <definedName name="OSRRefD21_17_3x" localSheetId="47">'Div 3'!$D$117:$M$117</definedName>
    <definedName name="OSRRefD21_17x_0" localSheetId="48">'300'!$D$111:$D$114</definedName>
    <definedName name="OSRRefD21_17x_0" localSheetId="49">'300 &amp; 317'!$D$117:$D$120</definedName>
    <definedName name="OSRRefD21_17x_0" localSheetId="50">'301'!$D$78</definedName>
    <definedName name="OSRRefD21_17x_0" localSheetId="63">'310'!$D$91</definedName>
    <definedName name="OSRRefD21_17x_0" localSheetId="71">'310 &amp; 491'!$D$96:$D$97</definedName>
    <definedName name="OSRRefD21_17x_0" localSheetId="57">'315'!$D$102</definedName>
    <definedName name="OSRRefD21_17x_0" localSheetId="58">'326'!$D$84</definedName>
    <definedName name="OSRRefD21_17x_0" localSheetId="56">'331'!$D$99:$D$100</definedName>
    <definedName name="OSRRefD21_17x_0" localSheetId="54">'333'!$D$102:$D$103</definedName>
    <definedName name="OSRRefD21_17x_0" localSheetId="79">'415'!$D$89</definedName>
    <definedName name="OSRRefD21_17x_0" localSheetId="72">'491'!$D$94:$D$95</definedName>
    <definedName name="OSRRefD21_17x_0" localSheetId="85">'492'!$D$94:$D$95</definedName>
    <definedName name="OSRRefD21_17x_0" localSheetId="39">'Div 2'!$D$85:$D$86</definedName>
    <definedName name="OSRRefD21_17x_0" localSheetId="47">'Div 3'!$D$114:$D$117</definedName>
    <definedName name="OSRRefD21_17x_0" localSheetId="70">'Div 4'!$D$89</definedName>
    <definedName name="OSRRefD21_17x_0" localSheetId="2">Summary!$D$122</definedName>
    <definedName name="OSRRefD21_17x_1" localSheetId="48">'300'!$E$111:$E$114</definedName>
    <definedName name="OSRRefD21_17x_1" localSheetId="49">'300 &amp; 317'!$E$117:$E$120</definedName>
    <definedName name="OSRRefD21_17x_1" localSheetId="50">'301'!$E$78</definedName>
    <definedName name="OSRRefD21_17x_1" localSheetId="63">'310'!$E$91</definedName>
    <definedName name="OSRRefD21_17x_1" localSheetId="71">'310 &amp; 491'!$E$96:$E$97</definedName>
    <definedName name="OSRRefD21_17x_1" localSheetId="57">'315'!$E$102</definedName>
    <definedName name="OSRRefD21_17x_1" localSheetId="58">'326'!$E$84</definedName>
    <definedName name="OSRRefD21_17x_1" localSheetId="56">'331'!$E$99:$E$100</definedName>
    <definedName name="OSRRefD21_17x_1" localSheetId="54">'333'!$E$102:$E$103</definedName>
    <definedName name="OSRRefD21_17x_1" localSheetId="79">'415'!$E$89</definedName>
    <definedName name="OSRRefD21_17x_1" localSheetId="72">'491'!$E$94:$E$95</definedName>
    <definedName name="OSRRefD21_17x_1" localSheetId="85">'492'!$E$94:$E$95</definedName>
    <definedName name="OSRRefD21_17x_1" localSheetId="39">'Div 2'!$E$85:$E$86</definedName>
    <definedName name="OSRRefD21_17x_1" localSheetId="47">'Div 3'!$E$114:$E$117</definedName>
    <definedName name="OSRRefD21_17x_1" localSheetId="70">'Div 4'!$E$89</definedName>
    <definedName name="OSRRefD21_17x_1" localSheetId="2">Summary!$E$122</definedName>
    <definedName name="OSRRefD21_17x_2" localSheetId="48">'300'!$F$111:$F$114</definedName>
    <definedName name="OSRRefD21_17x_2" localSheetId="49">'300 &amp; 317'!$F$117:$F$120</definedName>
    <definedName name="OSRRefD21_17x_2" localSheetId="50">'301'!$F$78</definedName>
    <definedName name="OSRRefD21_17x_2" localSheetId="63">'310'!$F$91</definedName>
    <definedName name="OSRRefD21_17x_2" localSheetId="71">'310 &amp; 491'!$F$96:$F$97</definedName>
    <definedName name="OSRRefD21_17x_2" localSheetId="57">'315'!$F$102</definedName>
    <definedName name="OSRRefD21_17x_2" localSheetId="58">'326'!$F$84</definedName>
    <definedName name="OSRRefD21_17x_2" localSheetId="56">'331'!$F$99:$F$100</definedName>
    <definedName name="OSRRefD21_17x_2" localSheetId="54">'333'!$F$102:$F$103</definedName>
    <definedName name="OSRRefD21_17x_2" localSheetId="79">'415'!$F$89</definedName>
    <definedName name="OSRRefD21_17x_2" localSheetId="72">'491'!$F$94:$F$95</definedName>
    <definedName name="OSRRefD21_17x_2" localSheetId="85">'492'!$F$94:$F$95</definedName>
    <definedName name="OSRRefD21_17x_2" localSheetId="39">'Div 2'!$F$85:$F$86</definedName>
    <definedName name="OSRRefD21_17x_2" localSheetId="47">'Div 3'!$F$114:$F$117</definedName>
    <definedName name="OSRRefD21_17x_2" localSheetId="70">'Div 4'!$F$89</definedName>
    <definedName name="OSRRefD21_17x_2" localSheetId="2">Summary!$F$122</definedName>
    <definedName name="OSRRefD21_17x_3" localSheetId="48">'300'!$G$111:$G$114</definedName>
    <definedName name="OSRRefD21_17x_3" localSheetId="49">'300 &amp; 317'!$G$117:$G$120</definedName>
    <definedName name="OSRRefD21_17x_3" localSheetId="50">'301'!$G$78</definedName>
    <definedName name="OSRRefD21_17x_3" localSheetId="63">'310'!$G$91</definedName>
    <definedName name="OSRRefD21_17x_3" localSheetId="71">'310 &amp; 491'!$G$96:$G$97</definedName>
    <definedName name="OSRRefD21_17x_3" localSheetId="57">'315'!$G$102</definedName>
    <definedName name="OSRRefD21_17x_3" localSheetId="58">'326'!$G$84</definedName>
    <definedName name="OSRRefD21_17x_3" localSheetId="56">'331'!$G$99:$G$100</definedName>
    <definedName name="OSRRefD21_17x_3" localSheetId="54">'333'!$G$102:$G$103</definedName>
    <definedName name="OSRRefD21_17x_3" localSheetId="79">'415'!$G$89</definedName>
    <definedName name="OSRRefD21_17x_3" localSheetId="72">'491'!$G$94:$G$95</definedName>
    <definedName name="OSRRefD21_17x_3" localSheetId="85">'492'!$G$94:$G$95</definedName>
    <definedName name="OSRRefD21_17x_3" localSheetId="39">'Div 2'!$G$85:$G$86</definedName>
    <definedName name="OSRRefD21_17x_3" localSheetId="47">'Div 3'!$G$114:$G$117</definedName>
    <definedName name="OSRRefD21_17x_3" localSheetId="70">'Div 4'!$G$89</definedName>
    <definedName name="OSRRefD21_17x_3" localSheetId="2">Summary!$G$122</definedName>
    <definedName name="OSRRefD21_17x_4" localSheetId="48">'300'!$H$111:$H$114</definedName>
    <definedName name="OSRRefD21_17x_4" localSheetId="49">'300 &amp; 317'!$H$117:$H$120</definedName>
    <definedName name="OSRRefD21_17x_4" localSheetId="50">'301'!$H$78</definedName>
    <definedName name="OSRRefD21_17x_4" localSheetId="63">'310'!$H$91</definedName>
    <definedName name="OSRRefD21_17x_4" localSheetId="71">'310 &amp; 491'!$H$96:$H$97</definedName>
    <definedName name="OSRRefD21_17x_4" localSheetId="57">'315'!$H$102</definedName>
    <definedName name="OSRRefD21_17x_4" localSheetId="58">'326'!$H$84</definedName>
    <definedName name="OSRRefD21_17x_4" localSheetId="56">'331'!$H$99:$H$100</definedName>
    <definedName name="OSRRefD21_17x_4" localSheetId="54">'333'!$H$102:$H$103</definedName>
    <definedName name="OSRRefD21_17x_4" localSheetId="79">'415'!$H$89</definedName>
    <definedName name="OSRRefD21_17x_4" localSheetId="72">'491'!$H$94:$H$95</definedName>
    <definedName name="OSRRefD21_17x_4" localSheetId="85">'492'!$H$94:$H$95</definedName>
    <definedName name="OSRRefD21_17x_4" localSheetId="39">'Div 2'!$H$85:$H$86</definedName>
    <definedName name="OSRRefD21_17x_4" localSheetId="47">'Div 3'!$H$114:$H$117</definedName>
    <definedName name="OSRRefD21_17x_4" localSheetId="70">'Div 4'!$H$89</definedName>
    <definedName name="OSRRefD21_17x_4" localSheetId="2">Summary!$H$122</definedName>
    <definedName name="OSRRefD21_17x_5" localSheetId="48">'300'!$I$111:$I$114</definedName>
    <definedName name="OSRRefD21_17x_5" localSheetId="49">'300 &amp; 317'!$I$117:$I$120</definedName>
    <definedName name="OSRRefD21_17x_5" localSheetId="50">'301'!$I$78</definedName>
    <definedName name="OSRRefD21_17x_5" localSheetId="63">'310'!$I$91</definedName>
    <definedName name="OSRRefD21_17x_5" localSheetId="71">'310 &amp; 491'!$I$96:$I$97</definedName>
    <definedName name="OSRRefD21_17x_5" localSheetId="57">'315'!$I$102</definedName>
    <definedName name="OSRRefD21_17x_5" localSheetId="58">'326'!$I$84</definedName>
    <definedName name="OSRRefD21_17x_5" localSheetId="56">'331'!$I$99:$I$100</definedName>
    <definedName name="OSRRefD21_17x_5" localSheetId="54">'333'!$I$102:$I$103</definedName>
    <definedName name="OSRRefD21_17x_5" localSheetId="79">'415'!$I$89</definedName>
    <definedName name="OSRRefD21_17x_5" localSheetId="72">'491'!$I$94:$I$95</definedName>
    <definedName name="OSRRefD21_17x_5" localSheetId="85">'492'!$I$94:$I$95</definedName>
    <definedName name="OSRRefD21_17x_5" localSheetId="39">'Div 2'!$I$85:$I$86</definedName>
    <definedName name="OSRRefD21_17x_5" localSheetId="47">'Div 3'!$I$114:$I$117</definedName>
    <definedName name="OSRRefD21_17x_5" localSheetId="70">'Div 4'!$I$89</definedName>
    <definedName name="OSRRefD21_17x_5" localSheetId="2">Summary!$I$122</definedName>
    <definedName name="OSRRefD21_17x_6" localSheetId="48">'300'!$J$111:$J$114</definedName>
    <definedName name="OSRRefD21_17x_6" localSheetId="49">'300 &amp; 317'!$J$117:$J$120</definedName>
    <definedName name="OSRRefD21_17x_6" localSheetId="50">'301'!$J$78</definedName>
    <definedName name="OSRRefD21_17x_6" localSheetId="63">'310'!$J$91</definedName>
    <definedName name="OSRRefD21_17x_6" localSheetId="71">'310 &amp; 491'!$J$96:$J$97</definedName>
    <definedName name="OSRRefD21_17x_6" localSheetId="57">'315'!$J$102</definedName>
    <definedName name="OSRRefD21_17x_6" localSheetId="58">'326'!$J$84</definedName>
    <definedName name="OSRRefD21_17x_6" localSheetId="56">'331'!$J$99:$J$100</definedName>
    <definedName name="OSRRefD21_17x_6" localSheetId="54">'333'!$J$102:$J$103</definedName>
    <definedName name="OSRRefD21_17x_6" localSheetId="79">'415'!$J$89</definedName>
    <definedName name="OSRRefD21_17x_6" localSheetId="72">'491'!$J$94:$J$95</definedName>
    <definedName name="OSRRefD21_17x_6" localSheetId="85">'492'!$J$94:$J$95</definedName>
    <definedName name="OSRRefD21_17x_6" localSheetId="39">'Div 2'!$J$85:$J$86</definedName>
    <definedName name="OSRRefD21_17x_6" localSheetId="47">'Div 3'!$J$114:$J$117</definedName>
    <definedName name="OSRRefD21_17x_6" localSheetId="70">'Div 4'!$J$89</definedName>
    <definedName name="OSRRefD21_17x_6" localSheetId="2">Summary!$J$122</definedName>
    <definedName name="OSRRefD21_17x_7" localSheetId="48">'300'!$K$111:$K$114</definedName>
    <definedName name="OSRRefD21_17x_7" localSheetId="49">'300 &amp; 317'!$K$117:$K$120</definedName>
    <definedName name="OSRRefD21_17x_7" localSheetId="50">'301'!$K$78</definedName>
    <definedName name="OSRRefD21_17x_7" localSheetId="63">'310'!$K$91</definedName>
    <definedName name="OSRRefD21_17x_7" localSheetId="71">'310 &amp; 491'!$K$96:$K$97</definedName>
    <definedName name="OSRRefD21_17x_7" localSheetId="57">'315'!$K$102</definedName>
    <definedName name="OSRRefD21_17x_7" localSheetId="58">'326'!$K$84</definedName>
    <definedName name="OSRRefD21_17x_7" localSheetId="56">'331'!$K$99:$K$100</definedName>
    <definedName name="OSRRefD21_17x_7" localSheetId="54">'333'!$K$102:$K$103</definedName>
    <definedName name="OSRRefD21_17x_7" localSheetId="79">'415'!$K$89</definedName>
    <definedName name="OSRRefD21_17x_7" localSheetId="72">'491'!$K$94:$K$95</definedName>
    <definedName name="OSRRefD21_17x_7" localSheetId="85">'492'!$K$94:$K$95</definedName>
    <definedName name="OSRRefD21_17x_7" localSheetId="39">'Div 2'!$K$85:$K$86</definedName>
    <definedName name="OSRRefD21_17x_7" localSheetId="47">'Div 3'!$K$114:$K$117</definedName>
    <definedName name="OSRRefD21_17x_7" localSheetId="70">'Div 4'!$K$89</definedName>
    <definedName name="OSRRefD21_17x_7" localSheetId="2">Summary!$K$122</definedName>
    <definedName name="OSRRefD21_17x_8" localSheetId="48">'300'!$L$111:$L$114</definedName>
    <definedName name="OSRRefD21_17x_8" localSheetId="49">'300 &amp; 317'!$L$117:$L$120</definedName>
    <definedName name="OSRRefD21_17x_8" localSheetId="50">'301'!$L$78</definedName>
    <definedName name="OSRRefD21_17x_8" localSheetId="63">'310'!$L$91</definedName>
    <definedName name="OSRRefD21_17x_8" localSheetId="71">'310 &amp; 491'!$L$96:$L$97</definedName>
    <definedName name="OSRRefD21_17x_8" localSheetId="57">'315'!$L$102</definedName>
    <definedName name="OSRRefD21_17x_8" localSheetId="58">'326'!$L$84</definedName>
    <definedName name="OSRRefD21_17x_8" localSheetId="56">'331'!$L$99:$L$100</definedName>
    <definedName name="OSRRefD21_17x_8" localSheetId="54">'333'!$L$102:$L$103</definedName>
    <definedName name="OSRRefD21_17x_8" localSheetId="79">'415'!$L$89</definedName>
    <definedName name="OSRRefD21_17x_8" localSheetId="72">'491'!$L$94:$L$95</definedName>
    <definedName name="OSRRefD21_17x_8" localSheetId="85">'492'!$L$94:$L$95</definedName>
    <definedName name="OSRRefD21_17x_8" localSheetId="39">'Div 2'!$L$85:$L$86</definedName>
    <definedName name="OSRRefD21_17x_8" localSheetId="47">'Div 3'!$L$114:$L$117</definedName>
    <definedName name="OSRRefD21_17x_8" localSheetId="70">'Div 4'!$L$89</definedName>
    <definedName name="OSRRefD21_17x_8" localSheetId="2">Summary!$L$122</definedName>
    <definedName name="OSRRefD21_17x_9" localSheetId="48">'300'!$M$111:$M$114</definedName>
    <definedName name="OSRRefD21_17x_9" localSheetId="49">'300 &amp; 317'!$M$117:$M$120</definedName>
    <definedName name="OSRRefD21_17x_9" localSheetId="50">'301'!$M$78</definedName>
    <definedName name="OSRRefD21_17x_9" localSheetId="63">'310'!$M$91</definedName>
    <definedName name="OSRRefD21_17x_9" localSheetId="71">'310 &amp; 491'!$M$96:$M$97</definedName>
    <definedName name="OSRRefD21_17x_9" localSheetId="57">'315'!$M$102</definedName>
    <definedName name="OSRRefD21_17x_9" localSheetId="58">'326'!$M$84</definedName>
    <definedName name="OSRRefD21_17x_9" localSheetId="56">'331'!$M$99:$M$100</definedName>
    <definedName name="OSRRefD21_17x_9" localSheetId="54">'333'!$M$102:$M$103</definedName>
    <definedName name="OSRRefD21_17x_9" localSheetId="79">'415'!$M$89</definedName>
    <definedName name="OSRRefD21_17x_9" localSheetId="72">'491'!$M$94:$M$95</definedName>
    <definedName name="OSRRefD21_17x_9" localSheetId="85">'492'!$M$94:$M$95</definedName>
    <definedName name="OSRRefD21_17x_9" localSheetId="39">'Div 2'!$M$85:$M$86</definedName>
    <definedName name="OSRRefD21_17x_9" localSheetId="47">'Div 3'!$M$114:$M$117</definedName>
    <definedName name="OSRRefD21_17x_9" localSheetId="70">'Div 4'!$M$89</definedName>
    <definedName name="OSRRefD21_17x_9" localSheetId="2">Summary!$M$122</definedName>
    <definedName name="OSRRefD21_18_0x" localSheetId="48">'300'!$D$116:$M$116</definedName>
    <definedName name="OSRRefD21_18_0x" localSheetId="49">'300 &amp; 317'!$D$122:$M$122</definedName>
    <definedName name="OSRRefD21_18_0x" localSheetId="50">'301'!$D$80:$M$80</definedName>
    <definedName name="OSRRefD21_18_0x" localSheetId="71">'310 &amp; 491'!$D$99:$M$99</definedName>
    <definedName name="OSRRefD21_18_0x" localSheetId="57">'315'!$D$104:$M$104</definedName>
    <definedName name="OSRRefD21_18_0x" localSheetId="56">'331'!$D$102:$M$102</definedName>
    <definedName name="OSRRefD21_18_0x" localSheetId="54">'333'!$D$105:$M$105</definedName>
    <definedName name="OSRRefD21_18_0x" localSheetId="72">'491'!$D$97:$M$97</definedName>
    <definedName name="OSRRefD21_18_0x" localSheetId="39">'Div 2'!$D$88:$M$88</definedName>
    <definedName name="OSRRefD21_18_0x" localSheetId="47">'Div 3'!$D$119:$M$119</definedName>
    <definedName name="OSRRefD21_18_0x" localSheetId="70">'Div 4'!$D$91:$M$91</definedName>
    <definedName name="OSRRefD21_18_0x" localSheetId="2">Summary!$D$124:$M$124</definedName>
    <definedName name="OSRRefD21_18_1x" localSheetId="48">'300'!$D$117:$M$117</definedName>
    <definedName name="OSRRefD21_18_1x" localSheetId="49">'300 &amp; 317'!$D$123:$M$123</definedName>
    <definedName name="OSRRefD21_18_1x" localSheetId="50">'301'!$D$81:$M$81</definedName>
    <definedName name="OSRRefD21_18_1x" localSheetId="56">'331'!$D$103:$M$103</definedName>
    <definedName name="OSRRefD21_18_1x" localSheetId="54">'333'!$D$106:$M$106</definedName>
    <definedName name="OSRRefD21_18_1x" localSheetId="47">'Div 3'!$D$120:$M$120</definedName>
    <definedName name="OSRRefD21_18_1x" localSheetId="70">'Div 4'!$D$92:$M$92</definedName>
    <definedName name="OSRRefD21_18_1x" localSheetId="2">Summary!$D$125:$M$125</definedName>
    <definedName name="OSRRefD21_18_2x" localSheetId="48">'300'!$D$118:$M$118</definedName>
    <definedName name="OSRRefD21_18_2x" localSheetId="49">'300 &amp; 317'!$D$124:$M$124</definedName>
    <definedName name="OSRRefD21_18_2x" localSheetId="50">'301'!$D$82:$M$82</definedName>
    <definedName name="OSRRefD21_18_2x" localSheetId="56">'331'!$D$104:$M$104</definedName>
    <definedName name="OSRRefD21_18_2x" localSheetId="54">'333'!$D$107:$M$107</definedName>
    <definedName name="OSRRefD21_18_2x" localSheetId="47">'Div 3'!$D$121:$M$121</definedName>
    <definedName name="OSRRefD21_18_2x" localSheetId="70">'Div 4'!$D$93:$M$93</definedName>
    <definedName name="OSRRefD21_18_2x" localSheetId="2">Summary!$D$126:$M$126</definedName>
    <definedName name="OSRRefD21_18_3x" localSheetId="50">'301'!$D$83:$M$83</definedName>
    <definedName name="OSRRefD21_18_3x" localSheetId="56">'331'!$D$105:$M$105</definedName>
    <definedName name="OSRRefD21_18_3x" localSheetId="54">'333'!$D$108:$M$108</definedName>
    <definedName name="OSRRefD21_18_3x" localSheetId="47">'Div 3'!$D$122:$M$122</definedName>
    <definedName name="OSRRefD21_18_3x" localSheetId="70">'Div 4'!$D$94:$M$94</definedName>
    <definedName name="OSRRefD21_18_3x" localSheetId="2">Summary!$D$127:$M$127</definedName>
    <definedName name="OSRRefD21_18_4x" localSheetId="50">'301'!$D$84:$M$84</definedName>
    <definedName name="OSRRefD21_18_4x" localSheetId="56">'331'!$D$106:$M$106</definedName>
    <definedName name="OSRRefD21_18_4x" localSheetId="54">'333'!$D$109:$M$109</definedName>
    <definedName name="OSRRefD21_18_4x" localSheetId="70">'Div 4'!$D$95:$M$95</definedName>
    <definedName name="OSRRefD21_18_5x" localSheetId="50">'301'!$D$85:$M$85</definedName>
    <definedName name="OSRRefD21_18_5x" localSheetId="54">'333'!$D$110:$M$110</definedName>
    <definedName name="OSRRefD21_18_5x" localSheetId="70">'Div 4'!$D$96:$M$96</definedName>
    <definedName name="OSRRefD21_18_6x" localSheetId="70">'Div 4'!$D$97:$M$97</definedName>
    <definedName name="OSRRefD21_18_7x" localSheetId="70">'Div 4'!$D$98:$M$98</definedName>
    <definedName name="OSRRefD21_18_8x" localSheetId="70">'Div 4'!$D$99:$M$99</definedName>
    <definedName name="OSRRefD21_18_9x" localSheetId="70">'Div 4'!$D$100:$M$100</definedName>
    <definedName name="OSRRefD21_18x_0" localSheetId="48">'300'!$D$116:$D$118</definedName>
    <definedName name="OSRRefD21_18x_0" localSheetId="49">'300 &amp; 317'!$D$122:$D$124</definedName>
    <definedName name="OSRRefD21_18x_0" localSheetId="50">'301'!$D$80:$D$85</definedName>
    <definedName name="OSRRefD21_18x_0" localSheetId="71">'310 &amp; 491'!$D$99</definedName>
    <definedName name="OSRRefD21_18x_0" localSheetId="57">'315'!$D$104</definedName>
    <definedName name="OSRRefD21_18x_0" localSheetId="56">'331'!$D$102:$D$106</definedName>
    <definedName name="OSRRefD21_18x_0" localSheetId="54">'333'!$D$105:$D$110</definedName>
    <definedName name="OSRRefD21_18x_0" localSheetId="72">'491'!$D$97</definedName>
    <definedName name="OSRRefD21_18x_0" localSheetId="39">'Div 2'!$D$88</definedName>
    <definedName name="OSRRefD21_18x_0" localSheetId="47">'Div 3'!$D$119:$D$122</definedName>
    <definedName name="OSRRefD21_18x_0" localSheetId="70">'Div 4'!$D$91:$D$100</definedName>
    <definedName name="OSRRefD21_18x_0" localSheetId="2">Summary!$D$124:$D$127</definedName>
    <definedName name="OSRRefD21_18x_1" localSheetId="48">'300'!$E$116:$E$118</definedName>
    <definedName name="OSRRefD21_18x_1" localSheetId="49">'300 &amp; 317'!$E$122:$E$124</definedName>
    <definedName name="OSRRefD21_18x_1" localSheetId="50">'301'!$E$80:$E$85</definedName>
    <definedName name="OSRRefD21_18x_1" localSheetId="71">'310 &amp; 491'!$E$99</definedName>
    <definedName name="OSRRefD21_18x_1" localSheetId="57">'315'!$E$104</definedName>
    <definedName name="OSRRefD21_18x_1" localSheetId="56">'331'!$E$102:$E$106</definedName>
    <definedName name="OSRRefD21_18x_1" localSheetId="54">'333'!$E$105:$E$110</definedName>
    <definedName name="OSRRefD21_18x_1" localSheetId="72">'491'!$E$97</definedName>
    <definedName name="OSRRefD21_18x_1" localSheetId="39">'Div 2'!$E$88</definedName>
    <definedName name="OSRRefD21_18x_1" localSheetId="47">'Div 3'!$E$119:$E$122</definedName>
    <definedName name="OSRRefD21_18x_1" localSheetId="70">'Div 4'!$E$91:$E$100</definedName>
    <definedName name="OSRRefD21_18x_1" localSheetId="2">Summary!$E$124:$E$127</definedName>
    <definedName name="OSRRefD21_18x_2" localSheetId="48">'300'!$F$116:$F$118</definedName>
    <definedName name="OSRRefD21_18x_2" localSheetId="49">'300 &amp; 317'!$F$122:$F$124</definedName>
    <definedName name="OSRRefD21_18x_2" localSheetId="50">'301'!$F$80:$F$85</definedName>
    <definedName name="OSRRefD21_18x_2" localSheetId="71">'310 &amp; 491'!$F$99</definedName>
    <definedName name="OSRRefD21_18x_2" localSheetId="57">'315'!$F$104</definedName>
    <definedName name="OSRRefD21_18x_2" localSheetId="56">'331'!$F$102:$F$106</definedName>
    <definedName name="OSRRefD21_18x_2" localSheetId="54">'333'!$F$105:$F$110</definedName>
    <definedName name="OSRRefD21_18x_2" localSheetId="72">'491'!$F$97</definedName>
    <definedName name="OSRRefD21_18x_2" localSheetId="39">'Div 2'!$F$88</definedName>
    <definedName name="OSRRefD21_18x_2" localSheetId="47">'Div 3'!$F$119:$F$122</definedName>
    <definedName name="OSRRefD21_18x_2" localSheetId="70">'Div 4'!$F$91:$F$100</definedName>
    <definedName name="OSRRefD21_18x_2" localSheetId="2">Summary!$F$124:$F$127</definedName>
    <definedName name="OSRRefD21_18x_3" localSheetId="48">'300'!$G$116:$G$118</definedName>
    <definedName name="OSRRefD21_18x_3" localSheetId="49">'300 &amp; 317'!$G$122:$G$124</definedName>
    <definedName name="OSRRefD21_18x_3" localSheetId="50">'301'!$G$80:$G$85</definedName>
    <definedName name="OSRRefD21_18x_3" localSheetId="71">'310 &amp; 491'!$G$99</definedName>
    <definedName name="OSRRefD21_18x_3" localSheetId="57">'315'!$G$104</definedName>
    <definedName name="OSRRefD21_18x_3" localSheetId="56">'331'!$G$102:$G$106</definedName>
    <definedName name="OSRRefD21_18x_3" localSheetId="54">'333'!$G$105:$G$110</definedName>
    <definedName name="OSRRefD21_18x_3" localSheetId="72">'491'!$G$97</definedName>
    <definedName name="OSRRefD21_18x_3" localSheetId="39">'Div 2'!$G$88</definedName>
    <definedName name="OSRRefD21_18x_3" localSheetId="47">'Div 3'!$G$119:$G$122</definedName>
    <definedName name="OSRRefD21_18x_3" localSheetId="70">'Div 4'!$G$91:$G$100</definedName>
    <definedName name="OSRRefD21_18x_3" localSheetId="2">Summary!$G$124:$G$127</definedName>
    <definedName name="OSRRefD21_18x_4" localSheetId="48">'300'!$H$116:$H$118</definedName>
    <definedName name="OSRRefD21_18x_4" localSheetId="49">'300 &amp; 317'!$H$122:$H$124</definedName>
    <definedName name="OSRRefD21_18x_4" localSheetId="50">'301'!$H$80:$H$85</definedName>
    <definedName name="OSRRefD21_18x_4" localSheetId="71">'310 &amp; 491'!$H$99</definedName>
    <definedName name="OSRRefD21_18x_4" localSheetId="57">'315'!$H$104</definedName>
    <definedName name="OSRRefD21_18x_4" localSheetId="56">'331'!$H$102:$H$106</definedName>
    <definedName name="OSRRefD21_18x_4" localSheetId="54">'333'!$H$105:$H$110</definedName>
    <definedName name="OSRRefD21_18x_4" localSheetId="72">'491'!$H$97</definedName>
    <definedName name="OSRRefD21_18x_4" localSheetId="39">'Div 2'!$H$88</definedName>
    <definedName name="OSRRefD21_18x_4" localSheetId="47">'Div 3'!$H$119:$H$122</definedName>
    <definedName name="OSRRefD21_18x_4" localSheetId="70">'Div 4'!$H$91:$H$100</definedName>
    <definedName name="OSRRefD21_18x_4" localSheetId="2">Summary!$H$124:$H$127</definedName>
    <definedName name="OSRRefD21_18x_5" localSheetId="48">'300'!$I$116:$I$118</definedName>
    <definedName name="OSRRefD21_18x_5" localSheetId="49">'300 &amp; 317'!$I$122:$I$124</definedName>
    <definedName name="OSRRefD21_18x_5" localSheetId="50">'301'!$I$80:$I$85</definedName>
    <definedName name="OSRRefD21_18x_5" localSheetId="71">'310 &amp; 491'!$I$99</definedName>
    <definedName name="OSRRefD21_18x_5" localSheetId="57">'315'!$I$104</definedName>
    <definedName name="OSRRefD21_18x_5" localSheetId="56">'331'!$I$102:$I$106</definedName>
    <definedName name="OSRRefD21_18x_5" localSheetId="54">'333'!$I$105:$I$110</definedName>
    <definedName name="OSRRefD21_18x_5" localSheetId="72">'491'!$I$97</definedName>
    <definedName name="OSRRefD21_18x_5" localSheetId="39">'Div 2'!$I$88</definedName>
    <definedName name="OSRRefD21_18x_5" localSheetId="47">'Div 3'!$I$119:$I$122</definedName>
    <definedName name="OSRRefD21_18x_5" localSheetId="70">'Div 4'!$I$91:$I$100</definedName>
    <definedName name="OSRRefD21_18x_5" localSheetId="2">Summary!$I$124:$I$127</definedName>
    <definedName name="OSRRefD21_18x_6" localSheetId="48">'300'!$J$116:$J$118</definedName>
    <definedName name="OSRRefD21_18x_6" localSheetId="49">'300 &amp; 317'!$J$122:$J$124</definedName>
    <definedName name="OSRRefD21_18x_6" localSheetId="50">'301'!$J$80:$J$85</definedName>
    <definedName name="OSRRefD21_18x_6" localSheetId="71">'310 &amp; 491'!$J$99</definedName>
    <definedName name="OSRRefD21_18x_6" localSheetId="57">'315'!$J$104</definedName>
    <definedName name="OSRRefD21_18x_6" localSheetId="56">'331'!$J$102:$J$106</definedName>
    <definedName name="OSRRefD21_18x_6" localSheetId="54">'333'!$J$105:$J$110</definedName>
    <definedName name="OSRRefD21_18x_6" localSheetId="72">'491'!$J$97</definedName>
    <definedName name="OSRRefD21_18x_6" localSheetId="39">'Div 2'!$J$88</definedName>
    <definedName name="OSRRefD21_18x_6" localSheetId="47">'Div 3'!$J$119:$J$122</definedName>
    <definedName name="OSRRefD21_18x_6" localSheetId="70">'Div 4'!$J$91:$J$100</definedName>
    <definedName name="OSRRefD21_18x_6" localSheetId="2">Summary!$J$124:$J$127</definedName>
    <definedName name="OSRRefD21_18x_7" localSheetId="48">'300'!$K$116:$K$118</definedName>
    <definedName name="OSRRefD21_18x_7" localSheetId="49">'300 &amp; 317'!$K$122:$K$124</definedName>
    <definedName name="OSRRefD21_18x_7" localSheetId="50">'301'!$K$80:$K$85</definedName>
    <definedName name="OSRRefD21_18x_7" localSheetId="71">'310 &amp; 491'!$K$99</definedName>
    <definedName name="OSRRefD21_18x_7" localSheetId="57">'315'!$K$104</definedName>
    <definedName name="OSRRefD21_18x_7" localSheetId="56">'331'!$K$102:$K$106</definedName>
    <definedName name="OSRRefD21_18x_7" localSheetId="54">'333'!$K$105:$K$110</definedName>
    <definedName name="OSRRefD21_18x_7" localSheetId="72">'491'!$K$97</definedName>
    <definedName name="OSRRefD21_18x_7" localSheetId="39">'Div 2'!$K$88</definedName>
    <definedName name="OSRRefD21_18x_7" localSheetId="47">'Div 3'!$K$119:$K$122</definedName>
    <definedName name="OSRRefD21_18x_7" localSheetId="70">'Div 4'!$K$91:$K$100</definedName>
    <definedName name="OSRRefD21_18x_7" localSheetId="2">Summary!$K$124:$K$127</definedName>
    <definedName name="OSRRefD21_18x_8" localSheetId="48">'300'!$L$116:$L$118</definedName>
    <definedName name="OSRRefD21_18x_8" localSheetId="49">'300 &amp; 317'!$L$122:$L$124</definedName>
    <definedName name="OSRRefD21_18x_8" localSheetId="50">'301'!$L$80:$L$85</definedName>
    <definedName name="OSRRefD21_18x_8" localSheetId="71">'310 &amp; 491'!$L$99</definedName>
    <definedName name="OSRRefD21_18x_8" localSheetId="57">'315'!$L$104</definedName>
    <definedName name="OSRRefD21_18x_8" localSheetId="56">'331'!$L$102:$L$106</definedName>
    <definedName name="OSRRefD21_18x_8" localSheetId="54">'333'!$L$105:$L$110</definedName>
    <definedName name="OSRRefD21_18x_8" localSheetId="72">'491'!$L$97</definedName>
    <definedName name="OSRRefD21_18x_8" localSheetId="39">'Div 2'!$L$88</definedName>
    <definedName name="OSRRefD21_18x_8" localSheetId="47">'Div 3'!$L$119:$L$122</definedName>
    <definedName name="OSRRefD21_18x_8" localSheetId="70">'Div 4'!$L$91:$L$100</definedName>
    <definedName name="OSRRefD21_18x_8" localSheetId="2">Summary!$L$124:$L$127</definedName>
    <definedName name="OSRRefD21_18x_9" localSheetId="48">'300'!$M$116:$M$118</definedName>
    <definedName name="OSRRefD21_18x_9" localSheetId="49">'300 &amp; 317'!$M$122:$M$124</definedName>
    <definedName name="OSRRefD21_18x_9" localSheetId="50">'301'!$M$80:$M$85</definedName>
    <definedName name="OSRRefD21_18x_9" localSheetId="71">'310 &amp; 491'!$M$99</definedName>
    <definedName name="OSRRefD21_18x_9" localSheetId="57">'315'!$M$104</definedName>
    <definedName name="OSRRefD21_18x_9" localSheetId="56">'331'!$M$102:$M$106</definedName>
    <definedName name="OSRRefD21_18x_9" localSheetId="54">'333'!$M$105:$M$110</definedName>
    <definedName name="OSRRefD21_18x_9" localSheetId="72">'491'!$M$97</definedName>
    <definedName name="OSRRefD21_18x_9" localSheetId="39">'Div 2'!$M$88</definedName>
    <definedName name="OSRRefD21_18x_9" localSheetId="47">'Div 3'!$M$119:$M$122</definedName>
    <definedName name="OSRRefD21_18x_9" localSheetId="70">'Div 4'!$M$91:$M$100</definedName>
    <definedName name="OSRRefD21_18x_9" localSheetId="2">Summary!$M$124:$M$127</definedName>
    <definedName name="OSRRefD21_19_0x" localSheetId="48">'300'!$D$120:$M$120</definedName>
    <definedName name="OSRRefD21_19_0x" localSheetId="49">'300 &amp; 317'!$D$126:$M$126</definedName>
    <definedName name="OSRRefD21_19_0x" localSheetId="50">'301'!$D$87:$M$87</definedName>
    <definedName name="OSRRefD21_19_0x" localSheetId="71">'310 &amp; 491'!$D$101:$M$101</definedName>
    <definedName name="OSRRefD21_19_0x" localSheetId="56">'331'!$D$108:$M$108</definedName>
    <definedName name="OSRRefD21_19_0x" localSheetId="54">'333'!$D$112:$M$112</definedName>
    <definedName name="OSRRefD21_19_0x" localSheetId="72">'491'!$D$99:$M$99</definedName>
    <definedName name="OSRRefD21_19_0x" localSheetId="39">'Div 2'!$D$90:$M$90</definedName>
    <definedName name="OSRRefD21_19_0x" localSheetId="47">'Div 3'!$D$124:$M$124</definedName>
    <definedName name="OSRRefD21_19_0x" localSheetId="70">'Div 4'!$D$102:$M$102</definedName>
    <definedName name="OSRRefD21_19_0x" localSheetId="2">Summary!$D$129:$M$129</definedName>
    <definedName name="OSRRefD21_19_1x" localSheetId="48">'300'!$D$121:$M$121</definedName>
    <definedName name="OSRRefD21_19_1x" localSheetId="49">'300 &amp; 317'!$D$127:$M$127</definedName>
    <definedName name="OSRRefD21_19_1x" localSheetId="71">'310 &amp; 491'!$D$102:$M$102</definedName>
    <definedName name="OSRRefD21_19_1x" localSheetId="72">'491'!$D$100:$M$100</definedName>
    <definedName name="OSRRefD21_19_1x" localSheetId="39">'Div 2'!$D$91:$M$91</definedName>
    <definedName name="OSRRefD21_19_1x" localSheetId="47">'Div 3'!$D$125:$M$125</definedName>
    <definedName name="OSRRefD21_19_1x" localSheetId="70">'Div 4'!$D$103:$M$103</definedName>
    <definedName name="OSRRefD21_19_1x" localSheetId="2">Summary!$D$130:$M$130</definedName>
    <definedName name="OSRRefD21_19_2x" localSheetId="47">'Div 3'!$D$126:$M$126</definedName>
    <definedName name="OSRRefD21_19_2x" localSheetId="2">Summary!$D$131:$M$131</definedName>
    <definedName name="OSRRefD21_19_3x" localSheetId="47">'Div 3'!$D$127:$M$127</definedName>
    <definedName name="OSRRefD21_19_3x" localSheetId="2">Summary!$D$132:$M$132</definedName>
    <definedName name="OSRRefD21_19x_0" localSheetId="48">'300'!$D$120:$D$121</definedName>
    <definedName name="OSRRefD21_19x_0" localSheetId="49">'300 &amp; 317'!$D$126:$D$127</definedName>
    <definedName name="OSRRefD21_19x_0" localSheetId="50">'301'!$D$87</definedName>
    <definedName name="OSRRefD21_19x_0" localSheetId="71">'310 &amp; 491'!$D$101:$D$102</definedName>
    <definedName name="OSRRefD21_19x_0" localSheetId="56">'331'!$D$108</definedName>
    <definedName name="OSRRefD21_19x_0" localSheetId="54">'333'!$D$112</definedName>
    <definedName name="OSRRefD21_19x_0" localSheetId="72">'491'!$D$99:$D$100</definedName>
    <definedName name="OSRRefD21_19x_0" localSheetId="39">'Div 2'!$D$90:$D$91</definedName>
    <definedName name="OSRRefD21_19x_0" localSheetId="47">'Div 3'!$D$124:$D$127</definedName>
    <definedName name="OSRRefD21_19x_0" localSheetId="70">'Div 4'!$D$102:$D$103</definedName>
    <definedName name="OSRRefD21_19x_0" localSheetId="2">Summary!$D$129:$D$132</definedName>
    <definedName name="OSRRefD21_19x_1" localSheetId="48">'300'!$E$120:$E$121</definedName>
    <definedName name="OSRRefD21_19x_1" localSheetId="49">'300 &amp; 317'!$E$126:$E$127</definedName>
    <definedName name="OSRRefD21_19x_1" localSheetId="50">'301'!$E$87</definedName>
    <definedName name="OSRRefD21_19x_1" localSheetId="71">'310 &amp; 491'!$E$101:$E$102</definedName>
    <definedName name="OSRRefD21_19x_1" localSheetId="56">'331'!$E$108</definedName>
    <definedName name="OSRRefD21_19x_1" localSheetId="54">'333'!$E$112</definedName>
    <definedName name="OSRRefD21_19x_1" localSheetId="72">'491'!$E$99:$E$100</definedName>
    <definedName name="OSRRefD21_19x_1" localSheetId="39">'Div 2'!$E$90:$E$91</definedName>
    <definedName name="OSRRefD21_19x_1" localSheetId="47">'Div 3'!$E$124:$E$127</definedName>
    <definedName name="OSRRefD21_19x_1" localSheetId="70">'Div 4'!$E$102:$E$103</definedName>
    <definedName name="OSRRefD21_19x_1" localSheetId="2">Summary!$E$129:$E$132</definedName>
    <definedName name="OSRRefD21_19x_2" localSheetId="48">'300'!$F$120:$F$121</definedName>
    <definedName name="OSRRefD21_19x_2" localSheetId="49">'300 &amp; 317'!$F$126:$F$127</definedName>
    <definedName name="OSRRefD21_19x_2" localSheetId="50">'301'!$F$87</definedName>
    <definedName name="OSRRefD21_19x_2" localSheetId="71">'310 &amp; 491'!$F$101:$F$102</definedName>
    <definedName name="OSRRefD21_19x_2" localSheetId="56">'331'!$F$108</definedName>
    <definedName name="OSRRefD21_19x_2" localSheetId="54">'333'!$F$112</definedName>
    <definedName name="OSRRefD21_19x_2" localSheetId="72">'491'!$F$99:$F$100</definedName>
    <definedName name="OSRRefD21_19x_2" localSheetId="39">'Div 2'!$F$90:$F$91</definedName>
    <definedName name="OSRRefD21_19x_2" localSheetId="47">'Div 3'!$F$124:$F$127</definedName>
    <definedName name="OSRRefD21_19x_2" localSheetId="70">'Div 4'!$F$102:$F$103</definedName>
    <definedName name="OSRRefD21_19x_2" localSheetId="2">Summary!$F$129:$F$132</definedName>
    <definedName name="OSRRefD21_19x_3" localSheetId="48">'300'!$G$120:$G$121</definedName>
    <definedName name="OSRRefD21_19x_3" localSheetId="49">'300 &amp; 317'!$G$126:$G$127</definedName>
    <definedName name="OSRRefD21_19x_3" localSheetId="50">'301'!$G$87</definedName>
    <definedName name="OSRRefD21_19x_3" localSheetId="71">'310 &amp; 491'!$G$101:$G$102</definedName>
    <definedName name="OSRRefD21_19x_3" localSheetId="56">'331'!$G$108</definedName>
    <definedName name="OSRRefD21_19x_3" localSheetId="54">'333'!$G$112</definedName>
    <definedName name="OSRRefD21_19x_3" localSheetId="72">'491'!$G$99:$G$100</definedName>
    <definedName name="OSRRefD21_19x_3" localSheetId="39">'Div 2'!$G$90:$G$91</definedName>
    <definedName name="OSRRefD21_19x_3" localSheetId="47">'Div 3'!$G$124:$G$127</definedName>
    <definedName name="OSRRefD21_19x_3" localSheetId="70">'Div 4'!$G$102:$G$103</definedName>
    <definedName name="OSRRefD21_19x_3" localSheetId="2">Summary!$G$129:$G$132</definedName>
    <definedName name="OSRRefD21_19x_4" localSheetId="48">'300'!$H$120:$H$121</definedName>
    <definedName name="OSRRefD21_19x_4" localSheetId="49">'300 &amp; 317'!$H$126:$H$127</definedName>
    <definedName name="OSRRefD21_19x_4" localSheetId="50">'301'!$H$87</definedName>
    <definedName name="OSRRefD21_19x_4" localSheetId="71">'310 &amp; 491'!$H$101:$H$102</definedName>
    <definedName name="OSRRefD21_19x_4" localSheetId="56">'331'!$H$108</definedName>
    <definedName name="OSRRefD21_19x_4" localSheetId="54">'333'!$H$112</definedName>
    <definedName name="OSRRefD21_19x_4" localSheetId="72">'491'!$H$99:$H$100</definedName>
    <definedName name="OSRRefD21_19x_4" localSheetId="39">'Div 2'!$H$90:$H$91</definedName>
    <definedName name="OSRRefD21_19x_4" localSheetId="47">'Div 3'!$H$124:$H$127</definedName>
    <definedName name="OSRRefD21_19x_4" localSheetId="70">'Div 4'!$H$102:$H$103</definedName>
    <definedName name="OSRRefD21_19x_4" localSheetId="2">Summary!$H$129:$H$132</definedName>
    <definedName name="OSRRefD21_19x_5" localSheetId="48">'300'!$I$120:$I$121</definedName>
    <definedName name="OSRRefD21_19x_5" localSheetId="49">'300 &amp; 317'!$I$126:$I$127</definedName>
    <definedName name="OSRRefD21_19x_5" localSheetId="50">'301'!$I$87</definedName>
    <definedName name="OSRRefD21_19x_5" localSheetId="71">'310 &amp; 491'!$I$101:$I$102</definedName>
    <definedName name="OSRRefD21_19x_5" localSheetId="56">'331'!$I$108</definedName>
    <definedName name="OSRRefD21_19x_5" localSheetId="54">'333'!$I$112</definedName>
    <definedName name="OSRRefD21_19x_5" localSheetId="72">'491'!$I$99:$I$100</definedName>
    <definedName name="OSRRefD21_19x_5" localSheetId="39">'Div 2'!$I$90:$I$91</definedName>
    <definedName name="OSRRefD21_19x_5" localSheetId="47">'Div 3'!$I$124:$I$127</definedName>
    <definedName name="OSRRefD21_19x_5" localSheetId="70">'Div 4'!$I$102:$I$103</definedName>
    <definedName name="OSRRefD21_19x_5" localSheetId="2">Summary!$I$129:$I$132</definedName>
    <definedName name="OSRRefD21_19x_6" localSheetId="48">'300'!$J$120:$J$121</definedName>
    <definedName name="OSRRefD21_19x_6" localSheetId="49">'300 &amp; 317'!$J$126:$J$127</definedName>
    <definedName name="OSRRefD21_19x_6" localSheetId="50">'301'!$J$87</definedName>
    <definedName name="OSRRefD21_19x_6" localSheetId="71">'310 &amp; 491'!$J$101:$J$102</definedName>
    <definedName name="OSRRefD21_19x_6" localSheetId="56">'331'!$J$108</definedName>
    <definedName name="OSRRefD21_19x_6" localSheetId="54">'333'!$J$112</definedName>
    <definedName name="OSRRefD21_19x_6" localSheetId="72">'491'!$J$99:$J$100</definedName>
    <definedName name="OSRRefD21_19x_6" localSheetId="39">'Div 2'!$J$90:$J$91</definedName>
    <definedName name="OSRRefD21_19x_6" localSheetId="47">'Div 3'!$J$124:$J$127</definedName>
    <definedName name="OSRRefD21_19x_6" localSheetId="70">'Div 4'!$J$102:$J$103</definedName>
    <definedName name="OSRRefD21_19x_6" localSheetId="2">Summary!$J$129:$J$132</definedName>
    <definedName name="OSRRefD21_19x_7" localSheetId="48">'300'!$K$120:$K$121</definedName>
    <definedName name="OSRRefD21_19x_7" localSheetId="49">'300 &amp; 317'!$K$126:$K$127</definedName>
    <definedName name="OSRRefD21_19x_7" localSheetId="50">'301'!$K$87</definedName>
    <definedName name="OSRRefD21_19x_7" localSheetId="71">'310 &amp; 491'!$K$101:$K$102</definedName>
    <definedName name="OSRRefD21_19x_7" localSheetId="56">'331'!$K$108</definedName>
    <definedName name="OSRRefD21_19x_7" localSheetId="54">'333'!$K$112</definedName>
    <definedName name="OSRRefD21_19x_7" localSheetId="72">'491'!$K$99:$K$100</definedName>
    <definedName name="OSRRefD21_19x_7" localSheetId="39">'Div 2'!$K$90:$K$91</definedName>
    <definedName name="OSRRefD21_19x_7" localSheetId="47">'Div 3'!$K$124:$K$127</definedName>
    <definedName name="OSRRefD21_19x_7" localSheetId="70">'Div 4'!$K$102:$K$103</definedName>
    <definedName name="OSRRefD21_19x_7" localSheetId="2">Summary!$K$129:$K$132</definedName>
    <definedName name="OSRRefD21_19x_8" localSheetId="48">'300'!$L$120:$L$121</definedName>
    <definedName name="OSRRefD21_19x_8" localSheetId="49">'300 &amp; 317'!$L$126:$L$127</definedName>
    <definedName name="OSRRefD21_19x_8" localSheetId="50">'301'!$L$87</definedName>
    <definedName name="OSRRefD21_19x_8" localSheetId="71">'310 &amp; 491'!$L$101:$L$102</definedName>
    <definedName name="OSRRefD21_19x_8" localSheetId="56">'331'!$L$108</definedName>
    <definedName name="OSRRefD21_19x_8" localSheetId="54">'333'!$L$112</definedName>
    <definedName name="OSRRefD21_19x_8" localSheetId="72">'491'!$L$99:$L$100</definedName>
    <definedName name="OSRRefD21_19x_8" localSheetId="39">'Div 2'!$L$90:$L$91</definedName>
    <definedName name="OSRRefD21_19x_8" localSheetId="47">'Div 3'!$L$124:$L$127</definedName>
    <definedName name="OSRRefD21_19x_8" localSheetId="70">'Div 4'!$L$102:$L$103</definedName>
    <definedName name="OSRRefD21_19x_8" localSheetId="2">Summary!$L$129:$L$132</definedName>
    <definedName name="OSRRefD21_19x_9" localSheetId="48">'300'!$M$120:$M$121</definedName>
    <definedName name="OSRRefD21_19x_9" localSheetId="49">'300 &amp; 317'!$M$126:$M$127</definedName>
    <definedName name="OSRRefD21_19x_9" localSheetId="50">'301'!$M$87</definedName>
    <definedName name="OSRRefD21_19x_9" localSheetId="71">'310 &amp; 491'!$M$101:$M$102</definedName>
    <definedName name="OSRRefD21_19x_9" localSheetId="56">'331'!$M$108</definedName>
    <definedName name="OSRRefD21_19x_9" localSheetId="54">'333'!$M$112</definedName>
    <definedName name="OSRRefD21_19x_9" localSheetId="72">'491'!$M$99:$M$100</definedName>
    <definedName name="OSRRefD21_19x_9" localSheetId="39">'Div 2'!$M$90:$M$91</definedName>
    <definedName name="OSRRefD21_19x_9" localSheetId="47">'Div 3'!$M$124:$M$127</definedName>
    <definedName name="OSRRefD21_19x_9" localSheetId="70">'Div 4'!$M$102:$M$103</definedName>
    <definedName name="OSRRefD21_19x_9" localSheetId="2">Summary!$M$129:$M$132</definedName>
    <definedName name="OSRRefD21_1x_0" localSheetId="40">'200'!$D$21</definedName>
    <definedName name="OSRRefD21_1x_0" localSheetId="41">'201'!$D$29:$D$38</definedName>
    <definedName name="OSRRefD21_1x_0" localSheetId="42">'202'!$D$29:$D$38</definedName>
    <definedName name="OSRRefD21_1x_0" localSheetId="43">'203'!$D$30:$D$39</definedName>
    <definedName name="OSRRefD21_1x_0" localSheetId="44">'204'!$D$29:$D$38</definedName>
    <definedName name="OSRRefD21_1x_0" localSheetId="45">'205'!$D$29:$D$38</definedName>
    <definedName name="OSRRefD21_1x_0" localSheetId="46">'206'!$D$29:$D$38</definedName>
    <definedName name="OSRRefD21_1x_0" localSheetId="48">'300'!$D$64:$D$73</definedName>
    <definedName name="OSRRefD21_1x_0" localSheetId="49">'300 &amp; 317'!$D$70:$D$79</definedName>
    <definedName name="OSRRefD21_1x_0" localSheetId="50">'301'!$D$31:$D$40</definedName>
    <definedName name="OSRRefD21_1x_0" localSheetId="55">'307'!$D$43:$D$52</definedName>
    <definedName name="OSRRefD21_1x_0" localSheetId="51">'308'!$D$45:$D$54</definedName>
    <definedName name="OSRRefD21_1x_0" localSheetId="64">'309'!$D$28:$D$29</definedName>
    <definedName name="OSRRefD21_1x_0" localSheetId="63">'310'!$D$39:$D$48</definedName>
    <definedName name="OSRRefD21_1x_0" localSheetId="71">'310 &amp; 491'!$D$39:$D$48</definedName>
    <definedName name="OSRRefD21_1x_0" localSheetId="52">'311'!$D$45:$D$54</definedName>
    <definedName name="OSRRefD21_1x_0" localSheetId="65">'313'!$D$21</definedName>
    <definedName name="OSRRefD21_1x_0" localSheetId="57">'315'!$D$53:$D$62</definedName>
    <definedName name="OSRRefD21_1x_0" localSheetId="60">'316'!$D$36:$D$45</definedName>
    <definedName name="OSRRefD21_1x_0" localSheetId="62">'317'!$D$45:$D$54</definedName>
    <definedName name="OSRRefD21_1x_0" localSheetId="66">'321'!$D$34:$D$43</definedName>
    <definedName name="OSRRefD21_1x_0" localSheetId="68">'325'!$D$34:$D$43</definedName>
    <definedName name="OSRRefD21_1x_0" localSheetId="58">'326'!$D$37:$D$46</definedName>
    <definedName name="OSRRefD21_1x_0" localSheetId="69">'327'!$D$27</definedName>
    <definedName name="OSRRefD21_1x_0" localSheetId="56">'331'!$D$53:$D$62</definedName>
    <definedName name="OSRRefD21_1x_0" localSheetId="59">'332'!$D$36:$D$45</definedName>
    <definedName name="OSRRefD21_1x_0" localSheetId="54">'333'!$D$55:$D$64</definedName>
    <definedName name="OSRRefD21_1x_0" localSheetId="73">'405'!$D$36:$D$45</definedName>
    <definedName name="OSRRefD21_1x_0" localSheetId="75">'411'!$D$29:$D$38</definedName>
    <definedName name="OSRRefD21_1x_0" localSheetId="76">'412'!$D$21</definedName>
    <definedName name="OSRRefD21_1x_0" localSheetId="77">'413'!$D$21</definedName>
    <definedName name="OSRRefD21_1x_0" localSheetId="78">'414'!$D$21</definedName>
    <definedName name="OSRRefD21_1x_0" localSheetId="79">'415'!$D$37:$D$46</definedName>
    <definedName name="OSRRefD21_1x_0" localSheetId="80">'418'!$D$33:$D$42</definedName>
    <definedName name="OSRRefD21_1x_0" localSheetId="81">'423'!$D$28:$D$37</definedName>
    <definedName name="OSRRefD21_1x_0" localSheetId="82">'424'!$D$21</definedName>
    <definedName name="OSRRefD21_1x_0" localSheetId="83">'425'!$D$23</definedName>
    <definedName name="OSRRefD21_1x_0" localSheetId="86">'430'!$D$29:$D$38</definedName>
    <definedName name="OSRRefD21_1x_0" localSheetId="87">'433'!$D$37:$D$46</definedName>
    <definedName name="OSRRefD21_1x_0" localSheetId="88">'435'!$D$25</definedName>
    <definedName name="OSRRefD21_1x_0" localSheetId="89">'444'!$D$37:$D$46</definedName>
    <definedName name="OSRRefD21_1x_0" localSheetId="90">'450'!$D$37:$D$46</definedName>
    <definedName name="OSRRefD21_1x_0" localSheetId="72">'491'!$D$38:$D$47</definedName>
    <definedName name="OSRRefD21_1x_0" localSheetId="85">'492'!$D$39:$D$48</definedName>
    <definedName name="OSRRefD21_1x_0" localSheetId="92">'501'!$D$31:$D$40</definedName>
    <definedName name="OSRRefD21_1x_0" localSheetId="39">'Div 2'!$D$31:$D$40</definedName>
    <definedName name="OSRRefD21_1x_0" localSheetId="47">'Div 3'!$D$70:$D$79</definedName>
    <definedName name="OSRRefD21_1x_0" localSheetId="70">'Div 4'!$D$41:$D$50</definedName>
    <definedName name="OSRRefD21_1x_0" localSheetId="91">'Div 5'!$D$31:$D$40</definedName>
    <definedName name="OSRRefD21_1x_0" localSheetId="61">'Div 6'!$D$45:$D$54</definedName>
    <definedName name="OSRRefD21_1x_0" localSheetId="2">Summary!$D$78:$D$87</definedName>
    <definedName name="OSRRefD21_1x_1" localSheetId="40">'200'!$E$21</definedName>
    <definedName name="OSRRefD21_1x_1" localSheetId="41">'201'!$E$29:$E$38</definedName>
    <definedName name="OSRRefD21_1x_1" localSheetId="42">'202'!$E$29:$E$38</definedName>
    <definedName name="OSRRefD21_1x_1" localSheetId="43">'203'!$E$30:$E$39</definedName>
    <definedName name="OSRRefD21_1x_1" localSheetId="44">'204'!$E$29:$E$38</definedName>
    <definedName name="OSRRefD21_1x_1" localSheetId="45">'205'!$E$29:$E$38</definedName>
    <definedName name="OSRRefD21_1x_1" localSheetId="46">'206'!$E$29:$E$38</definedName>
    <definedName name="OSRRefD21_1x_1" localSheetId="48">'300'!$E$64:$E$73</definedName>
    <definedName name="OSRRefD21_1x_1" localSheetId="49">'300 &amp; 317'!$E$70:$E$79</definedName>
    <definedName name="OSRRefD21_1x_1" localSheetId="50">'301'!$E$31:$E$40</definedName>
    <definedName name="OSRRefD21_1x_1" localSheetId="55">'307'!$E$43:$E$52</definedName>
    <definedName name="OSRRefD21_1x_1" localSheetId="51">'308'!$E$45:$E$54</definedName>
    <definedName name="OSRRefD21_1x_1" localSheetId="64">'309'!$E$28:$E$29</definedName>
    <definedName name="OSRRefD21_1x_1" localSheetId="63">'310'!$E$39:$E$48</definedName>
    <definedName name="OSRRefD21_1x_1" localSheetId="71">'310 &amp; 491'!$E$39:$E$48</definedName>
    <definedName name="OSRRefD21_1x_1" localSheetId="52">'311'!$E$45:$E$54</definedName>
    <definedName name="OSRRefD21_1x_1" localSheetId="65">'313'!$E$21</definedName>
    <definedName name="OSRRefD21_1x_1" localSheetId="57">'315'!$E$53:$E$62</definedName>
    <definedName name="OSRRefD21_1x_1" localSheetId="60">'316'!$E$36:$E$45</definedName>
    <definedName name="OSRRefD21_1x_1" localSheetId="62">'317'!$E$45:$E$54</definedName>
    <definedName name="OSRRefD21_1x_1" localSheetId="66">'321'!$E$34:$E$43</definedName>
    <definedName name="OSRRefD21_1x_1" localSheetId="68">'325'!$E$34:$E$43</definedName>
    <definedName name="OSRRefD21_1x_1" localSheetId="58">'326'!$E$37:$E$46</definedName>
    <definedName name="OSRRefD21_1x_1" localSheetId="69">'327'!$E$27</definedName>
    <definedName name="OSRRefD21_1x_1" localSheetId="56">'331'!$E$53:$E$62</definedName>
    <definedName name="OSRRefD21_1x_1" localSheetId="59">'332'!$E$36:$E$45</definedName>
    <definedName name="OSRRefD21_1x_1" localSheetId="54">'333'!$E$55:$E$64</definedName>
    <definedName name="OSRRefD21_1x_1" localSheetId="73">'405'!$E$36:$E$45</definedName>
    <definedName name="OSRRefD21_1x_1" localSheetId="75">'411'!$E$29:$E$38</definedName>
    <definedName name="OSRRefD21_1x_1" localSheetId="76">'412'!$E$21</definedName>
    <definedName name="OSRRefD21_1x_1" localSheetId="77">'413'!$E$21</definedName>
    <definedName name="OSRRefD21_1x_1" localSheetId="78">'414'!$E$21</definedName>
    <definedName name="OSRRefD21_1x_1" localSheetId="79">'415'!$E$37:$E$46</definedName>
    <definedName name="OSRRefD21_1x_1" localSheetId="80">'418'!$E$33:$E$42</definedName>
    <definedName name="OSRRefD21_1x_1" localSheetId="81">'423'!$E$28:$E$37</definedName>
    <definedName name="OSRRefD21_1x_1" localSheetId="82">'424'!$E$21</definedName>
    <definedName name="OSRRefD21_1x_1" localSheetId="83">'425'!$E$23</definedName>
    <definedName name="OSRRefD21_1x_1" localSheetId="86">'430'!$E$29:$E$38</definedName>
    <definedName name="OSRRefD21_1x_1" localSheetId="87">'433'!$E$37:$E$46</definedName>
    <definedName name="OSRRefD21_1x_1" localSheetId="88">'435'!$E$25</definedName>
    <definedName name="OSRRefD21_1x_1" localSheetId="89">'444'!$E$37:$E$46</definedName>
    <definedName name="OSRRefD21_1x_1" localSheetId="90">'450'!$E$37:$E$46</definedName>
    <definedName name="OSRRefD21_1x_1" localSheetId="72">'491'!$E$38:$E$47</definedName>
    <definedName name="OSRRefD21_1x_1" localSheetId="85">'492'!$E$39:$E$48</definedName>
    <definedName name="OSRRefD21_1x_1" localSheetId="92">'501'!$E$31:$E$40</definedName>
    <definedName name="OSRRefD21_1x_1" localSheetId="39">'Div 2'!$E$31:$E$40</definedName>
    <definedName name="OSRRefD21_1x_1" localSheetId="47">'Div 3'!$E$70:$E$79</definedName>
    <definedName name="OSRRefD21_1x_1" localSheetId="70">'Div 4'!$E$41:$E$50</definedName>
    <definedName name="OSRRefD21_1x_1" localSheetId="91">'Div 5'!$E$31:$E$40</definedName>
    <definedName name="OSRRefD21_1x_1" localSheetId="61">'Div 6'!$E$45:$E$54</definedName>
    <definedName name="OSRRefD21_1x_1" localSheetId="2">Summary!$E$78:$E$87</definedName>
    <definedName name="OSRRefD21_1x_2" localSheetId="40">'200'!$F$21</definedName>
    <definedName name="OSRRefD21_1x_2" localSheetId="41">'201'!$F$29:$F$38</definedName>
    <definedName name="OSRRefD21_1x_2" localSheetId="42">'202'!$F$29:$F$38</definedName>
    <definedName name="OSRRefD21_1x_2" localSheetId="43">'203'!$F$30:$F$39</definedName>
    <definedName name="OSRRefD21_1x_2" localSheetId="44">'204'!$F$29:$F$38</definedName>
    <definedName name="OSRRefD21_1x_2" localSheetId="45">'205'!$F$29:$F$38</definedName>
    <definedName name="OSRRefD21_1x_2" localSheetId="46">'206'!$F$29:$F$38</definedName>
    <definedName name="OSRRefD21_1x_2" localSheetId="48">'300'!$F$64:$F$73</definedName>
    <definedName name="OSRRefD21_1x_2" localSheetId="49">'300 &amp; 317'!$F$70:$F$79</definedName>
    <definedName name="OSRRefD21_1x_2" localSheetId="50">'301'!$F$31:$F$40</definedName>
    <definedName name="OSRRefD21_1x_2" localSheetId="55">'307'!$F$43:$F$52</definedName>
    <definedName name="OSRRefD21_1x_2" localSheetId="51">'308'!$F$45:$F$54</definedName>
    <definedName name="OSRRefD21_1x_2" localSheetId="64">'309'!$F$28:$F$29</definedName>
    <definedName name="OSRRefD21_1x_2" localSheetId="63">'310'!$F$39:$F$48</definedName>
    <definedName name="OSRRefD21_1x_2" localSheetId="71">'310 &amp; 491'!$F$39:$F$48</definedName>
    <definedName name="OSRRefD21_1x_2" localSheetId="52">'311'!$F$45:$F$54</definedName>
    <definedName name="OSRRefD21_1x_2" localSheetId="65">'313'!$F$21</definedName>
    <definedName name="OSRRefD21_1x_2" localSheetId="57">'315'!$F$53:$F$62</definedName>
    <definedName name="OSRRefD21_1x_2" localSheetId="60">'316'!$F$36:$F$45</definedName>
    <definedName name="OSRRefD21_1x_2" localSheetId="62">'317'!$F$45:$F$54</definedName>
    <definedName name="OSRRefD21_1x_2" localSheetId="66">'321'!$F$34:$F$43</definedName>
    <definedName name="OSRRefD21_1x_2" localSheetId="68">'325'!$F$34:$F$43</definedName>
    <definedName name="OSRRefD21_1x_2" localSheetId="58">'326'!$F$37:$F$46</definedName>
    <definedName name="OSRRefD21_1x_2" localSheetId="69">'327'!$F$27</definedName>
    <definedName name="OSRRefD21_1x_2" localSheetId="56">'331'!$F$53:$F$62</definedName>
    <definedName name="OSRRefD21_1x_2" localSheetId="59">'332'!$F$36:$F$45</definedName>
    <definedName name="OSRRefD21_1x_2" localSheetId="54">'333'!$F$55:$F$64</definedName>
    <definedName name="OSRRefD21_1x_2" localSheetId="73">'405'!$F$36:$F$45</definedName>
    <definedName name="OSRRefD21_1x_2" localSheetId="75">'411'!$F$29:$F$38</definedName>
    <definedName name="OSRRefD21_1x_2" localSheetId="76">'412'!$F$21</definedName>
    <definedName name="OSRRefD21_1x_2" localSheetId="77">'413'!$F$21</definedName>
    <definedName name="OSRRefD21_1x_2" localSheetId="78">'414'!$F$21</definedName>
    <definedName name="OSRRefD21_1x_2" localSheetId="79">'415'!$F$37:$F$46</definedName>
    <definedName name="OSRRefD21_1x_2" localSheetId="80">'418'!$F$33:$F$42</definedName>
    <definedName name="OSRRefD21_1x_2" localSheetId="81">'423'!$F$28:$F$37</definedName>
    <definedName name="OSRRefD21_1x_2" localSheetId="82">'424'!$F$21</definedName>
    <definedName name="OSRRefD21_1x_2" localSheetId="83">'425'!$F$23</definedName>
    <definedName name="OSRRefD21_1x_2" localSheetId="86">'430'!$F$29:$F$38</definedName>
    <definedName name="OSRRefD21_1x_2" localSheetId="87">'433'!$F$37:$F$46</definedName>
    <definedName name="OSRRefD21_1x_2" localSheetId="88">'435'!$F$25</definedName>
    <definedName name="OSRRefD21_1x_2" localSheetId="89">'444'!$F$37:$F$46</definedName>
    <definedName name="OSRRefD21_1x_2" localSheetId="90">'450'!$F$37:$F$46</definedName>
    <definedName name="OSRRefD21_1x_2" localSheetId="72">'491'!$F$38:$F$47</definedName>
    <definedName name="OSRRefD21_1x_2" localSheetId="85">'492'!$F$39:$F$48</definedName>
    <definedName name="OSRRefD21_1x_2" localSheetId="92">'501'!$F$31:$F$40</definedName>
    <definedName name="OSRRefD21_1x_2" localSheetId="39">'Div 2'!$F$31:$F$40</definedName>
    <definedName name="OSRRefD21_1x_2" localSheetId="47">'Div 3'!$F$70:$F$79</definedName>
    <definedName name="OSRRefD21_1x_2" localSheetId="70">'Div 4'!$F$41:$F$50</definedName>
    <definedName name="OSRRefD21_1x_2" localSheetId="91">'Div 5'!$F$31:$F$40</definedName>
    <definedName name="OSRRefD21_1x_2" localSheetId="61">'Div 6'!$F$45:$F$54</definedName>
    <definedName name="OSRRefD21_1x_2" localSheetId="2">Summary!$F$78:$F$87</definedName>
    <definedName name="OSRRefD21_1x_3" localSheetId="40">'200'!$G$21</definedName>
    <definedName name="OSRRefD21_1x_3" localSheetId="41">'201'!$G$29:$G$38</definedName>
    <definedName name="OSRRefD21_1x_3" localSheetId="42">'202'!$G$29:$G$38</definedName>
    <definedName name="OSRRefD21_1x_3" localSheetId="43">'203'!$G$30:$G$39</definedName>
    <definedName name="OSRRefD21_1x_3" localSheetId="44">'204'!$G$29:$G$38</definedName>
    <definedName name="OSRRefD21_1x_3" localSheetId="45">'205'!$G$29:$G$38</definedName>
    <definedName name="OSRRefD21_1x_3" localSheetId="46">'206'!$G$29:$G$38</definedName>
    <definedName name="OSRRefD21_1x_3" localSheetId="48">'300'!$G$64:$G$73</definedName>
    <definedName name="OSRRefD21_1x_3" localSheetId="49">'300 &amp; 317'!$G$70:$G$79</definedName>
    <definedName name="OSRRefD21_1x_3" localSheetId="50">'301'!$G$31:$G$40</definedName>
    <definedName name="OSRRefD21_1x_3" localSheetId="55">'307'!$G$43:$G$52</definedName>
    <definedName name="OSRRefD21_1x_3" localSheetId="51">'308'!$G$45:$G$54</definedName>
    <definedName name="OSRRefD21_1x_3" localSheetId="64">'309'!$G$28:$G$29</definedName>
    <definedName name="OSRRefD21_1x_3" localSheetId="63">'310'!$G$39:$G$48</definedName>
    <definedName name="OSRRefD21_1x_3" localSheetId="71">'310 &amp; 491'!$G$39:$G$48</definedName>
    <definedName name="OSRRefD21_1x_3" localSheetId="52">'311'!$G$45:$G$54</definedName>
    <definedName name="OSRRefD21_1x_3" localSheetId="65">'313'!$G$21</definedName>
    <definedName name="OSRRefD21_1x_3" localSheetId="57">'315'!$G$53:$G$62</definedName>
    <definedName name="OSRRefD21_1x_3" localSheetId="60">'316'!$G$36:$G$45</definedName>
    <definedName name="OSRRefD21_1x_3" localSheetId="62">'317'!$G$45:$G$54</definedName>
    <definedName name="OSRRefD21_1x_3" localSheetId="66">'321'!$G$34:$G$43</definedName>
    <definedName name="OSRRefD21_1x_3" localSheetId="68">'325'!$G$34:$G$43</definedName>
    <definedName name="OSRRefD21_1x_3" localSheetId="58">'326'!$G$37:$G$46</definedName>
    <definedName name="OSRRefD21_1x_3" localSheetId="69">'327'!$G$27</definedName>
    <definedName name="OSRRefD21_1x_3" localSheetId="56">'331'!$G$53:$G$62</definedName>
    <definedName name="OSRRefD21_1x_3" localSheetId="59">'332'!$G$36:$G$45</definedName>
    <definedName name="OSRRefD21_1x_3" localSheetId="54">'333'!$G$55:$G$64</definedName>
    <definedName name="OSRRefD21_1x_3" localSheetId="73">'405'!$G$36:$G$45</definedName>
    <definedName name="OSRRefD21_1x_3" localSheetId="75">'411'!$G$29:$G$38</definedName>
    <definedName name="OSRRefD21_1x_3" localSheetId="76">'412'!$G$21</definedName>
    <definedName name="OSRRefD21_1x_3" localSheetId="77">'413'!$G$21</definedName>
    <definedName name="OSRRefD21_1x_3" localSheetId="78">'414'!$G$21</definedName>
    <definedName name="OSRRefD21_1x_3" localSheetId="79">'415'!$G$37:$G$46</definedName>
    <definedName name="OSRRefD21_1x_3" localSheetId="80">'418'!$G$33:$G$42</definedName>
    <definedName name="OSRRefD21_1x_3" localSheetId="81">'423'!$G$28:$G$37</definedName>
    <definedName name="OSRRefD21_1x_3" localSheetId="82">'424'!$G$21</definedName>
    <definedName name="OSRRefD21_1x_3" localSheetId="83">'425'!$G$23</definedName>
    <definedName name="OSRRefD21_1x_3" localSheetId="86">'430'!$G$29:$G$38</definedName>
    <definedName name="OSRRefD21_1x_3" localSheetId="87">'433'!$G$37:$G$46</definedName>
    <definedName name="OSRRefD21_1x_3" localSheetId="88">'435'!$G$25</definedName>
    <definedName name="OSRRefD21_1x_3" localSheetId="89">'444'!$G$37:$G$46</definedName>
    <definedName name="OSRRefD21_1x_3" localSheetId="90">'450'!$G$37:$G$46</definedName>
    <definedName name="OSRRefD21_1x_3" localSheetId="72">'491'!$G$38:$G$47</definedName>
    <definedName name="OSRRefD21_1x_3" localSheetId="85">'492'!$G$39:$G$48</definedName>
    <definedName name="OSRRefD21_1x_3" localSheetId="92">'501'!$G$31:$G$40</definedName>
    <definedName name="OSRRefD21_1x_3" localSheetId="39">'Div 2'!$G$31:$G$40</definedName>
    <definedName name="OSRRefD21_1x_3" localSheetId="47">'Div 3'!$G$70:$G$79</definedName>
    <definedName name="OSRRefD21_1x_3" localSheetId="70">'Div 4'!$G$41:$G$50</definedName>
    <definedName name="OSRRefD21_1x_3" localSheetId="91">'Div 5'!$G$31:$G$40</definedName>
    <definedName name="OSRRefD21_1x_3" localSheetId="61">'Div 6'!$G$45:$G$54</definedName>
    <definedName name="OSRRefD21_1x_3" localSheetId="2">Summary!$G$78:$G$87</definedName>
    <definedName name="OSRRefD21_1x_4" localSheetId="40">'200'!$H$21</definedName>
    <definedName name="OSRRefD21_1x_4" localSheetId="41">'201'!$H$29:$H$38</definedName>
    <definedName name="OSRRefD21_1x_4" localSheetId="42">'202'!$H$29:$H$38</definedName>
    <definedName name="OSRRefD21_1x_4" localSheetId="43">'203'!$H$30:$H$39</definedName>
    <definedName name="OSRRefD21_1x_4" localSheetId="44">'204'!$H$29:$H$38</definedName>
    <definedName name="OSRRefD21_1x_4" localSheetId="45">'205'!$H$29:$H$38</definedName>
    <definedName name="OSRRefD21_1x_4" localSheetId="46">'206'!$H$29:$H$38</definedName>
    <definedName name="OSRRefD21_1x_4" localSheetId="48">'300'!$H$64:$H$73</definedName>
    <definedName name="OSRRefD21_1x_4" localSheetId="49">'300 &amp; 317'!$H$70:$H$79</definedName>
    <definedName name="OSRRefD21_1x_4" localSheetId="50">'301'!$H$31:$H$40</definedName>
    <definedName name="OSRRefD21_1x_4" localSheetId="55">'307'!$H$43:$H$52</definedName>
    <definedName name="OSRRefD21_1x_4" localSheetId="51">'308'!$H$45:$H$54</definedName>
    <definedName name="OSRRefD21_1x_4" localSheetId="64">'309'!$H$28:$H$29</definedName>
    <definedName name="OSRRefD21_1x_4" localSheetId="63">'310'!$H$39:$H$48</definedName>
    <definedName name="OSRRefD21_1x_4" localSheetId="71">'310 &amp; 491'!$H$39:$H$48</definedName>
    <definedName name="OSRRefD21_1x_4" localSheetId="52">'311'!$H$45:$H$54</definedName>
    <definedName name="OSRRefD21_1x_4" localSheetId="65">'313'!$H$21</definedName>
    <definedName name="OSRRefD21_1x_4" localSheetId="57">'315'!$H$53:$H$62</definedName>
    <definedName name="OSRRefD21_1x_4" localSheetId="60">'316'!$H$36:$H$45</definedName>
    <definedName name="OSRRefD21_1x_4" localSheetId="62">'317'!$H$45:$H$54</definedName>
    <definedName name="OSRRefD21_1x_4" localSheetId="66">'321'!$H$34:$H$43</definedName>
    <definedName name="OSRRefD21_1x_4" localSheetId="68">'325'!$H$34:$H$43</definedName>
    <definedName name="OSRRefD21_1x_4" localSheetId="58">'326'!$H$37:$H$46</definedName>
    <definedName name="OSRRefD21_1x_4" localSheetId="69">'327'!$H$27</definedName>
    <definedName name="OSRRefD21_1x_4" localSheetId="56">'331'!$H$53:$H$62</definedName>
    <definedName name="OSRRefD21_1x_4" localSheetId="59">'332'!$H$36:$H$45</definedName>
    <definedName name="OSRRefD21_1x_4" localSheetId="54">'333'!$H$55:$H$64</definedName>
    <definedName name="OSRRefD21_1x_4" localSheetId="73">'405'!$H$36:$H$45</definedName>
    <definedName name="OSRRefD21_1x_4" localSheetId="75">'411'!$H$29:$H$38</definedName>
    <definedName name="OSRRefD21_1x_4" localSheetId="76">'412'!$H$21</definedName>
    <definedName name="OSRRefD21_1x_4" localSheetId="77">'413'!$H$21</definedName>
    <definedName name="OSRRefD21_1x_4" localSheetId="78">'414'!$H$21</definedName>
    <definedName name="OSRRefD21_1x_4" localSheetId="79">'415'!$H$37:$H$46</definedName>
    <definedName name="OSRRefD21_1x_4" localSheetId="80">'418'!$H$33:$H$42</definedName>
    <definedName name="OSRRefD21_1x_4" localSheetId="81">'423'!$H$28:$H$37</definedName>
    <definedName name="OSRRefD21_1x_4" localSheetId="82">'424'!$H$21</definedName>
    <definedName name="OSRRefD21_1x_4" localSheetId="83">'425'!$H$23</definedName>
    <definedName name="OSRRefD21_1x_4" localSheetId="86">'430'!$H$29:$H$38</definedName>
    <definedName name="OSRRefD21_1x_4" localSheetId="87">'433'!$H$37:$H$46</definedName>
    <definedName name="OSRRefD21_1x_4" localSheetId="88">'435'!$H$25</definedName>
    <definedName name="OSRRefD21_1x_4" localSheetId="89">'444'!$H$37:$H$46</definedName>
    <definedName name="OSRRefD21_1x_4" localSheetId="90">'450'!$H$37:$H$46</definedName>
    <definedName name="OSRRefD21_1x_4" localSheetId="72">'491'!$H$38:$H$47</definedName>
    <definedName name="OSRRefD21_1x_4" localSheetId="85">'492'!$H$39:$H$48</definedName>
    <definedName name="OSRRefD21_1x_4" localSheetId="92">'501'!$H$31:$H$40</definedName>
    <definedName name="OSRRefD21_1x_4" localSheetId="39">'Div 2'!$H$31:$H$40</definedName>
    <definedName name="OSRRefD21_1x_4" localSheetId="47">'Div 3'!$H$70:$H$79</definedName>
    <definedName name="OSRRefD21_1x_4" localSheetId="70">'Div 4'!$H$41:$H$50</definedName>
    <definedName name="OSRRefD21_1x_4" localSheetId="91">'Div 5'!$H$31:$H$40</definedName>
    <definedName name="OSRRefD21_1x_4" localSheetId="61">'Div 6'!$H$45:$H$54</definedName>
    <definedName name="OSRRefD21_1x_4" localSheetId="2">Summary!$H$78:$H$87</definedName>
    <definedName name="OSRRefD21_1x_5" localSheetId="40">'200'!$I$21</definedName>
    <definedName name="OSRRefD21_1x_5" localSheetId="41">'201'!$I$29:$I$38</definedName>
    <definedName name="OSRRefD21_1x_5" localSheetId="42">'202'!$I$29:$I$38</definedName>
    <definedName name="OSRRefD21_1x_5" localSheetId="43">'203'!$I$30:$I$39</definedName>
    <definedName name="OSRRefD21_1x_5" localSheetId="44">'204'!$I$29:$I$38</definedName>
    <definedName name="OSRRefD21_1x_5" localSheetId="45">'205'!$I$29:$I$38</definedName>
    <definedName name="OSRRefD21_1x_5" localSheetId="46">'206'!$I$29:$I$38</definedName>
    <definedName name="OSRRefD21_1x_5" localSheetId="48">'300'!$I$64:$I$73</definedName>
    <definedName name="OSRRefD21_1x_5" localSheetId="49">'300 &amp; 317'!$I$70:$I$79</definedName>
    <definedName name="OSRRefD21_1x_5" localSheetId="50">'301'!$I$31:$I$40</definedName>
    <definedName name="OSRRefD21_1x_5" localSheetId="55">'307'!$I$43:$I$52</definedName>
    <definedName name="OSRRefD21_1x_5" localSheetId="51">'308'!$I$45:$I$54</definedName>
    <definedName name="OSRRefD21_1x_5" localSheetId="64">'309'!$I$28:$I$29</definedName>
    <definedName name="OSRRefD21_1x_5" localSheetId="63">'310'!$I$39:$I$48</definedName>
    <definedName name="OSRRefD21_1x_5" localSheetId="71">'310 &amp; 491'!$I$39:$I$48</definedName>
    <definedName name="OSRRefD21_1x_5" localSheetId="52">'311'!$I$45:$I$54</definedName>
    <definedName name="OSRRefD21_1x_5" localSheetId="65">'313'!$I$21</definedName>
    <definedName name="OSRRefD21_1x_5" localSheetId="57">'315'!$I$53:$I$62</definedName>
    <definedName name="OSRRefD21_1x_5" localSheetId="60">'316'!$I$36:$I$45</definedName>
    <definedName name="OSRRefD21_1x_5" localSheetId="62">'317'!$I$45:$I$54</definedName>
    <definedName name="OSRRefD21_1x_5" localSheetId="66">'321'!$I$34:$I$43</definedName>
    <definedName name="OSRRefD21_1x_5" localSheetId="68">'325'!$I$34:$I$43</definedName>
    <definedName name="OSRRefD21_1x_5" localSheetId="58">'326'!$I$37:$I$46</definedName>
    <definedName name="OSRRefD21_1x_5" localSheetId="69">'327'!$I$27</definedName>
    <definedName name="OSRRefD21_1x_5" localSheetId="56">'331'!$I$53:$I$62</definedName>
    <definedName name="OSRRefD21_1x_5" localSheetId="59">'332'!$I$36:$I$45</definedName>
    <definedName name="OSRRefD21_1x_5" localSheetId="54">'333'!$I$55:$I$64</definedName>
    <definedName name="OSRRefD21_1x_5" localSheetId="73">'405'!$I$36:$I$45</definedName>
    <definedName name="OSRRefD21_1x_5" localSheetId="75">'411'!$I$29:$I$38</definedName>
    <definedName name="OSRRefD21_1x_5" localSheetId="76">'412'!$I$21</definedName>
    <definedName name="OSRRefD21_1x_5" localSheetId="77">'413'!$I$21</definedName>
    <definedName name="OSRRefD21_1x_5" localSheetId="78">'414'!$I$21</definedName>
    <definedName name="OSRRefD21_1x_5" localSheetId="79">'415'!$I$37:$I$46</definedName>
    <definedName name="OSRRefD21_1x_5" localSheetId="80">'418'!$I$33:$I$42</definedName>
    <definedName name="OSRRefD21_1x_5" localSheetId="81">'423'!$I$28:$I$37</definedName>
    <definedName name="OSRRefD21_1x_5" localSheetId="82">'424'!$I$21</definedName>
    <definedName name="OSRRefD21_1x_5" localSheetId="83">'425'!$I$23</definedName>
    <definedName name="OSRRefD21_1x_5" localSheetId="86">'430'!$I$29:$I$38</definedName>
    <definedName name="OSRRefD21_1x_5" localSheetId="87">'433'!$I$37:$I$46</definedName>
    <definedName name="OSRRefD21_1x_5" localSheetId="88">'435'!$I$25</definedName>
    <definedName name="OSRRefD21_1x_5" localSheetId="89">'444'!$I$37:$I$46</definedName>
    <definedName name="OSRRefD21_1x_5" localSheetId="90">'450'!$I$37:$I$46</definedName>
    <definedName name="OSRRefD21_1x_5" localSheetId="72">'491'!$I$38:$I$47</definedName>
    <definedName name="OSRRefD21_1x_5" localSheetId="85">'492'!$I$39:$I$48</definedName>
    <definedName name="OSRRefD21_1x_5" localSheetId="92">'501'!$I$31:$I$40</definedName>
    <definedName name="OSRRefD21_1x_5" localSheetId="39">'Div 2'!$I$31:$I$40</definedName>
    <definedName name="OSRRefD21_1x_5" localSheetId="47">'Div 3'!$I$70:$I$79</definedName>
    <definedName name="OSRRefD21_1x_5" localSheetId="70">'Div 4'!$I$41:$I$50</definedName>
    <definedName name="OSRRefD21_1x_5" localSheetId="91">'Div 5'!$I$31:$I$40</definedName>
    <definedName name="OSRRefD21_1x_5" localSheetId="61">'Div 6'!$I$45:$I$54</definedName>
    <definedName name="OSRRefD21_1x_5" localSheetId="2">Summary!$I$78:$I$87</definedName>
    <definedName name="OSRRefD21_1x_6" localSheetId="40">'200'!$J$21</definedName>
    <definedName name="OSRRefD21_1x_6" localSheetId="41">'201'!$J$29:$J$38</definedName>
    <definedName name="OSRRefD21_1x_6" localSheetId="42">'202'!$J$29:$J$38</definedName>
    <definedName name="OSRRefD21_1x_6" localSheetId="43">'203'!$J$30:$J$39</definedName>
    <definedName name="OSRRefD21_1x_6" localSheetId="44">'204'!$J$29:$J$38</definedName>
    <definedName name="OSRRefD21_1x_6" localSheetId="45">'205'!$J$29:$J$38</definedName>
    <definedName name="OSRRefD21_1x_6" localSheetId="46">'206'!$J$29:$J$38</definedName>
    <definedName name="OSRRefD21_1x_6" localSheetId="48">'300'!$J$64:$J$73</definedName>
    <definedName name="OSRRefD21_1x_6" localSheetId="49">'300 &amp; 317'!$J$70:$J$79</definedName>
    <definedName name="OSRRefD21_1x_6" localSheetId="50">'301'!$J$31:$J$40</definedName>
    <definedName name="OSRRefD21_1x_6" localSheetId="55">'307'!$J$43:$J$52</definedName>
    <definedName name="OSRRefD21_1x_6" localSheetId="51">'308'!$J$45:$J$54</definedName>
    <definedName name="OSRRefD21_1x_6" localSheetId="64">'309'!$J$28:$J$29</definedName>
    <definedName name="OSRRefD21_1x_6" localSheetId="63">'310'!$J$39:$J$48</definedName>
    <definedName name="OSRRefD21_1x_6" localSheetId="71">'310 &amp; 491'!$J$39:$J$48</definedName>
    <definedName name="OSRRefD21_1x_6" localSheetId="52">'311'!$J$45:$J$54</definedName>
    <definedName name="OSRRefD21_1x_6" localSheetId="65">'313'!$J$21</definedName>
    <definedName name="OSRRefD21_1x_6" localSheetId="57">'315'!$J$53:$J$62</definedName>
    <definedName name="OSRRefD21_1x_6" localSheetId="60">'316'!$J$36:$J$45</definedName>
    <definedName name="OSRRefD21_1x_6" localSheetId="62">'317'!$J$45:$J$54</definedName>
    <definedName name="OSRRefD21_1x_6" localSheetId="66">'321'!$J$34:$J$43</definedName>
    <definedName name="OSRRefD21_1x_6" localSheetId="68">'325'!$J$34:$J$43</definedName>
    <definedName name="OSRRefD21_1x_6" localSheetId="58">'326'!$J$37:$J$46</definedName>
    <definedName name="OSRRefD21_1x_6" localSheetId="69">'327'!$J$27</definedName>
    <definedName name="OSRRefD21_1x_6" localSheetId="56">'331'!$J$53:$J$62</definedName>
    <definedName name="OSRRefD21_1x_6" localSheetId="59">'332'!$J$36:$J$45</definedName>
    <definedName name="OSRRefD21_1x_6" localSheetId="54">'333'!$J$55:$J$64</definedName>
    <definedName name="OSRRefD21_1x_6" localSheetId="73">'405'!$J$36:$J$45</definedName>
    <definedName name="OSRRefD21_1x_6" localSheetId="75">'411'!$J$29:$J$38</definedName>
    <definedName name="OSRRefD21_1x_6" localSheetId="76">'412'!$J$21</definedName>
    <definedName name="OSRRefD21_1x_6" localSheetId="77">'413'!$J$21</definedName>
    <definedName name="OSRRefD21_1x_6" localSheetId="78">'414'!$J$21</definedName>
    <definedName name="OSRRefD21_1x_6" localSheetId="79">'415'!$J$37:$J$46</definedName>
    <definedName name="OSRRefD21_1x_6" localSheetId="80">'418'!$J$33:$J$42</definedName>
    <definedName name="OSRRefD21_1x_6" localSheetId="81">'423'!$J$28:$J$37</definedName>
    <definedName name="OSRRefD21_1x_6" localSheetId="82">'424'!$J$21</definedName>
    <definedName name="OSRRefD21_1x_6" localSheetId="83">'425'!$J$23</definedName>
    <definedName name="OSRRefD21_1x_6" localSheetId="86">'430'!$J$29:$J$38</definedName>
    <definedName name="OSRRefD21_1x_6" localSheetId="87">'433'!$J$37:$J$46</definedName>
    <definedName name="OSRRefD21_1x_6" localSheetId="88">'435'!$J$25</definedName>
    <definedName name="OSRRefD21_1x_6" localSheetId="89">'444'!$J$37:$J$46</definedName>
    <definedName name="OSRRefD21_1x_6" localSheetId="90">'450'!$J$37:$J$46</definedName>
    <definedName name="OSRRefD21_1x_6" localSheetId="72">'491'!$J$38:$J$47</definedName>
    <definedName name="OSRRefD21_1x_6" localSheetId="85">'492'!$J$39:$J$48</definedName>
    <definedName name="OSRRefD21_1x_6" localSheetId="92">'501'!$J$31:$J$40</definedName>
    <definedName name="OSRRefD21_1x_6" localSheetId="39">'Div 2'!$J$31:$J$40</definedName>
    <definedName name="OSRRefD21_1x_6" localSheetId="47">'Div 3'!$J$70:$J$79</definedName>
    <definedName name="OSRRefD21_1x_6" localSheetId="70">'Div 4'!$J$41:$J$50</definedName>
    <definedName name="OSRRefD21_1x_6" localSheetId="91">'Div 5'!$J$31:$J$40</definedName>
    <definedName name="OSRRefD21_1x_6" localSheetId="61">'Div 6'!$J$45:$J$54</definedName>
    <definedName name="OSRRefD21_1x_6" localSheetId="2">Summary!$J$78:$J$87</definedName>
    <definedName name="OSRRefD21_1x_7" localSheetId="40">'200'!$K$21</definedName>
    <definedName name="OSRRefD21_1x_7" localSheetId="41">'201'!$K$29:$K$38</definedName>
    <definedName name="OSRRefD21_1x_7" localSheetId="42">'202'!$K$29:$K$38</definedName>
    <definedName name="OSRRefD21_1x_7" localSheetId="43">'203'!$K$30:$K$39</definedName>
    <definedName name="OSRRefD21_1x_7" localSheetId="44">'204'!$K$29:$K$38</definedName>
    <definedName name="OSRRefD21_1x_7" localSheetId="45">'205'!$K$29:$K$38</definedName>
    <definedName name="OSRRefD21_1x_7" localSheetId="46">'206'!$K$29:$K$38</definedName>
    <definedName name="OSRRefD21_1x_7" localSheetId="48">'300'!$K$64:$K$73</definedName>
    <definedName name="OSRRefD21_1x_7" localSheetId="49">'300 &amp; 317'!$K$70:$K$79</definedName>
    <definedName name="OSRRefD21_1x_7" localSheetId="50">'301'!$K$31:$K$40</definedName>
    <definedName name="OSRRefD21_1x_7" localSheetId="55">'307'!$K$43:$K$52</definedName>
    <definedName name="OSRRefD21_1x_7" localSheetId="51">'308'!$K$45:$K$54</definedName>
    <definedName name="OSRRefD21_1x_7" localSheetId="64">'309'!$K$28:$K$29</definedName>
    <definedName name="OSRRefD21_1x_7" localSheetId="63">'310'!$K$39:$K$48</definedName>
    <definedName name="OSRRefD21_1x_7" localSheetId="71">'310 &amp; 491'!$K$39:$K$48</definedName>
    <definedName name="OSRRefD21_1x_7" localSheetId="52">'311'!$K$45:$K$54</definedName>
    <definedName name="OSRRefD21_1x_7" localSheetId="65">'313'!$K$21</definedName>
    <definedName name="OSRRefD21_1x_7" localSheetId="57">'315'!$K$53:$K$62</definedName>
    <definedName name="OSRRefD21_1x_7" localSheetId="60">'316'!$K$36:$K$45</definedName>
    <definedName name="OSRRefD21_1x_7" localSheetId="62">'317'!$K$45:$K$54</definedName>
    <definedName name="OSRRefD21_1x_7" localSheetId="66">'321'!$K$34:$K$43</definedName>
    <definedName name="OSRRefD21_1x_7" localSheetId="68">'325'!$K$34:$K$43</definedName>
    <definedName name="OSRRefD21_1x_7" localSheetId="58">'326'!$K$37:$K$46</definedName>
    <definedName name="OSRRefD21_1x_7" localSheetId="69">'327'!$K$27</definedName>
    <definedName name="OSRRefD21_1x_7" localSheetId="56">'331'!$K$53:$K$62</definedName>
    <definedName name="OSRRefD21_1x_7" localSheetId="59">'332'!$K$36:$K$45</definedName>
    <definedName name="OSRRefD21_1x_7" localSheetId="54">'333'!$K$55:$K$64</definedName>
    <definedName name="OSRRefD21_1x_7" localSheetId="73">'405'!$K$36:$K$45</definedName>
    <definedName name="OSRRefD21_1x_7" localSheetId="75">'411'!$K$29:$K$38</definedName>
    <definedName name="OSRRefD21_1x_7" localSheetId="76">'412'!$K$21</definedName>
    <definedName name="OSRRefD21_1x_7" localSheetId="77">'413'!$K$21</definedName>
    <definedName name="OSRRefD21_1x_7" localSheetId="78">'414'!$K$21</definedName>
    <definedName name="OSRRefD21_1x_7" localSheetId="79">'415'!$K$37:$K$46</definedName>
    <definedName name="OSRRefD21_1x_7" localSheetId="80">'418'!$K$33:$K$42</definedName>
    <definedName name="OSRRefD21_1x_7" localSheetId="81">'423'!$K$28:$K$37</definedName>
    <definedName name="OSRRefD21_1x_7" localSheetId="82">'424'!$K$21</definedName>
    <definedName name="OSRRefD21_1x_7" localSheetId="83">'425'!$K$23</definedName>
    <definedName name="OSRRefD21_1x_7" localSheetId="86">'430'!$K$29:$K$38</definedName>
    <definedName name="OSRRefD21_1x_7" localSheetId="87">'433'!$K$37:$K$46</definedName>
    <definedName name="OSRRefD21_1x_7" localSheetId="88">'435'!$K$25</definedName>
    <definedName name="OSRRefD21_1x_7" localSheetId="89">'444'!$K$37:$K$46</definedName>
    <definedName name="OSRRefD21_1x_7" localSheetId="90">'450'!$K$37:$K$46</definedName>
    <definedName name="OSRRefD21_1x_7" localSheetId="72">'491'!$K$38:$K$47</definedName>
    <definedName name="OSRRefD21_1x_7" localSheetId="85">'492'!$K$39:$K$48</definedName>
    <definedName name="OSRRefD21_1x_7" localSheetId="92">'501'!$K$31:$K$40</definedName>
    <definedName name="OSRRefD21_1x_7" localSheetId="39">'Div 2'!$K$31:$K$40</definedName>
    <definedName name="OSRRefD21_1x_7" localSheetId="47">'Div 3'!$K$70:$K$79</definedName>
    <definedName name="OSRRefD21_1x_7" localSheetId="70">'Div 4'!$K$41:$K$50</definedName>
    <definedName name="OSRRefD21_1x_7" localSheetId="91">'Div 5'!$K$31:$K$40</definedName>
    <definedName name="OSRRefD21_1x_7" localSheetId="61">'Div 6'!$K$45:$K$54</definedName>
    <definedName name="OSRRefD21_1x_7" localSheetId="2">Summary!$K$78:$K$87</definedName>
    <definedName name="OSRRefD21_1x_8" localSheetId="40">'200'!$L$21</definedName>
    <definedName name="OSRRefD21_1x_8" localSheetId="41">'201'!$L$29:$L$38</definedName>
    <definedName name="OSRRefD21_1x_8" localSheetId="42">'202'!$L$29:$L$38</definedName>
    <definedName name="OSRRefD21_1x_8" localSheetId="43">'203'!$L$30:$L$39</definedName>
    <definedName name="OSRRefD21_1x_8" localSheetId="44">'204'!$L$29:$L$38</definedName>
    <definedName name="OSRRefD21_1x_8" localSheetId="45">'205'!$L$29:$L$38</definedName>
    <definedName name="OSRRefD21_1x_8" localSheetId="46">'206'!$L$29:$L$38</definedName>
    <definedName name="OSRRefD21_1x_8" localSheetId="48">'300'!$L$64:$L$73</definedName>
    <definedName name="OSRRefD21_1x_8" localSheetId="49">'300 &amp; 317'!$L$70:$L$79</definedName>
    <definedName name="OSRRefD21_1x_8" localSheetId="50">'301'!$L$31:$L$40</definedName>
    <definedName name="OSRRefD21_1x_8" localSheetId="55">'307'!$L$43:$L$52</definedName>
    <definedName name="OSRRefD21_1x_8" localSheetId="51">'308'!$L$45:$L$54</definedName>
    <definedName name="OSRRefD21_1x_8" localSheetId="64">'309'!$L$28:$L$29</definedName>
    <definedName name="OSRRefD21_1x_8" localSheetId="63">'310'!$L$39:$L$48</definedName>
    <definedName name="OSRRefD21_1x_8" localSheetId="71">'310 &amp; 491'!$L$39:$L$48</definedName>
    <definedName name="OSRRefD21_1x_8" localSheetId="52">'311'!$L$45:$L$54</definedName>
    <definedName name="OSRRefD21_1x_8" localSheetId="65">'313'!$L$21</definedName>
    <definedName name="OSRRefD21_1x_8" localSheetId="57">'315'!$L$53:$L$62</definedName>
    <definedName name="OSRRefD21_1x_8" localSheetId="60">'316'!$L$36:$L$45</definedName>
    <definedName name="OSRRefD21_1x_8" localSheetId="62">'317'!$L$45:$L$54</definedName>
    <definedName name="OSRRefD21_1x_8" localSheetId="66">'321'!$L$34:$L$43</definedName>
    <definedName name="OSRRefD21_1x_8" localSheetId="68">'325'!$L$34:$L$43</definedName>
    <definedName name="OSRRefD21_1x_8" localSheetId="58">'326'!$L$37:$L$46</definedName>
    <definedName name="OSRRefD21_1x_8" localSheetId="69">'327'!$L$27</definedName>
    <definedName name="OSRRefD21_1x_8" localSheetId="56">'331'!$L$53:$L$62</definedName>
    <definedName name="OSRRefD21_1x_8" localSheetId="59">'332'!$L$36:$L$45</definedName>
    <definedName name="OSRRefD21_1x_8" localSheetId="54">'333'!$L$55:$L$64</definedName>
    <definedName name="OSRRefD21_1x_8" localSheetId="73">'405'!$L$36:$L$45</definedName>
    <definedName name="OSRRefD21_1x_8" localSheetId="75">'411'!$L$29:$L$38</definedName>
    <definedName name="OSRRefD21_1x_8" localSheetId="76">'412'!$L$21</definedName>
    <definedName name="OSRRefD21_1x_8" localSheetId="77">'413'!$L$21</definedName>
    <definedName name="OSRRefD21_1x_8" localSheetId="78">'414'!$L$21</definedName>
    <definedName name="OSRRefD21_1x_8" localSheetId="79">'415'!$L$37:$L$46</definedName>
    <definedName name="OSRRefD21_1x_8" localSheetId="80">'418'!$L$33:$L$42</definedName>
    <definedName name="OSRRefD21_1x_8" localSheetId="81">'423'!$L$28:$L$37</definedName>
    <definedName name="OSRRefD21_1x_8" localSheetId="82">'424'!$L$21</definedName>
    <definedName name="OSRRefD21_1x_8" localSheetId="83">'425'!$L$23</definedName>
    <definedName name="OSRRefD21_1x_8" localSheetId="86">'430'!$L$29:$L$38</definedName>
    <definedName name="OSRRefD21_1x_8" localSheetId="87">'433'!$L$37:$L$46</definedName>
    <definedName name="OSRRefD21_1x_8" localSheetId="88">'435'!$L$25</definedName>
    <definedName name="OSRRefD21_1x_8" localSheetId="89">'444'!$L$37:$L$46</definedName>
    <definedName name="OSRRefD21_1x_8" localSheetId="90">'450'!$L$37:$L$46</definedName>
    <definedName name="OSRRefD21_1x_8" localSheetId="72">'491'!$L$38:$L$47</definedName>
    <definedName name="OSRRefD21_1x_8" localSheetId="85">'492'!$L$39:$L$48</definedName>
    <definedName name="OSRRefD21_1x_8" localSheetId="92">'501'!$L$31:$L$40</definedName>
    <definedName name="OSRRefD21_1x_8" localSheetId="39">'Div 2'!$L$31:$L$40</definedName>
    <definedName name="OSRRefD21_1x_8" localSheetId="47">'Div 3'!$L$70:$L$79</definedName>
    <definedName name="OSRRefD21_1x_8" localSheetId="70">'Div 4'!$L$41:$L$50</definedName>
    <definedName name="OSRRefD21_1x_8" localSheetId="91">'Div 5'!$L$31:$L$40</definedName>
    <definedName name="OSRRefD21_1x_8" localSheetId="61">'Div 6'!$L$45:$L$54</definedName>
    <definedName name="OSRRefD21_1x_8" localSheetId="2">Summary!$L$78:$L$87</definedName>
    <definedName name="OSRRefD21_1x_9" localSheetId="40">'200'!$M$21</definedName>
    <definedName name="OSRRefD21_1x_9" localSheetId="41">'201'!$M$29:$M$38</definedName>
    <definedName name="OSRRefD21_1x_9" localSheetId="42">'202'!$M$29:$M$38</definedName>
    <definedName name="OSRRefD21_1x_9" localSheetId="43">'203'!$M$30:$M$39</definedName>
    <definedName name="OSRRefD21_1x_9" localSheetId="44">'204'!$M$29:$M$38</definedName>
    <definedName name="OSRRefD21_1x_9" localSheetId="45">'205'!$M$29:$M$38</definedName>
    <definedName name="OSRRefD21_1x_9" localSheetId="46">'206'!$M$29:$M$38</definedName>
    <definedName name="OSRRefD21_1x_9" localSheetId="48">'300'!$M$64:$M$73</definedName>
    <definedName name="OSRRefD21_1x_9" localSheetId="49">'300 &amp; 317'!$M$70:$M$79</definedName>
    <definedName name="OSRRefD21_1x_9" localSheetId="50">'301'!$M$31:$M$40</definedName>
    <definedName name="OSRRefD21_1x_9" localSheetId="55">'307'!$M$43:$M$52</definedName>
    <definedName name="OSRRefD21_1x_9" localSheetId="51">'308'!$M$45:$M$54</definedName>
    <definedName name="OSRRefD21_1x_9" localSheetId="64">'309'!$M$28:$M$29</definedName>
    <definedName name="OSRRefD21_1x_9" localSheetId="63">'310'!$M$39:$M$48</definedName>
    <definedName name="OSRRefD21_1x_9" localSheetId="71">'310 &amp; 491'!$M$39:$M$48</definedName>
    <definedName name="OSRRefD21_1x_9" localSheetId="52">'311'!$M$45:$M$54</definedName>
    <definedName name="OSRRefD21_1x_9" localSheetId="65">'313'!$M$21</definedName>
    <definedName name="OSRRefD21_1x_9" localSheetId="57">'315'!$M$53:$M$62</definedName>
    <definedName name="OSRRefD21_1x_9" localSheetId="60">'316'!$M$36:$M$45</definedName>
    <definedName name="OSRRefD21_1x_9" localSheetId="62">'317'!$M$45:$M$54</definedName>
    <definedName name="OSRRefD21_1x_9" localSheetId="66">'321'!$M$34:$M$43</definedName>
    <definedName name="OSRRefD21_1x_9" localSheetId="68">'325'!$M$34:$M$43</definedName>
    <definedName name="OSRRefD21_1x_9" localSheetId="58">'326'!$M$37:$M$46</definedName>
    <definedName name="OSRRefD21_1x_9" localSheetId="69">'327'!$M$27</definedName>
    <definedName name="OSRRefD21_1x_9" localSheetId="56">'331'!$M$53:$M$62</definedName>
    <definedName name="OSRRefD21_1x_9" localSheetId="59">'332'!$M$36:$M$45</definedName>
    <definedName name="OSRRefD21_1x_9" localSheetId="54">'333'!$M$55:$M$64</definedName>
    <definedName name="OSRRefD21_1x_9" localSheetId="73">'405'!$M$36:$M$45</definedName>
    <definedName name="OSRRefD21_1x_9" localSheetId="75">'411'!$M$29:$M$38</definedName>
    <definedName name="OSRRefD21_1x_9" localSheetId="76">'412'!$M$21</definedName>
    <definedName name="OSRRefD21_1x_9" localSheetId="77">'413'!$M$21</definedName>
    <definedName name="OSRRefD21_1x_9" localSheetId="78">'414'!$M$21</definedName>
    <definedName name="OSRRefD21_1x_9" localSheetId="79">'415'!$M$37:$M$46</definedName>
    <definedName name="OSRRefD21_1x_9" localSheetId="80">'418'!$M$33:$M$42</definedName>
    <definedName name="OSRRefD21_1x_9" localSheetId="81">'423'!$M$28:$M$37</definedName>
    <definedName name="OSRRefD21_1x_9" localSheetId="82">'424'!$M$21</definedName>
    <definedName name="OSRRefD21_1x_9" localSheetId="83">'425'!$M$23</definedName>
    <definedName name="OSRRefD21_1x_9" localSheetId="86">'430'!$M$29:$M$38</definedName>
    <definedName name="OSRRefD21_1x_9" localSheetId="87">'433'!$M$37:$M$46</definedName>
    <definedName name="OSRRefD21_1x_9" localSheetId="88">'435'!$M$25</definedName>
    <definedName name="OSRRefD21_1x_9" localSheetId="89">'444'!$M$37:$M$46</definedName>
    <definedName name="OSRRefD21_1x_9" localSheetId="90">'450'!$M$37:$M$46</definedName>
    <definedName name="OSRRefD21_1x_9" localSheetId="72">'491'!$M$38:$M$47</definedName>
    <definedName name="OSRRefD21_1x_9" localSheetId="85">'492'!$M$39:$M$48</definedName>
    <definedName name="OSRRefD21_1x_9" localSheetId="92">'501'!$M$31:$M$40</definedName>
    <definedName name="OSRRefD21_1x_9" localSheetId="39">'Div 2'!$M$31:$M$40</definedName>
    <definedName name="OSRRefD21_1x_9" localSheetId="47">'Div 3'!$M$70:$M$79</definedName>
    <definedName name="OSRRefD21_1x_9" localSheetId="70">'Div 4'!$M$41:$M$50</definedName>
    <definedName name="OSRRefD21_1x_9" localSheetId="91">'Div 5'!$M$31:$M$40</definedName>
    <definedName name="OSRRefD21_1x_9" localSheetId="61">'Div 6'!$M$45:$M$54</definedName>
    <definedName name="OSRRefD21_1x_9" localSheetId="2">Summary!$M$78:$M$87</definedName>
    <definedName name="OSRRefD21_2_0x" localSheetId="40">'200'!$D$23:$M$23</definedName>
    <definedName name="OSRRefD21_2_0x" localSheetId="41">'201'!$D$40:$M$40</definedName>
    <definedName name="OSRRefD21_2_0x" localSheetId="42">'202'!$D$40:$M$40</definedName>
    <definedName name="OSRRefD21_2_0x" localSheetId="43">'203'!$D$41:$M$41</definedName>
    <definedName name="OSRRefD21_2_0x" localSheetId="44">'204'!$D$40:$M$40</definedName>
    <definedName name="OSRRefD21_2_0x" localSheetId="45">'205'!$D$40:$M$40</definedName>
    <definedName name="OSRRefD21_2_0x" localSheetId="46">'206'!$D$40:$M$40</definedName>
    <definedName name="OSRRefD21_2_0x" localSheetId="48">'300'!$D$75:$M$75</definedName>
    <definedName name="OSRRefD21_2_0x" localSheetId="49">'300 &amp; 317'!$D$81:$M$81</definedName>
    <definedName name="OSRRefD21_2_0x" localSheetId="50">'301'!$D$42:$M$42</definedName>
    <definedName name="OSRRefD21_2_0x" localSheetId="55">'307'!$D$54:$M$54</definedName>
    <definedName name="OSRRefD21_2_0x" localSheetId="51">'308'!$D$56:$M$56</definedName>
    <definedName name="OSRRefD21_2_0x" localSheetId="64">'309'!$D$31:$M$31</definedName>
    <definedName name="OSRRefD21_2_0x" localSheetId="63">'310'!$D$50:$M$50</definedName>
    <definedName name="OSRRefD21_2_0x" localSheetId="71">'310 &amp; 491'!$D$50:$M$50</definedName>
    <definedName name="OSRRefD21_2_0x" localSheetId="52">'311'!$D$56:$M$56</definedName>
    <definedName name="OSRRefD21_2_0x" localSheetId="65">'313'!$D$23:$M$23</definedName>
    <definedName name="OSRRefD21_2_0x" localSheetId="57">'315'!$D$64:$M$64</definedName>
    <definedName name="OSRRefD21_2_0x" localSheetId="60">'316'!$D$47:$M$47</definedName>
    <definedName name="OSRRefD21_2_0x" localSheetId="62">'317'!$D$56:$M$56</definedName>
    <definedName name="OSRRefD21_2_0x" localSheetId="66">'321'!$D$45:$M$45</definedName>
    <definedName name="OSRRefD21_2_0x" localSheetId="68">'325'!$D$45:$M$45</definedName>
    <definedName name="OSRRefD21_2_0x" localSheetId="58">'326'!$D$48:$M$48</definedName>
    <definedName name="OSRRefD21_2_0x" localSheetId="56">'331'!$D$64:$M$64</definedName>
    <definedName name="OSRRefD21_2_0x" localSheetId="59">'332'!$D$47:$M$47</definedName>
    <definedName name="OSRRefD21_2_0x" localSheetId="54">'333'!$D$66:$M$66</definedName>
    <definedName name="OSRRefD21_2_0x" localSheetId="73">'405'!$D$47:$M$47</definedName>
    <definedName name="OSRRefD21_2_0x" localSheetId="75">'411'!$D$40:$M$40</definedName>
    <definedName name="OSRRefD21_2_0x" localSheetId="76">'412'!$D$23:$M$23</definedName>
    <definedName name="OSRRefD21_2_0x" localSheetId="79">'415'!$D$48:$M$48</definedName>
    <definedName name="OSRRefD21_2_0x" localSheetId="80">'418'!$D$44:$M$44</definedName>
    <definedName name="OSRRefD21_2_0x" localSheetId="81">'423'!$D$39:$M$39</definedName>
    <definedName name="OSRRefD21_2_0x" localSheetId="83">'425'!$D$25:$M$25</definedName>
    <definedName name="OSRRefD21_2_0x" localSheetId="86">'430'!$D$40:$M$40</definedName>
    <definedName name="OSRRefD21_2_0x" localSheetId="87">'433'!$D$48:$M$48</definedName>
    <definedName name="OSRRefD21_2_0x" localSheetId="88">'435'!$D$27:$M$27</definedName>
    <definedName name="OSRRefD21_2_0x" localSheetId="89">'444'!$D$48:$M$48</definedName>
    <definedName name="OSRRefD21_2_0x" localSheetId="90">'450'!$D$48:$M$48</definedName>
    <definedName name="OSRRefD21_2_0x" localSheetId="72">'491'!$D$49:$M$49</definedName>
    <definedName name="OSRRefD21_2_0x" localSheetId="85">'492'!$D$50:$M$50</definedName>
    <definedName name="OSRRefD21_2_0x" localSheetId="92">'501'!$D$42:$M$42</definedName>
    <definedName name="OSRRefD21_2_0x" localSheetId="39">'Div 2'!$D$42:$M$42</definedName>
    <definedName name="OSRRefD21_2_0x" localSheetId="47">'Div 3'!$D$81:$M$81</definedName>
    <definedName name="OSRRefD21_2_0x" localSheetId="70">'Div 4'!$D$52:$M$52</definedName>
    <definedName name="OSRRefD21_2_0x" localSheetId="91">'Div 5'!$D$42:$M$42</definedName>
    <definedName name="OSRRefD21_2_0x" localSheetId="61">'Div 6'!$D$56:$M$56</definedName>
    <definedName name="OSRRefD21_2_0x" localSheetId="2">Summary!$D$89:$M$89</definedName>
    <definedName name="OSRRefD21_2_1x" localSheetId="44">'204'!$D$41:$M$41</definedName>
    <definedName name="OSRRefD21_20_0x" localSheetId="48">'300'!$D$123:$M$123</definedName>
    <definedName name="OSRRefD21_20_0x" localSheetId="49">'300 &amp; 317'!$D$129:$M$129</definedName>
    <definedName name="OSRRefD21_20_0x" localSheetId="50">'301'!$D$89:$M$89</definedName>
    <definedName name="OSRRefD21_20_0x" localSheetId="71">'310 &amp; 491'!$D$104:$M$104</definedName>
    <definedName name="OSRRefD21_20_0x" localSheetId="56">'331'!$D$110:$M$110</definedName>
    <definedName name="OSRRefD21_20_0x" localSheetId="54">'333'!$D$114:$M$114</definedName>
    <definedName name="OSRRefD21_20_0x" localSheetId="72">'491'!$D$102:$M$102</definedName>
    <definedName name="OSRRefD21_20_0x" localSheetId="47">'Div 3'!$D$129:$M$129</definedName>
    <definedName name="OSRRefD21_20_0x" localSheetId="70">'Div 4'!$D$105:$M$105</definedName>
    <definedName name="OSRRefD21_20_0x" localSheetId="2">Summary!$D$134:$M$134</definedName>
    <definedName name="OSRRefD21_20_1x" localSheetId="48">'300'!$D$124:$M$124</definedName>
    <definedName name="OSRRefD21_20_1x" localSheetId="49">'300 &amp; 317'!$D$130:$M$130</definedName>
    <definedName name="OSRRefD21_20_1x" localSheetId="47">'Div 3'!$D$130:$M$130</definedName>
    <definedName name="OSRRefD21_20_1x" localSheetId="2">Summary!$D$135:$M$135</definedName>
    <definedName name="OSRRefD21_20_2x" localSheetId="48">'300'!$D$125:$M$125</definedName>
    <definedName name="OSRRefD21_20_2x" localSheetId="49">'300 &amp; 317'!$D$131:$M$131</definedName>
    <definedName name="OSRRefD21_20_2x" localSheetId="2">Summary!$D$136:$M$136</definedName>
    <definedName name="OSRRefD21_20_3x" localSheetId="48">'300'!$D$126:$M$126</definedName>
    <definedName name="OSRRefD21_20_3x" localSheetId="49">'300 &amp; 317'!$D$132:$M$132</definedName>
    <definedName name="OSRRefD21_20_3x" localSheetId="2">Summary!$D$137:$M$137</definedName>
    <definedName name="OSRRefD21_20_4x" localSheetId="48">'300'!$D$127:$M$127</definedName>
    <definedName name="OSRRefD21_20_4x" localSheetId="49">'300 &amp; 317'!$D$133:$M$133</definedName>
    <definedName name="OSRRefD21_20_4x" localSheetId="2">Summary!$D$138:$M$138</definedName>
    <definedName name="OSRRefD21_20_5x" localSheetId="48">'300'!$D$128:$M$128</definedName>
    <definedName name="OSRRefD21_20_5x" localSheetId="49">'300 &amp; 317'!$D$134:$M$134</definedName>
    <definedName name="OSRRefD21_20_6x" localSheetId="48">'300'!$D$129:$M$129</definedName>
    <definedName name="OSRRefD21_20_6x" localSheetId="49">'300 &amp; 317'!$D$135:$M$135</definedName>
    <definedName name="OSRRefD21_20x_0" localSheetId="48">'300'!$D$123:$D$129</definedName>
    <definedName name="OSRRefD21_20x_0" localSheetId="49">'300 &amp; 317'!$D$129:$D$135</definedName>
    <definedName name="OSRRefD21_20x_0" localSheetId="50">'301'!$D$89</definedName>
    <definedName name="OSRRefD21_20x_0" localSheetId="71">'310 &amp; 491'!$D$104</definedName>
    <definedName name="OSRRefD21_20x_0" localSheetId="56">'331'!$D$110</definedName>
    <definedName name="OSRRefD21_20x_0" localSheetId="54">'333'!$D$114</definedName>
    <definedName name="OSRRefD21_20x_0" localSheetId="72">'491'!$D$102</definedName>
    <definedName name="OSRRefD21_20x_0" localSheetId="47">'Div 3'!$D$129:$D$130</definedName>
    <definedName name="OSRRefD21_20x_0" localSheetId="70">'Div 4'!$D$105</definedName>
    <definedName name="OSRRefD21_20x_0" localSheetId="2">Summary!$D$134:$D$138</definedName>
    <definedName name="OSRRefD21_20x_1" localSheetId="48">'300'!$E$123:$E$129</definedName>
    <definedName name="OSRRefD21_20x_1" localSheetId="49">'300 &amp; 317'!$E$129:$E$135</definedName>
    <definedName name="OSRRefD21_20x_1" localSheetId="50">'301'!$E$89</definedName>
    <definedName name="OSRRefD21_20x_1" localSheetId="71">'310 &amp; 491'!$E$104</definedName>
    <definedName name="OSRRefD21_20x_1" localSheetId="56">'331'!$E$110</definedName>
    <definedName name="OSRRefD21_20x_1" localSheetId="54">'333'!$E$114</definedName>
    <definedName name="OSRRefD21_20x_1" localSheetId="72">'491'!$E$102</definedName>
    <definedName name="OSRRefD21_20x_1" localSheetId="47">'Div 3'!$E$129:$E$130</definedName>
    <definedName name="OSRRefD21_20x_1" localSheetId="70">'Div 4'!$E$105</definedName>
    <definedName name="OSRRefD21_20x_1" localSheetId="2">Summary!$E$134:$E$138</definedName>
    <definedName name="OSRRefD21_20x_2" localSheetId="48">'300'!$F$123:$F$129</definedName>
    <definedName name="OSRRefD21_20x_2" localSheetId="49">'300 &amp; 317'!$F$129:$F$135</definedName>
    <definedName name="OSRRefD21_20x_2" localSheetId="50">'301'!$F$89</definedName>
    <definedName name="OSRRefD21_20x_2" localSheetId="71">'310 &amp; 491'!$F$104</definedName>
    <definedName name="OSRRefD21_20x_2" localSheetId="56">'331'!$F$110</definedName>
    <definedName name="OSRRefD21_20x_2" localSheetId="54">'333'!$F$114</definedName>
    <definedName name="OSRRefD21_20x_2" localSheetId="72">'491'!$F$102</definedName>
    <definedName name="OSRRefD21_20x_2" localSheetId="47">'Div 3'!$F$129:$F$130</definedName>
    <definedName name="OSRRefD21_20x_2" localSheetId="70">'Div 4'!$F$105</definedName>
    <definedName name="OSRRefD21_20x_2" localSheetId="2">Summary!$F$134:$F$138</definedName>
    <definedName name="OSRRefD21_20x_3" localSheetId="48">'300'!$G$123:$G$129</definedName>
    <definedName name="OSRRefD21_20x_3" localSheetId="49">'300 &amp; 317'!$G$129:$G$135</definedName>
    <definedName name="OSRRefD21_20x_3" localSheetId="50">'301'!$G$89</definedName>
    <definedName name="OSRRefD21_20x_3" localSheetId="71">'310 &amp; 491'!$G$104</definedName>
    <definedName name="OSRRefD21_20x_3" localSheetId="56">'331'!$G$110</definedName>
    <definedName name="OSRRefD21_20x_3" localSheetId="54">'333'!$G$114</definedName>
    <definedName name="OSRRefD21_20x_3" localSheetId="72">'491'!$G$102</definedName>
    <definedName name="OSRRefD21_20x_3" localSheetId="47">'Div 3'!$G$129:$G$130</definedName>
    <definedName name="OSRRefD21_20x_3" localSheetId="70">'Div 4'!$G$105</definedName>
    <definedName name="OSRRefD21_20x_3" localSheetId="2">Summary!$G$134:$G$138</definedName>
    <definedName name="OSRRefD21_20x_4" localSheetId="48">'300'!$H$123:$H$129</definedName>
    <definedName name="OSRRefD21_20x_4" localSheetId="49">'300 &amp; 317'!$H$129:$H$135</definedName>
    <definedName name="OSRRefD21_20x_4" localSheetId="50">'301'!$H$89</definedName>
    <definedName name="OSRRefD21_20x_4" localSheetId="71">'310 &amp; 491'!$H$104</definedName>
    <definedName name="OSRRefD21_20x_4" localSheetId="56">'331'!$H$110</definedName>
    <definedName name="OSRRefD21_20x_4" localSheetId="54">'333'!$H$114</definedName>
    <definedName name="OSRRefD21_20x_4" localSheetId="72">'491'!$H$102</definedName>
    <definedName name="OSRRefD21_20x_4" localSheetId="47">'Div 3'!$H$129:$H$130</definedName>
    <definedName name="OSRRefD21_20x_4" localSheetId="70">'Div 4'!$H$105</definedName>
    <definedName name="OSRRefD21_20x_4" localSheetId="2">Summary!$H$134:$H$138</definedName>
    <definedName name="OSRRefD21_20x_5" localSheetId="48">'300'!$I$123:$I$129</definedName>
    <definedName name="OSRRefD21_20x_5" localSheetId="49">'300 &amp; 317'!$I$129:$I$135</definedName>
    <definedName name="OSRRefD21_20x_5" localSheetId="50">'301'!$I$89</definedName>
    <definedName name="OSRRefD21_20x_5" localSheetId="71">'310 &amp; 491'!$I$104</definedName>
    <definedName name="OSRRefD21_20x_5" localSheetId="56">'331'!$I$110</definedName>
    <definedName name="OSRRefD21_20x_5" localSheetId="54">'333'!$I$114</definedName>
    <definedName name="OSRRefD21_20x_5" localSheetId="72">'491'!$I$102</definedName>
    <definedName name="OSRRefD21_20x_5" localSheetId="47">'Div 3'!$I$129:$I$130</definedName>
    <definedName name="OSRRefD21_20x_5" localSheetId="70">'Div 4'!$I$105</definedName>
    <definedName name="OSRRefD21_20x_5" localSheetId="2">Summary!$I$134:$I$138</definedName>
    <definedName name="OSRRefD21_20x_6" localSheetId="48">'300'!$J$123:$J$129</definedName>
    <definedName name="OSRRefD21_20x_6" localSheetId="49">'300 &amp; 317'!$J$129:$J$135</definedName>
    <definedName name="OSRRefD21_20x_6" localSheetId="50">'301'!$J$89</definedName>
    <definedName name="OSRRefD21_20x_6" localSheetId="71">'310 &amp; 491'!$J$104</definedName>
    <definedName name="OSRRefD21_20x_6" localSheetId="56">'331'!$J$110</definedName>
    <definedName name="OSRRefD21_20x_6" localSheetId="54">'333'!$J$114</definedName>
    <definedName name="OSRRefD21_20x_6" localSheetId="72">'491'!$J$102</definedName>
    <definedName name="OSRRefD21_20x_6" localSheetId="47">'Div 3'!$J$129:$J$130</definedName>
    <definedName name="OSRRefD21_20x_6" localSheetId="70">'Div 4'!$J$105</definedName>
    <definedName name="OSRRefD21_20x_6" localSheetId="2">Summary!$J$134:$J$138</definedName>
    <definedName name="OSRRefD21_20x_7" localSheetId="48">'300'!$K$123:$K$129</definedName>
    <definedName name="OSRRefD21_20x_7" localSheetId="49">'300 &amp; 317'!$K$129:$K$135</definedName>
    <definedName name="OSRRefD21_20x_7" localSheetId="50">'301'!$K$89</definedName>
    <definedName name="OSRRefD21_20x_7" localSheetId="71">'310 &amp; 491'!$K$104</definedName>
    <definedName name="OSRRefD21_20x_7" localSheetId="56">'331'!$K$110</definedName>
    <definedName name="OSRRefD21_20x_7" localSheetId="54">'333'!$K$114</definedName>
    <definedName name="OSRRefD21_20x_7" localSheetId="72">'491'!$K$102</definedName>
    <definedName name="OSRRefD21_20x_7" localSheetId="47">'Div 3'!$K$129:$K$130</definedName>
    <definedName name="OSRRefD21_20x_7" localSheetId="70">'Div 4'!$K$105</definedName>
    <definedName name="OSRRefD21_20x_7" localSheetId="2">Summary!$K$134:$K$138</definedName>
    <definedName name="OSRRefD21_20x_8" localSheetId="48">'300'!$L$123:$L$129</definedName>
    <definedName name="OSRRefD21_20x_8" localSheetId="49">'300 &amp; 317'!$L$129:$L$135</definedName>
    <definedName name="OSRRefD21_20x_8" localSheetId="50">'301'!$L$89</definedName>
    <definedName name="OSRRefD21_20x_8" localSheetId="71">'310 &amp; 491'!$L$104</definedName>
    <definedName name="OSRRefD21_20x_8" localSheetId="56">'331'!$L$110</definedName>
    <definedName name="OSRRefD21_20x_8" localSheetId="54">'333'!$L$114</definedName>
    <definedName name="OSRRefD21_20x_8" localSheetId="72">'491'!$L$102</definedName>
    <definedName name="OSRRefD21_20x_8" localSheetId="47">'Div 3'!$L$129:$L$130</definedName>
    <definedName name="OSRRefD21_20x_8" localSheetId="70">'Div 4'!$L$105</definedName>
    <definedName name="OSRRefD21_20x_8" localSheetId="2">Summary!$L$134:$L$138</definedName>
    <definedName name="OSRRefD21_20x_9" localSheetId="48">'300'!$M$123:$M$129</definedName>
    <definedName name="OSRRefD21_20x_9" localSheetId="49">'300 &amp; 317'!$M$129:$M$135</definedName>
    <definedName name="OSRRefD21_20x_9" localSheetId="50">'301'!$M$89</definedName>
    <definedName name="OSRRefD21_20x_9" localSheetId="71">'310 &amp; 491'!$M$104</definedName>
    <definedName name="OSRRefD21_20x_9" localSheetId="56">'331'!$M$110</definedName>
    <definedName name="OSRRefD21_20x_9" localSheetId="54">'333'!$M$114</definedName>
    <definedName name="OSRRefD21_20x_9" localSheetId="72">'491'!$M$102</definedName>
    <definedName name="OSRRefD21_20x_9" localSheetId="47">'Div 3'!$M$129:$M$130</definedName>
    <definedName name="OSRRefD21_20x_9" localSheetId="70">'Div 4'!$M$105</definedName>
    <definedName name="OSRRefD21_20x_9" localSheetId="2">Summary!$M$134:$M$138</definedName>
    <definedName name="OSRRefD21_21_0x" localSheetId="48">'300'!$D$131:$M$131</definedName>
    <definedName name="OSRRefD21_21_0x" localSheetId="49">'300 &amp; 317'!$D$137:$M$137</definedName>
    <definedName name="OSRRefD21_21_0x" localSheetId="50">'301'!$D$91:$M$91</definedName>
    <definedName name="OSRRefD21_21_0x" localSheetId="56">'331'!$D$112:$M$112</definedName>
    <definedName name="OSRRefD21_21_0x" localSheetId="54">'333'!$D$116:$M$116</definedName>
    <definedName name="OSRRefD21_21_0x" localSheetId="47">'Div 3'!$D$132:$M$132</definedName>
    <definedName name="OSRRefD21_21_0x" localSheetId="70">'Div 4'!$D$107:$M$107</definedName>
    <definedName name="OSRRefD21_21_0x" localSheetId="2">Summary!$D$140:$M$140</definedName>
    <definedName name="OSRRefD21_21_1x" localSheetId="48">'300'!$D$132:$M$132</definedName>
    <definedName name="OSRRefD21_21_1x" localSheetId="49">'300 &amp; 317'!$D$138:$M$138</definedName>
    <definedName name="OSRRefD21_21_1x" localSheetId="50">'301'!$D$92:$M$92</definedName>
    <definedName name="OSRRefD21_21_1x" localSheetId="56">'331'!$D$113:$M$113</definedName>
    <definedName name="OSRRefD21_21_1x" localSheetId="54">'333'!$D$117:$M$117</definedName>
    <definedName name="OSRRefD21_21_1x" localSheetId="47">'Div 3'!$D$133:$M$133</definedName>
    <definedName name="OSRRefD21_21_1x" localSheetId="70">'Div 4'!$D$108:$M$108</definedName>
    <definedName name="OSRRefD21_21_1x" localSheetId="2">Summary!$D$141:$M$141</definedName>
    <definedName name="OSRRefD21_21_2x" localSheetId="47">'Div 3'!$D$134:$M$134</definedName>
    <definedName name="OSRRefD21_21_3x" localSheetId="47">'Div 3'!$D$135:$M$135</definedName>
    <definedName name="OSRRefD21_21_4x" localSheetId="47">'Div 3'!$D$136:$M$136</definedName>
    <definedName name="OSRRefD21_21_5x" localSheetId="47">'Div 3'!$D$137:$M$137</definedName>
    <definedName name="OSRRefD21_21_6x" localSheetId="47">'Div 3'!$D$138:$M$138</definedName>
    <definedName name="OSRRefD21_21x_0" localSheetId="48">'300'!$D$131:$D$132</definedName>
    <definedName name="OSRRefD21_21x_0" localSheetId="49">'300 &amp; 317'!$D$137:$D$138</definedName>
    <definedName name="OSRRefD21_21x_0" localSheetId="50">'301'!$D$91:$D$92</definedName>
    <definedName name="OSRRefD21_21x_0" localSheetId="56">'331'!$D$112:$D$113</definedName>
    <definedName name="OSRRefD21_21x_0" localSheetId="54">'333'!$D$116:$D$117</definedName>
    <definedName name="OSRRefD21_21x_0" localSheetId="47">'Div 3'!$D$132:$D$138</definedName>
    <definedName name="OSRRefD21_21x_0" localSheetId="70">'Div 4'!$D$107:$D$108</definedName>
    <definedName name="OSRRefD21_21x_0" localSheetId="2">Summary!$D$140:$D$141</definedName>
    <definedName name="OSRRefD21_21x_1" localSheetId="48">'300'!$E$131:$E$132</definedName>
    <definedName name="OSRRefD21_21x_1" localSheetId="49">'300 &amp; 317'!$E$137:$E$138</definedName>
    <definedName name="OSRRefD21_21x_1" localSheetId="50">'301'!$E$91:$E$92</definedName>
    <definedName name="OSRRefD21_21x_1" localSheetId="56">'331'!$E$112:$E$113</definedName>
    <definedName name="OSRRefD21_21x_1" localSheetId="54">'333'!$E$116:$E$117</definedName>
    <definedName name="OSRRefD21_21x_1" localSheetId="47">'Div 3'!$E$132:$E$138</definedName>
    <definedName name="OSRRefD21_21x_1" localSheetId="70">'Div 4'!$E$107:$E$108</definedName>
    <definedName name="OSRRefD21_21x_1" localSheetId="2">Summary!$E$140:$E$141</definedName>
    <definedName name="OSRRefD21_21x_2" localSheetId="48">'300'!$F$131:$F$132</definedName>
    <definedName name="OSRRefD21_21x_2" localSheetId="49">'300 &amp; 317'!$F$137:$F$138</definedName>
    <definedName name="OSRRefD21_21x_2" localSheetId="50">'301'!$F$91:$F$92</definedName>
    <definedName name="OSRRefD21_21x_2" localSheetId="56">'331'!$F$112:$F$113</definedName>
    <definedName name="OSRRefD21_21x_2" localSheetId="54">'333'!$F$116:$F$117</definedName>
    <definedName name="OSRRefD21_21x_2" localSheetId="47">'Div 3'!$F$132:$F$138</definedName>
    <definedName name="OSRRefD21_21x_2" localSheetId="70">'Div 4'!$F$107:$F$108</definedName>
    <definedName name="OSRRefD21_21x_2" localSheetId="2">Summary!$F$140:$F$141</definedName>
    <definedName name="OSRRefD21_21x_3" localSheetId="48">'300'!$G$131:$G$132</definedName>
    <definedName name="OSRRefD21_21x_3" localSheetId="49">'300 &amp; 317'!$G$137:$G$138</definedName>
    <definedName name="OSRRefD21_21x_3" localSheetId="50">'301'!$G$91:$G$92</definedName>
    <definedName name="OSRRefD21_21x_3" localSheetId="56">'331'!$G$112:$G$113</definedName>
    <definedName name="OSRRefD21_21x_3" localSheetId="54">'333'!$G$116:$G$117</definedName>
    <definedName name="OSRRefD21_21x_3" localSheetId="47">'Div 3'!$G$132:$G$138</definedName>
    <definedName name="OSRRefD21_21x_3" localSheetId="70">'Div 4'!$G$107:$G$108</definedName>
    <definedName name="OSRRefD21_21x_3" localSheetId="2">Summary!$G$140:$G$141</definedName>
    <definedName name="OSRRefD21_21x_4" localSheetId="48">'300'!$H$131:$H$132</definedName>
    <definedName name="OSRRefD21_21x_4" localSheetId="49">'300 &amp; 317'!$H$137:$H$138</definedName>
    <definedName name="OSRRefD21_21x_4" localSheetId="50">'301'!$H$91:$H$92</definedName>
    <definedName name="OSRRefD21_21x_4" localSheetId="56">'331'!$H$112:$H$113</definedName>
    <definedName name="OSRRefD21_21x_4" localSheetId="54">'333'!$H$116:$H$117</definedName>
    <definedName name="OSRRefD21_21x_4" localSheetId="47">'Div 3'!$H$132:$H$138</definedName>
    <definedName name="OSRRefD21_21x_4" localSheetId="70">'Div 4'!$H$107:$H$108</definedName>
    <definedName name="OSRRefD21_21x_4" localSheetId="2">Summary!$H$140:$H$141</definedName>
    <definedName name="OSRRefD21_21x_5" localSheetId="48">'300'!$I$131:$I$132</definedName>
    <definedName name="OSRRefD21_21x_5" localSheetId="49">'300 &amp; 317'!$I$137:$I$138</definedName>
    <definedName name="OSRRefD21_21x_5" localSheetId="50">'301'!$I$91:$I$92</definedName>
    <definedName name="OSRRefD21_21x_5" localSheetId="56">'331'!$I$112:$I$113</definedName>
    <definedName name="OSRRefD21_21x_5" localSheetId="54">'333'!$I$116:$I$117</definedName>
    <definedName name="OSRRefD21_21x_5" localSheetId="47">'Div 3'!$I$132:$I$138</definedName>
    <definedName name="OSRRefD21_21x_5" localSheetId="70">'Div 4'!$I$107:$I$108</definedName>
    <definedName name="OSRRefD21_21x_5" localSheetId="2">Summary!$I$140:$I$141</definedName>
    <definedName name="OSRRefD21_21x_6" localSheetId="48">'300'!$J$131:$J$132</definedName>
    <definedName name="OSRRefD21_21x_6" localSheetId="49">'300 &amp; 317'!$J$137:$J$138</definedName>
    <definedName name="OSRRefD21_21x_6" localSheetId="50">'301'!$J$91:$J$92</definedName>
    <definedName name="OSRRefD21_21x_6" localSheetId="56">'331'!$J$112:$J$113</definedName>
    <definedName name="OSRRefD21_21x_6" localSheetId="54">'333'!$J$116:$J$117</definedName>
    <definedName name="OSRRefD21_21x_6" localSheetId="47">'Div 3'!$J$132:$J$138</definedName>
    <definedName name="OSRRefD21_21x_6" localSheetId="70">'Div 4'!$J$107:$J$108</definedName>
    <definedName name="OSRRefD21_21x_6" localSheetId="2">Summary!$J$140:$J$141</definedName>
    <definedName name="OSRRefD21_21x_7" localSheetId="48">'300'!$K$131:$K$132</definedName>
    <definedName name="OSRRefD21_21x_7" localSheetId="49">'300 &amp; 317'!$K$137:$K$138</definedName>
    <definedName name="OSRRefD21_21x_7" localSheetId="50">'301'!$K$91:$K$92</definedName>
    <definedName name="OSRRefD21_21x_7" localSheetId="56">'331'!$K$112:$K$113</definedName>
    <definedName name="OSRRefD21_21x_7" localSheetId="54">'333'!$K$116:$K$117</definedName>
    <definedName name="OSRRefD21_21x_7" localSheetId="47">'Div 3'!$K$132:$K$138</definedName>
    <definedName name="OSRRefD21_21x_7" localSheetId="70">'Div 4'!$K$107:$K$108</definedName>
    <definedName name="OSRRefD21_21x_7" localSheetId="2">Summary!$K$140:$K$141</definedName>
    <definedName name="OSRRefD21_21x_8" localSheetId="48">'300'!$L$131:$L$132</definedName>
    <definedName name="OSRRefD21_21x_8" localSheetId="49">'300 &amp; 317'!$L$137:$L$138</definedName>
    <definedName name="OSRRefD21_21x_8" localSheetId="50">'301'!$L$91:$L$92</definedName>
    <definedName name="OSRRefD21_21x_8" localSheetId="56">'331'!$L$112:$L$113</definedName>
    <definedName name="OSRRefD21_21x_8" localSheetId="54">'333'!$L$116:$L$117</definedName>
    <definedName name="OSRRefD21_21x_8" localSheetId="47">'Div 3'!$L$132:$L$138</definedName>
    <definedName name="OSRRefD21_21x_8" localSheetId="70">'Div 4'!$L$107:$L$108</definedName>
    <definedName name="OSRRefD21_21x_8" localSheetId="2">Summary!$L$140:$L$141</definedName>
    <definedName name="OSRRefD21_21x_9" localSheetId="48">'300'!$M$131:$M$132</definedName>
    <definedName name="OSRRefD21_21x_9" localSheetId="49">'300 &amp; 317'!$M$137:$M$138</definedName>
    <definedName name="OSRRefD21_21x_9" localSheetId="50">'301'!$M$91:$M$92</definedName>
    <definedName name="OSRRefD21_21x_9" localSheetId="56">'331'!$M$112:$M$113</definedName>
    <definedName name="OSRRefD21_21x_9" localSheetId="54">'333'!$M$116:$M$117</definedName>
    <definedName name="OSRRefD21_21x_9" localSheetId="47">'Div 3'!$M$132:$M$138</definedName>
    <definedName name="OSRRefD21_21x_9" localSheetId="70">'Div 4'!$M$107:$M$108</definedName>
    <definedName name="OSRRefD21_21x_9" localSheetId="2">Summary!$M$140:$M$141</definedName>
    <definedName name="OSRRefD21_22_0x" localSheetId="48">'300'!$D$134:$M$134</definedName>
    <definedName name="OSRRefD21_22_0x" localSheetId="49">'300 &amp; 317'!$D$140:$M$140</definedName>
    <definedName name="OSRRefD21_22_0x" localSheetId="50">'301'!$D$94:$M$94</definedName>
    <definedName name="OSRRefD21_22_0x" localSheetId="56">'331'!$D$115:$M$115</definedName>
    <definedName name="OSRRefD21_22_0x" localSheetId="54">'333'!$D$119:$M$119</definedName>
    <definedName name="OSRRefD21_22_0x" localSheetId="47">'Div 3'!$D$140:$M$140</definedName>
    <definedName name="OSRRefD21_22_0x" localSheetId="70">'Div 4'!$D$110:$M$110</definedName>
    <definedName name="OSRRefD21_22_0x" localSheetId="2">Summary!$D$143:$M$143</definedName>
    <definedName name="OSRRefD21_22_1x" localSheetId="47">'Div 3'!$D$141:$M$141</definedName>
    <definedName name="OSRRefD21_22_1x" localSheetId="2">Summary!$D$144:$M$144</definedName>
    <definedName name="OSRRefD21_22_2x" localSheetId="2">Summary!$D$145:$M$145</definedName>
    <definedName name="OSRRefD21_22_3x" localSheetId="2">Summary!$D$146:$M$146</definedName>
    <definedName name="OSRRefD21_22_4x" localSheetId="2">Summary!$D$147:$M$147</definedName>
    <definedName name="OSRRefD21_22_5x" localSheetId="2">Summary!$D$148:$M$148</definedName>
    <definedName name="OSRRefD21_22_6x" localSheetId="2">Summary!$D$149:$M$149</definedName>
    <definedName name="OSRRefD21_22_7x" localSheetId="2">Summary!$D$150:$M$150</definedName>
    <definedName name="OSRRefD21_22_8x" localSheetId="2">Summary!$D$151:$M$151</definedName>
    <definedName name="OSRRefD21_22_9x" localSheetId="2">Summary!$D$152:$M$152</definedName>
    <definedName name="OSRRefD21_22x_0" localSheetId="48">'300'!$D$134</definedName>
    <definedName name="OSRRefD21_22x_0" localSheetId="49">'300 &amp; 317'!$D$140</definedName>
    <definedName name="OSRRefD21_22x_0" localSheetId="50">'301'!$D$94</definedName>
    <definedName name="OSRRefD21_22x_0" localSheetId="56">'331'!$D$115</definedName>
    <definedName name="OSRRefD21_22x_0" localSheetId="54">'333'!$D$119</definedName>
    <definedName name="OSRRefD21_22x_0" localSheetId="47">'Div 3'!$D$140:$D$141</definedName>
    <definedName name="OSRRefD21_22x_0" localSheetId="70">'Div 4'!$D$110</definedName>
    <definedName name="OSRRefD21_22x_0" localSheetId="2">Summary!$D$143:$D$152</definedName>
    <definedName name="OSRRefD21_22x_1" localSheetId="48">'300'!$E$134</definedName>
    <definedName name="OSRRefD21_22x_1" localSheetId="49">'300 &amp; 317'!$E$140</definedName>
    <definedName name="OSRRefD21_22x_1" localSheetId="50">'301'!$E$94</definedName>
    <definedName name="OSRRefD21_22x_1" localSheetId="56">'331'!$E$115</definedName>
    <definedName name="OSRRefD21_22x_1" localSheetId="54">'333'!$E$119</definedName>
    <definedName name="OSRRefD21_22x_1" localSheetId="47">'Div 3'!$E$140:$E$141</definedName>
    <definedName name="OSRRefD21_22x_1" localSheetId="70">'Div 4'!$E$110</definedName>
    <definedName name="OSRRefD21_22x_1" localSheetId="2">Summary!$E$143:$E$152</definedName>
    <definedName name="OSRRefD21_22x_2" localSheetId="48">'300'!$F$134</definedName>
    <definedName name="OSRRefD21_22x_2" localSheetId="49">'300 &amp; 317'!$F$140</definedName>
    <definedName name="OSRRefD21_22x_2" localSheetId="50">'301'!$F$94</definedName>
    <definedName name="OSRRefD21_22x_2" localSheetId="56">'331'!$F$115</definedName>
    <definedName name="OSRRefD21_22x_2" localSheetId="54">'333'!$F$119</definedName>
    <definedName name="OSRRefD21_22x_2" localSheetId="47">'Div 3'!$F$140:$F$141</definedName>
    <definedName name="OSRRefD21_22x_2" localSheetId="70">'Div 4'!$F$110</definedName>
    <definedName name="OSRRefD21_22x_2" localSheetId="2">Summary!$F$143:$F$152</definedName>
    <definedName name="OSRRefD21_22x_3" localSheetId="48">'300'!$G$134</definedName>
    <definedName name="OSRRefD21_22x_3" localSheetId="49">'300 &amp; 317'!$G$140</definedName>
    <definedName name="OSRRefD21_22x_3" localSheetId="50">'301'!$G$94</definedName>
    <definedName name="OSRRefD21_22x_3" localSheetId="56">'331'!$G$115</definedName>
    <definedName name="OSRRefD21_22x_3" localSheetId="54">'333'!$G$119</definedName>
    <definedName name="OSRRefD21_22x_3" localSheetId="47">'Div 3'!$G$140:$G$141</definedName>
    <definedName name="OSRRefD21_22x_3" localSheetId="70">'Div 4'!$G$110</definedName>
    <definedName name="OSRRefD21_22x_3" localSheetId="2">Summary!$G$143:$G$152</definedName>
    <definedName name="OSRRefD21_22x_4" localSheetId="48">'300'!$H$134</definedName>
    <definedName name="OSRRefD21_22x_4" localSheetId="49">'300 &amp; 317'!$H$140</definedName>
    <definedName name="OSRRefD21_22x_4" localSheetId="50">'301'!$H$94</definedName>
    <definedName name="OSRRefD21_22x_4" localSheetId="56">'331'!$H$115</definedName>
    <definedName name="OSRRefD21_22x_4" localSheetId="54">'333'!$H$119</definedName>
    <definedName name="OSRRefD21_22x_4" localSheetId="47">'Div 3'!$H$140:$H$141</definedName>
    <definedName name="OSRRefD21_22x_4" localSheetId="70">'Div 4'!$H$110</definedName>
    <definedName name="OSRRefD21_22x_4" localSheetId="2">Summary!$H$143:$H$152</definedName>
    <definedName name="OSRRefD21_22x_5" localSheetId="48">'300'!$I$134</definedName>
    <definedName name="OSRRefD21_22x_5" localSheetId="49">'300 &amp; 317'!$I$140</definedName>
    <definedName name="OSRRefD21_22x_5" localSheetId="50">'301'!$I$94</definedName>
    <definedName name="OSRRefD21_22x_5" localSheetId="56">'331'!$I$115</definedName>
    <definedName name="OSRRefD21_22x_5" localSheetId="54">'333'!$I$119</definedName>
    <definedName name="OSRRefD21_22x_5" localSheetId="47">'Div 3'!$I$140:$I$141</definedName>
    <definedName name="OSRRefD21_22x_5" localSheetId="70">'Div 4'!$I$110</definedName>
    <definedName name="OSRRefD21_22x_5" localSheetId="2">Summary!$I$143:$I$152</definedName>
    <definedName name="OSRRefD21_22x_6" localSheetId="48">'300'!$J$134</definedName>
    <definedName name="OSRRefD21_22x_6" localSheetId="49">'300 &amp; 317'!$J$140</definedName>
    <definedName name="OSRRefD21_22x_6" localSheetId="50">'301'!$J$94</definedName>
    <definedName name="OSRRefD21_22x_6" localSheetId="56">'331'!$J$115</definedName>
    <definedName name="OSRRefD21_22x_6" localSheetId="54">'333'!$J$119</definedName>
    <definedName name="OSRRefD21_22x_6" localSheetId="47">'Div 3'!$J$140:$J$141</definedName>
    <definedName name="OSRRefD21_22x_6" localSheetId="70">'Div 4'!$J$110</definedName>
    <definedName name="OSRRefD21_22x_6" localSheetId="2">Summary!$J$143:$J$152</definedName>
    <definedName name="OSRRefD21_22x_7" localSheetId="48">'300'!$K$134</definedName>
    <definedName name="OSRRefD21_22x_7" localSheetId="49">'300 &amp; 317'!$K$140</definedName>
    <definedName name="OSRRefD21_22x_7" localSheetId="50">'301'!$K$94</definedName>
    <definedName name="OSRRefD21_22x_7" localSheetId="56">'331'!$K$115</definedName>
    <definedName name="OSRRefD21_22x_7" localSheetId="54">'333'!$K$119</definedName>
    <definedName name="OSRRefD21_22x_7" localSheetId="47">'Div 3'!$K$140:$K$141</definedName>
    <definedName name="OSRRefD21_22x_7" localSheetId="70">'Div 4'!$K$110</definedName>
    <definedName name="OSRRefD21_22x_7" localSheetId="2">Summary!$K$143:$K$152</definedName>
    <definedName name="OSRRefD21_22x_8" localSheetId="48">'300'!$L$134</definedName>
    <definedName name="OSRRefD21_22x_8" localSheetId="49">'300 &amp; 317'!$L$140</definedName>
    <definedName name="OSRRefD21_22x_8" localSheetId="50">'301'!$L$94</definedName>
    <definedName name="OSRRefD21_22x_8" localSheetId="56">'331'!$L$115</definedName>
    <definedName name="OSRRefD21_22x_8" localSheetId="54">'333'!$L$119</definedName>
    <definedName name="OSRRefD21_22x_8" localSheetId="47">'Div 3'!$L$140:$L$141</definedName>
    <definedName name="OSRRefD21_22x_8" localSheetId="70">'Div 4'!$L$110</definedName>
    <definedName name="OSRRefD21_22x_8" localSheetId="2">Summary!$L$143:$L$152</definedName>
    <definedName name="OSRRefD21_22x_9" localSheetId="48">'300'!$M$134</definedName>
    <definedName name="OSRRefD21_22x_9" localSheetId="49">'300 &amp; 317'!$M$140</definedName>
    <definedName name="OSRRefD21_22x_9" localSheetId="50">'301'!$M$94</definedName>
    <definedName name="OSRRefD21_22x_9" localSheetId="56">'331'!$M$115</definedName>
    <definedName name="OSRRefD21_22x_9" localSheetId="54">'333'!$M$119</definedName>
    <definedName name="OSRRefD21_22x_9" localSheetId="47">'Div 3'!$M$140:$M$141</definedName>
    <definedName name="OSRRefD21_22x_9" localSheetId="70">'Div 4'!$M$110</definedName>
    <definedName name="OSRRefD21_22x_9" localSheetId="2">Summary!$M$143:$M$152</definedName>
    <definedName name="OSRRefD21_23_0x" localSheetId="48">'300'!$D$136:$M$136</definedName>
    <definedName name="OSRRefD21_23_0x" localSheetId="49">'300 &amp; 317'!$D$142:$M$142</definedName>
    <definedName name="OSRRefD21_23_0x" localSheetId="47">'Div 3'!$D$143:$M$143</definedName>
    <definedName name="OSRRefD21_23_0x" localSheetId="2">Summary!$D$154:$M$154</definedName>
    <definedName name="OSRRefD21_23_1x" localSheetId="48">'300'!$D$137:$M$137</definedName>
    <definedName name="OSRRefD21_23_1x" localSheetId="49">'300 &amp; 317'!$D$143:$M$143</definedName>
    <definedName name="OSRRefD21_23_1x" localSheetId="2">Summary!$D$155:$M$155</definedName>
    <definedName name="OSRRefD21_23_2x" localSheetId="48">'300'!$D$138:$M$138</definedName>
    <definedName name="OSRRefD21_23_2x" localSheetId="49">'300 &amp; 317'!$D$144:$M$144</definedName>
    <definedName name="OSRRefD21_23x_0" localSheetId="48">'300'!$D$136:$D$138</definedName>
    <definedName name="OSRRefD21_23x_0" localSheetId="49">'300 &amp; 317'!$D$142:$D$144</definedName>
    <definedName name="OSRRefD21_23x_0" localSheetId="47">'Div 3'!$D$143</definedName>
    <definedName name="OSRRefD21_23x_0" localSheetId="2">Summary!$D$154:$D$155</definedName>
    <definedName name="OSRRefD21_23x_1" localSheetId="48">'300'!$E$136:$E$138</definedName>
    <definedName name="OSRRefD21_23x_1" localSheetId="49">'300 &amp; 317'!$E$142:$E$144</definedName>
    <definedName name="OSRRefD21_23x_1" localSheetId="47">'Div 3'!$E$143</definedName>
    <definedName name="OSRRefD21_23x_1" localSheetId="2">Summary!$E$154:$E$155</definedName>
    <definedName name="OSRRefD21_23x_2" localSheetId="48">'300'!$F$136:$F$138</definedName>
    <definedName name="OSRRefD21_23x_2" localSheetId="49">'300 &amp; 317'!$F$142:$F$144</definedName>
    <definedName name="OSRRefD21_23x_2" localSheetId="47">'Div 3'!$F$143</definedName>
    <definedName name="OSRRefD21_23x_2" localSheetId="2">Summary!$F$154:$F$155</definedName>
    <definedName name="OSRRefD21_23x_3" localSheetId="48">'300'!$G$136:$G$138</definedName>
    <definedName name="OSRRefD21_23x_3" localSheetId="49">'300 &amp; 317'!$G$142:$G$144</definedName>
    <definedName name="OSRRefD21_23x_3" localSheetId="47">'Div 3'!$G$143</definedName>
    <definedName name="OSRRefD21_23x_3" localSheetId="2">Summary!$G$154:$G$155</definedName>
    <definedName name="OSRRefD21_23x_4" localSheetId="48">'300'!$H$136:$H$138</definedName>
    <definedName name="OSRRefD21_23x_4" localSheetId="49">'300 &amp; 317'!$H$142:$H$144</definedName>
    <definedName name="OSRRefD21_23x_4" localSheetId="47">'Div 3'!$H$143</definedName>
    <definedName name="OSRRefD21_23x_4" localSheetId="2">Summary!$H$154:$H$155</definedName>
    <definedName name="OSRRefD21_23x_5" localSheetId="48">'300'!$I$136:$I$138</definedName>
    <definedName name="OSRRefD21_23x_5" localSheetId="49">'300 &amp; 317'!$I$142:$I$144</definedName>
    <definedName name="OSRRefD21_23x_5" localSheetId="47">'Div 3'!$I$143</definedName>
    <definedName name="OSRRefD21_23x_5" localSheetId="2">Summary!$I$154:$I$155</definedName>
    <definedName name="OSRRefD21_23x_6" localSheetId="48">'300'!$J$136:$J$138</definedName>
    <definedName name="OSRRefD21_23x_6" localSheetId="49">'300 &amp; 317'!$J$142:$J$144</definedName>
    <definedName name="OSRRefD21_23x_6" localSheetId="47">'Div 3'!$J$143</definedName>
    <definedName name="OSRRefD21_23x_6" localSheetId="2">Summary!$J$154:$J$155</definedName>
    <definedName name="OSRRefD21_23x_7" localSheetId="48">'300'!$K$136:$K$138</definedName>
    <definedName name="OSRRefD21_23x_7" localSheetId="49">'300 &amp; 317'!$K$142:$K$144</definedName>
    <definedName name="OSRRefD21_23x_7" localSheetId="47">'Div 3'!$K$143</definedName>
    <definedName name="OSRRefD21_23x_7" localSheetId="2">Summary!$K$154:$K$155</definedName>
    <definedName name="OSRRefD21_23x_8" localSheetId="48">'300'!$L$136:$L$138</definedName>
    <definedName name="OSRRefD21_23x_8" localSheetId="49">'300 &amp; 317'!$L$142:$L$144</definedName>
    <definedName name="OSRRefD21_23x_8" localSheetId="47">'Div 3'!$L$143</definedName>
    <definedName name="OSRRefD21_23x_8" localSheetId="2">Summary!$L$154:$L$155</definedName>
    <definedName name="OSRRefD21_23x_9" localSheetId="48">'300'!$M$136:$M$138</definedName>
    <definedName name="OSRRefD21_23x_9" localSheetId="49">'300 &amp; 317'!$M$142:$M$144</definedName>
    <definedName name="OSRRefD21_23x_9" localSheetId="47">'Div 3'!$M$143</definedName>
    <definedName name="OSRRefD21_23x_9" localSheetId="2">Summary!$M$154:$M$155</definedName>
    <definedName name="OSRRefD21_24_0x" localSheetId="48">'300'!$D$140:$M$140</definedName>
    <definedName name="OSRRefD21_24_0x" localSheetId="49">'300 &amp; 317'!$D$146:$M$146</definedName>
    <definedName name="OSRRefD21_24_0x" localSheetId="47">'Div 3'!$D$145:$M$145</definedName>
    <definedName name="OSRRefD21_24_0x" localSheetId="2">Summary!$D$157:$M$157</definedName>
    <definedName name="OSRRefD21_24_1x" localSheetId="47">'Div 3'!$D$146:$M$146</definedName>
    <definedName name="OSRRefD21_24_2x" localSheetId="47">'Div 3'!$D$147:$M$147</definedName>
    <definedName name="OSRRefD21_24x_0" localSheetId="48">'300'!$D$140</definedName>
    <definedName name="OSRRefD21_24x_0" localSheetId="49">'300 &amp; 317'!$D$146</definedName>
    <definedName name="OSRRefD21_24x_0" localSheetId="47">'Div 3'!$D$145:$D$147</definedName>
    <definedName name="OSRRefD21_24x_0" localSheetId="2">Summary!$D$157</definedName>
    <definedName name="OSRRefD21_24x_1" localSheetId="48">'300'!$E$140</definedName>
    <definedName name="OSRRefD21_24x_1" localSheetId="49">'300 &amp; 317'!$E$146</definedName>
    <definedName name="OSRRefD21_24x_1" localSheetId="47">'Div 3'!$E$145:$E$147</definedName>
    <definedName name="OSRRefD21_24x_1" localSheetId="2">Summary!$E$157</definedName>
    <definedName name="OSRRefD21_24x_2" localSheetId="48">'300'!$F$140</definedName>
    <definedName name="OSRRefD21_24x_2" localSheetId="49">'300 &amp; 317'!$F$146</definedName>
    <definedName name="OSRRefD21_24x_2" localSheetId="47">'Div 3'!$F$145:$F$147</definedName>
    <definedName name="OSRRefD21_24x_2" localSheetId="2">Summary!$F$157</definedName>
    <definedName name="OSRRefD21_24x_3" localSheetId="48">'300'!$G$140</definedName>
    <definedName name="OSRRefD21_24x_3" localSheetId="49">'300 &amp; 317'!$G$146</definedName>
    <definedName name="OSRRefD21_24x_3" localSheetId="47">'Div 3'!$G$145:$G$147</definedName>
    <definedName name="OSRRefD21_24x_3" localSheetId="2">Summary!$G$157</definedName>
    <definedName name="OSRRefD21_24x_4" localSheetId="48">'300'!$H$140</definedName>
    <definedName name="OSRRefD21_24x_4" localSheetId="49">'300 &amp; 317'!$H$146</definedName>
    <definedName name="OSRRefD21_24x_4" localSheetId="47">'Div 3'!$H$145:$H$147</definedName>
    <definedName name="OSRRefD21_24x_4" localSheetId="2">Summary!$H$157</definedName>
    <definedName name="OSRRefD21_24x_5" localSheetId="48">'300'!$I$140</definedName>
    <definedName name="OSRRefD21_24x_5" localSheetId="49">'300 &amp; 317'!$I$146</definedName>
    <definedName name="OSRRefD21_24x_5" localSheetId="47">'Div 3'!$I$145:$I$147</definedName>
    <definedName name="OSRRefD21_24x_5" localSheetId="2">Summary!$I$157</definedName>
    <definedName name="OSRRefD21_24x_6" localSheetId="48">'300'!$J$140</definedName>
    <definedName name="OSRRefD21_24x_6" localSheetId="49">'300 &amp; 317'!$J$146</definedName>
    <definedName name="OSRRefD21_24x_6" localSheetId="47">'Div 3'!$J$145:$J$147</definedName>
    <definedName name="OSRRefD21_24x_6" localSheetId="2">Summary!$J$157</definedName>
    <definedName name="OSRRefD21_24x_7" localSheetId="48">'300'!$K$140</definedName>
    <definedName name="OSRRefD21_24x_7" localSheetId="49">'300 &amp; 317'!$K$146</definedName>
    <definedName name="OSRRefD21_24x_7" localSheetId="47">'Div 3'!$K$145:$K$147</definedName>
    <definedName name="OSRRefD21_24x_7" localSheetId="2">Summary!$K$157</definedName>
    <definedName name="OSRRefD21_24x_8" localSheetId="48">'300'!$L$140</definedName>
    <definedName name="OSRRefD21_24x_8" localSheetId="49">'300 &amp; 317'!$L$146</definedName>
    <definedName name="OSRRefD21_24x_8" localSheetId="47">'Div 3'!$L$145:$L$147</definedName>
    <definedName name="OSRRefD21_24x_8" localSheetId="2">Summary!$L$157</definedName>
    <definedName name="OSRRefD21_24x_9" localSheetId="48">'300'!$M$140</definedName>
    <definedName name="OSRRefD21_24x_9" localSheetId="49">'300 &amp; 317'!$M$146</definedName>
    <definedName name="OSRRefD21_24x_9" localSheetId="47">'Div 3'!$M$145:$M$147</definedName>
    <definedName name="OSRRefD21_24x_9" localSheetId="2">Summary!$M$157</definedName>
    <definedName name="OSRRefD21_25_0x" localSheetId="47">'Div 3'!$D$149:$M$149</definedName>
    <definedName name="OSRRefD21_25_0x" localSheetId="2">Summary!$D$159:$M$159</definedName>
    <definedName name="OSRRefD21_25_1x" localSheetId="2">Summary!$D$160:$M$160</definedName>
    <definedName name="OSRRefD21_25_2x" localSheetId="2">Summary!$D$161:$M$161</definedName>
    <definedName name="OSRRefD21_25x_0" localSheetId="47">'Div 3'!$D$149</definedName>
    <definedName name="OSRRefD21_25x_0" localSheetId="2">Summary!$D$159:$D$161</definedName>
    <definedName name="OSRRefD21_25x_1" localSheetId="47">'Div 3'!$E$149</definedName>
    <definedName name="OSRRefD21_25x_1" localSheetId="2">Summary!$E$159:$E$161</definedName>
    <definedName name="OSRRefD21_25x_2" localSheetId="47">'Div 3'!$F$149</definedName>
    <definedName name="OSRRefD21_25x_2" localSheetId="2">Summary!$F$159:$F$161</definedName>
    <definedName name="OSRRefD21_25x_3" localSheetId="47">'Div 3'!$G$149</definedName>
    <definedName name="OSRRefD21_25x_3" localSheetId="2">Summary!$G$159:$G$161</definedName>
    <definedName name="OSRRefD21_25x_4" localSheetId="47">'Div 3'!$H$149</definedName>
    <definedName name="OSRRefD21_25x_4" localSheetId="2">Summary!$H$159:$H$161</definedName>
    <definedName name="OSRRefD21_25x_5" localSheetId="47">'Div 3'!$I$149</definedName>
    <definedName name="OSRRefD21_25x_5" localSheetId="2">Summary!$I$159:$I$161</definedName>
    <definedName name="OSRRefD21_25x_6" localSheetId="47">'Div 3'!$J$149</definedName>
    <definedName name="OSRRefD21_25x_6" localSheetId="2">Summary!$J$159:$J$161</definedName>
    <definedName name="OSRRefD21_25x_7" localSheetId="47">'Div 3'!$K$149</definedName>
    <definedName name="OSRRefD21_25x_7" localSheetId="2">Summary!$K$159:$K$161</definedName>
    <definedName name="OSRRefD21_25x_8" localSheetId="47">'Div 3'!$L$149</definedName>
    <definedName name="OSRRefD21_25x_8" localSheetId="2">Summary!$L$159:$L$161</definedName>
    <definedName name="OSRRefD21_25x_9" localSheetId="47">'Div 3'!$M$149</definedName>
    <definedName name="OSRRefD21_25x_9" localSheetId="2">Summary!$M$159:$M$161</definedName>
    <definedName name="OSRRefD21_26_0x" localSheetId="2">Summary!$D$163:$M$163</definedName>
    <definedName name="OSRRefD21_26x_0" localSheetId="2">Summary!$D$163</definedName>
    <definedName name="OSRRefD21_26x_1" localSheetId="2">Summary!$E$163</definedName>
    <definedName name="OSRRefD21_26x_2" localSheetId="2">Summary!$F$163</definedName>
    <definedName name="OSRRefD21_26x_3" localSheetId="2">Summary!$G$163</definedName>
    <definedName name="OSRRefD21_26x_4" localSheetId="2">Summary!$H$163</definedName>
    <definedName name="OSRRefD21_26x_5" localSheetId="2">Summary!$I$163</definedName>
    <definedName name="OSRRefD21_26x_6" localSheetId="2">Summary!$J$163</definedName>
    <definedName name="OSRRefD21_26x_7" localSheetId="2">Summary!$K$163</definedName>
    <definedName name="OSRRefD21_26x_8" localSheetId="2">Summary!$L$163</definedName>
    <definedName name="OSRRefD21_26x_9" localSheetId="2">Summary!$M$163</definedName>
    <definedName name="OSRRefD21_2x_0" localSheetId="40">'200'!$D$23</definedName>
    <definedName name="OSRRefD21_2x_0" localSheetId="41">'201'!$D$40</definedName>
    <definedName name="OSRRefD21_2x_0" localSheetId="42">'202'!$D$40</definedName>
    <definedName name="OSRRefD21_2x_0" localSheetId="43">'203'!$D$41</definedName>
    <definedName name="OSRRefD21_2x_0" localSheetId="44">'204'!$D$40:$D$41</definedName>
    <definedName name="OSRRefD21_2x_0" localSheetId="45">'205'!$D$40</definedName>
    <definedName name="OSRRefD21_2x_0" localSheetId="46">'206'!$D$40</definedName>
    <definedName name="OSRRefD21_2x_0" localSheetId="48">'300'!$D$75</definedName>
    <definedName name="OSRRefD21_2x_0" localSheetId="49">'300 &amp; 317'!$D$81</definedName>
    <definedName name="OSRRefD21_2x_0" localSheetId="50">'301'!$D$42</definedName>
    <definedName name="OSRRefD21_2x_0" localSheetId="55">'307'!$D$54</definedName>
    <definedName name="OSRRefD21_2x_0" localSheetId="51">'308'!$D$56</definedName>
    <definedName name="OSRRefD21_2x_0" localSheetId="64">'309'!$D$31</definedName>
    <definedName name="OSRRefD21_2x_0" localSheetId="63">'310'!$D$50</definedName>
    <definedName name="OSRRefD21_2x_0" localSheetId="71">'310 &amp; 491'!$D$50</definedName>
    <definedName name="OSRRefD21_2x_0" localSheetId="52">'311'!$D$56</definedName>
    <definedName name="OSRRefD21_2x_0" localSheetId="65">'313'!$D$23</definedName>
    <definedName name="OSRRefD21_2x_0" localSheetId="57">'315'!$D$64</definedName>
    <definedName name="OSRRefD21_2x_0" localSheetId="60">'316'!$D$47</definedName>
    <definedName name="OSRRefD21_2x_0" localSheetId="62">'317'!$D$56</definedName>
    <definedName name="OSRRefD21_2x_0" localSheetId="66">'321'!$D$45</definedName>
    <definedName name="OSRRefD21_2x_0" localSheetId="68">'325'!$D$45</definedName>
    <definedName name="OSRRefD21_2x_0" localSheetId="58">'326'!$D$48</definedName>
    <definedName name="OSRRefD21_2x_0" localSheetId="56">'331'!$D$64</definedName>
    <definedName name="OSRRefD21_2x_0" localSheetId="59">'332'!$D$47</definedName>
    <definedName name="OSRRefD21_2x_0" localSheetId="54">'333'!$D$66</definedName>
    <definedName name="OSRRefD21_2x_0" localSheetId="73">'405'!$D$47</definedName>
    <definedName name="OSRRefD21_2x_0" localSheetId="75">'411'!$D$40</definedName>
    <definedName name="OSRRefD21_2x_0" localSheetId="76">'412'!$D$23</definedName>
    <definedName name="OSRRefD21_2x_0" localSheetId="79">'415'!$D$48</definedName>
    <definedName name="OSRRefD21_2x_0" localSheetId="80">'418'!$D$44</definedName>
    <definedName name="OSRRefD21_2x_0" localSheetId="81">'423'!$D$39</definedName>
    <definedName name="OSRRefD21_2x_0" localSheetId="83">'425'!$D$25</definedName>
    <definedName name="OSRRefD21_2x_0" localSheetId="86">'430'!$D$40</definedName>
    <definedName name="OSRRefD21_2x_0" localSheetId="87">'433'!$D$48</definedName>
    <definedName name="OSRRefD21_2x_0" localSheetId="88">'435'!$D$27</definedName>
    <definedName name="OSRRefD21_2x_0" localSheetId="89">'444'!$D$48</definedName>
    <definedName name="OSRRefD21_2x_0" localSheetId="90">'450'!$D$48</definedName>
    <definedName name="OSRRefD21_2x_0" localSheetId="72">'491'!$D$49</definedName>
    <definedName name="OSRRefD21_2x_0" localSheetId="85">'492'!$D$50</definedName>
    <definedName name="OSRRefD21_2x_0" localSheetId="92">'501'!$D$42</definedName>
    <definedName name="OSRRefD21_2x_0" localSheetId="39">'Div 2'!$D$42</definedName>
    <definedName name="OSRRefD21_2x_0" localSheetId="47">'Div 3'!$D$81</definedName>
    <definedName name="OSRRefD21_2x_0" localSheetId="70">'Div 4'!$D$52</definedName>
    <definedName name="OSRRefD21_2x_0" localSheetId="91">'Div 5'!$D$42</definedName>
    <definedName name="OSRRefD21_2x_0" localSheetId="61">'Div 6'!$D$56</definedName>
    <definedName name="OSRRefD21_2x_0" localSheetId="2">Summary!$D$89</definedName>
    <definedName name="OSRRefD21_2x_1" localSheetId="40">'200'!$E$23</definedName>
    <definedName name="OSRRefD21_2x_1" localSheetId="41">'201'!$E$40</definedName>
    <definedName name="OSRRefD21_2x_1" localSheetId="42">'202'!$E$40</definedName>
    <definedName name="OSRRefD21_2x_1" localSheetId="43">'203'!$E$41</definedName>
    <definedName name="OSRRefD21_2x_1" localSheetId="44">'204'!$E$40:$E$41</definedName>
    <definedName name="OSRRefD21_2x_1" localSheetId="45">'205'!$E$40</definedName>
    <definedName name="OSRRefD21_2x_1" localSheetId="46">'206'!$E$40</definedName>
    <definedName name="OSRRefD21_2x_1" localSheetId="48">'300'!$E$75</definedName>
    <definedName name="OSRRefD21_2x_1" localSheetId="49">'300 &amp; 317'!$E$81</definedName>
    <definedName name="OSRRefD21_2x_1" localSheetId="50">'301'!$E$42</definedName>
    <definedName name="OSRRefD21_2x_1" localSheetId="55">'307'!$E$54</definedName>
    <definedName name="OSRRefD21_2x_1" localSheetId="51">'308'!$E$56</definedName>
    <definedName name="OSRRefD21_2x_1" localSheetId="64">'309'!$E$31</definedName>
    <definedName name="OSRRefD21_2x_1" localSheetId="63">'310'!$E$50</definedName>
    <definedName name="OSRRefD21_2x_1" localSheetId="71">'310 &amp; 491'!$E$50</definedName>
    <definedName name="OSRRefD21_2x_1" localSheetId="52">'311'!$E$56</definedName>
    <definedName name="OSRRefD21_2x_1" localSheetId="65">'313'!$E$23</definedName>
    <definedName name="OSRRefD21_2x_1" localSheetId="57">'315'!$E$64</definedName>
    <definedName name="OSRRefD21_2x_1" localSheetId="60">'316'!$E$47</definedName>
    <definedName name="OSRRefD21_2x_1" localSheetId="62">'317'!$E$56</definedName>
    <definedName name="OSRRefD21_2x_1" localSheetId="66">'321'!$E$45</definedName>
    <definedName name="OSRRefD21_2x_1" localSheetId="68">'325'!$E$45</definedName>
    <definedName name="OSRRefD21_2x_1" localSheetId="58">'326'!$E$48</definedName>
    <definedName name="OSRRefD21_2x_1" localSheetId="56">'331'!$E$64</definedName>
    <definedName name="OSRRefD21_2x_1" localSheetId="59">'332'!$E$47</definedName>
    <definedName name="OSRRefD21_2x_1" localSheetId="54">'333'!$E$66</definedName>
    <definedName name="OSRRefD21_2x_1" localSheetId="73">'405'!$E$47</definedName>
    <definedName name="OSRRefD21_2x_1" localSheetId="75">'411'!$E$40</definedName>
    <definedName name="OSRRefD21_2x_1" localSheetId="76">'412'!$E$23</definedName>
    <definedName name="OSRRefD21_2x_1" localSheetId="79">'415'!$E$48</definedName>
    <definedName name="OSRRefD21_2x_1" localSheetId="80">'418'!$E$44</definedName>
    <definedName name="OSRRefD21_2x_1" localSheetId="81">'423'!$E$39</definedName>
    <definedName name="OSRRefD21_2x_1" localSheetId="83">'425'!$E$25</definedName>
    <definedName name="OSRRefD21_2x_1" localSheetId="86">'430'!$E$40</definedName>
    <definedName name="OSRRefD21_2x_1" localSheetId="87">'433'!$E$48</definedName>
    <definedName name="OSRRefD21_2x_1" localSheetId="88">'435'!$E$27</definedName>
    <definedName name="OSRRefD21_2x_1" localSheetId="89">'444'!$E$48</definedName>
    <definedName name="OSRRefD21_2x_1" localSheetId="90">'450'!$E$48</definedName>
    <definedName name="OSRRefD21_2x_1" localSheetId="72">'491'!$E$49</definedName>
    <definedName name="OSRRefD21_2x_1" localSheetId="85">'492'!$E$50</definedName>
    <definedName name="OSRRefD21_2x_1" localSheetId="92">'501'!$E$42</definedName>
    <definedName name="OSRRefD21_2x_1" localSheetId="39">'Div 2'!$E$42</definedName>
    <definedName name="OSRRefD21_2x_1" localSheetId="47">'Div 3'!$E$81</definedName>
    <definedName name="OSRRefD21_2x_1" localSheetId="70">'Div 4'!$E$52</definedName>
    <definedName name="OSRRefD21_2x_1" localSheetId="91">'Div 5'!$E$42</definedName>
    <definedName name="OSRRefD21_2x_1" localSheetId="61">'Div 6'!$E$56</definedName>
    <definedName name="OSRRefD21_2x_1" localSheetId="2">Summary!$E$89</definedName>
    <definedName name="OSRRefD21_2x_2" localSheetId="40">'200'!$F$23</definedName>
    <definedName name="OSRRefD21_2x_2" localSheetId="41">'201'!$F$40</definedName>
    <definedName name="OSRRefD21_2x_2" localSheetId="42">'202'!$F$40</definedName>
    <definedName name="OSRRefD21_2x_2" localSheetId="43">'203'!$F$41</definedName>
    <definedName name="OSRRefD21_2x_2" localSheetId="44">'204'!$F$40:$F$41</definedName>
    <definedName name="OSRRefD21_2x_2" localSheetId="45">'205'!$F$40</definedName>
    <definedName name="OSRRefD21_2x_2" localSheetId="46">'206'!$F$40</definedName>
    <definedName name="OSRRefD21_2x_2" localSheetId="48">'300'!$F$75</definedName>
    <definedName name="OSRRefD21_2x_2" localSheetId="49">'300 &amp; 317'!$F$81</definedName>
    <definedName name="OSRRefD21_2x_2" localSheetId="50">'301'!$F$42</definedName>
    <definedName name="OSRRefD21_2x_2" localSheetId="55">'307'!$F$54</definedName>
    <definedName name="OSRRefD21_2x_2" localSheetId="51">'308'!$F$56</definedName>
    <definedName name="OSRRefD21_2x_2" localSheetId="64">'309'!$F$31</definedName>
    <definedName name="OSRRefD21_2x_2" localSheetId="63">'310'!$F$50</definedName>
    <definedName name="OSRRefD21_2x_2" localSheetId="71">'310 &amp; 491'!$F$50</definedName>
    <definedName name="OSRRefD21_2x_2" localSheetId="52">'311'!$F$56</definedName>
    <definedName name="OSRRefD21_2x_2" localSheetId="65">'313'!$F$23</definedName>
    <definedName name="OSRRefD21_2x_2" localSheetId="57">'315'!$F$64</definedName>
    <definedName name="OSRRefD21_2x_2" localSheetId="60">'316'!$F$47</definedName>
    <definedName name="OSRRefD21_2x_2" localSheetId="62">'317'!$F$56</definedName>
    <definedName name="OSRRefD21_2x_2" localSheetId="66">'321'!$F$45</definedName>
    <definedName name="OSRRefD21_2x_2" localSheetId="68">'325'!$F$45</definedName>
    <definedName name="OSRRefD21_2x_2" localSheetId="58">'326'!$F$48</definedName>
    <definedName name="OSRRefD21_2x_2" localSheetId="56">'331'!$F$64</definedName>
    <definedName name="OSRRefD21_2x_2" localSheetId="59">'332'!$F$47</definedName>
    <definedName name="OSRRefD21_2x_2" localSheetId="54">'333'!$F$66</definedName>
    <definedName name="OSRRefD21_2x_2" localSheetId="73">'405'!$F$47</definedName>
    <definedName name="OSRRefD21_2x_2" localSheetId="75">'411'!$F$40</definedName>
    <definedName name="OSRRefD21_2x_2" localSheetId="76">'412'!$F$23</definedName>
    <definedName name="OSRRefD21_2x_2" localSheetId="79">'415'!$F$48</definedName>
    <definedName name="OSRRefD21_2x_2" localSheetId="80">'418'!$F$44</definedName>
    <definedName name="OSRRefD21_2x_2" localSheetId="81">'423'!$F$39</definedName>
    <definedName name="OSRRefD21_2x_2" localSheetId="83">'425'!$F$25</definedName>
    <definedName name="OSRRefD21_2x_2" localSheetId="86">'430'!$F$40</definedName>
    <definedName name="OSRRefD21_2x_2" localSheetId="87">'433'!$F$48</definedName>
    <definedName name="OSRRefD21_2x_2" localSheetId="88">'435'!$F$27</definedName>
    <definedName name="OSRRefD21_2x_2" localSheetId="89">'444'!$F$48</definedName>
    <definedName name="OSRRefD21_2x_2" localSheetId="90">'450'!$F$48</definedName>
    <definedName name="OSRRefD21_2x_2" localSheetId="72">'491'!$F$49</definedName>
    <definedName name="OSRRefD21_2x_2" localSheetId="85">'492'!$F$50</definedName>
    <definedName name="OSRRefD21_2x_2" localSheetId="92">'501'!$F$42</definedName>
    <definedName name="OSRRefD21_2x_2" localSheetId="39">'Div 2'!$F$42</definedName>
    <definedName name="OSRRefD21_2x_2" localSheetId="47">'Div 3'!$F$81</definedName>
    <definedName name="OSRRefD21_2x_2" localSheetId="70">'Div 4'!$F$52</definedName>
    <definedName name="OSRRefD21_2x_2" localSheetId="91">'Div 5'!$F$42</definedName>
    <definedName name="OSRRefD21_2x_2" localSheetId="61">'Div 6'!$F$56</definedName>
    <definedName name="OSRRefD21_2x_2" localSheetId="2">Summary!$F$89</definedName>
    <definedName name="OSRRefD21_2x_3" localSheetId="40">'200'!$G$23</definedName>
    <definedName name="OSRRefD21_2x_3" localSheetId="41">'201'!$G$40</definedName>
    <definedName name="OSRRefD21_2x_3" localSheetId="42">'202'!$G$40</definedName>
    <definedName name="OSRRefD21_2x_3" localSheetId="43">'203'!$G$41</definedName>
    <definedName name="OSRRefD21_2x_3" localSheetId="44">'204'!$G$40:$G$41</definedName>
    <definedName name="OSRRefD21_2x_3" localSheetId="45">'205'!$G$40</definedName>
    <definedName name="OSRRefD21_2x_3" localSheetId="46">'206'!$G$40</definedName>
    <definedName name="OSRRefD21_2x_3" localSheetId="48">'300'!$G$75</definedName>
    <definedName name="OSRRefD21_2x_3" localSheetId="49">'300 &amp; 317'!$G$81</definedName>
    <definedName name="OSRRefD21_2x_3" localSheetId="50">'301'!$G$42</definedName>
    <definedName name="OSRRefD21_2x_3" localSheetId="55">'307'!$G$54</definedName>
    <definedName name="OSRRefD21_2x_3" localSheetId="51">'308'!$G$56</definedName>
    <definedName name="OSRRefD21_2x_3" localSheetId="64">'309'!$G$31</definedName>
    <definedName name="OSRRefD21_2x_3" localSheetId="63">'310'!$G$50</definedName>
    <definedName name="OSRRefD21_2x_3" localSheetId="71">'310 &amp; 491'!$G$50</definedName>
    <definedName name="OSRRefD21_2x_3" localSheetId="52">'311'!$G$56</definedName>
    <definedName name="OSRRefD21_2x_3" localSheetId="65">'313'!$G$23</definedName>
    <definedName name="OSRRefD21_2x_3" localSheetId="57">'315'!$G$64</definedName>
    <definedName name="OSRRefD21_2x_3" localSheetId="60">'316'!$G$47</definedName>
    <definedName name="OSRRefD21_2x_3" localSheetId="62">'317'!$G$56</definedName>
    <definedName name="OSRRefD21_2x_3" localSheetId="66">'321'!$G$45</definedName>
    <definedName name="OSRRefD21_2x_3" localSheetId="68">'325'!$G$45</definedName>
    <definedName name="OSRRefD21_2x_3" localSheetId="58">'326'!$G$48</definedName>
    <definedName name="OSRRefD21_2x_3" localSheetId="56">'331'!$G$64</definedName>
    <definedName name="OSRRefD21_2x_3" localSheetId="59">'332'!$G$47</definedName>
    <definedName name="OSRRefD21_2x_3" localSheetId="54">'333'!$G$66</definedName>
    <definedName name="OSRRefD21_2x_3" localSheetId="73">'405'!$G$47</definedName>
    <definedName name="OSRRefD21_2x_3" localSheetId="75">'411'!$G$40</definedName>
    <definedName name="OSRRefD21_2x_3" localSheetId="76">'412'!$G$23</definedName>
    <definedName name="OSRRefD21_2x_3" localSheetId="79">'415'!$G$48</definedName>
    <definedName name="OSRRefD21_2x_3" localSheetId="80">'418'!$G$44</definedName>
    <definedName name="OSRRefD21_2x_3" localSheetId="81">'423'!$G$39</definedName>
    <definedName name="OSRRefD21_2x_3" localSheetId="83">'425'!$G$25</definedName>
    <definedName name="OSRRefD21_2x_3" localSheetId="86">'430'!$G$40</definedName>
    <definedName name="OSRRefD21_2x_3" localSheetId="87">'433'!$G$48</definedName>
    <definedName name="OSRRefD21_2x_3" localSheetId="88">'435'!$G$27</definedName>
    <definedName name="OSRRefD21_2x_3" localSheetId="89">'444'!$G$48</definedName>
    <definedName name="OSRRefD21_2x_3" localSheetId="90">'450'!$G$48</definedName>
    <definedName name="OSRRefD21_2x_3" localSheetId="72">'491'!$G$49</definedName>
    <definedName name="OSRRefD21_2x_3" localSheetId="85">'492'!$G$50</definedName>
    <definedName name="OSRRefD21_2x_3" localSheetId="92">'501'!$G$42</definedName>
    <definedName name="OSRRefD21_2x_3" localSheetId="39">'Div 2'!$G$42</definedName>
    <definedName name="OSRRefD21_2x_3" localSheetId="47">'Div 3'!$G$81</definedName>
    <definedName name="OSRRefD21_2x_3" localSheetId="70">'Div 4'!$G$52</definedName>
    <definedName name="OSRRefD21_2x_3" localSheetId="91">'Div 5'!$G$42</definedName>
    <definedName name="OSRRefD21_2x_3" localSheetId="61">'Div 6'!$G$56</definedName>
    <definedName name="OSRRefD21_2x_3" localSheetId="2">Summary!$G$89</definedName>
    <definedName name="OSRRefD21_2x_4" localSheetId="40">'200'!$H$23</definedName>
    <definedName name="OSRRefD21_2x_4" localSheetId="41">'201'!$H$40</definedName>
    <definedName name="OSRRefD21_2x_4" localSheetId="42">'202'!$H$40</definedName>
    <definedName name="OSRRefD21_2x_4" localSheetId="43">'203'!$H$41</definedName>
    <definedName name="OSRRefD21_2x_4" localSheetId="44">'204'!$H$40:$H$41</definedName>
    <definedName name="OSRRefD21_2x_4" localSheetId="45">'205'!$H$40</definedName>
    <definedName name="OSRRefD21_2x_4" localSheetId="46">'206'!$H$40</definedName>
    <definedName name="OSRRefD21_2x_4" localSheetId="48">'300'!$H$75</definedName>
    <definedName name="OSRRefD21_2x_4" localSheetId="49">'300 &amp; 317'!$H$81</definedName>
    <definedName name="OSRRefD21_2x_4" localSheetId="50">'301'!$H$42</definedName>
    <definedName name="OSRRefD21_2x_4" localSheetId="55">'307'!$H$54</definedName>
    <definedName name="OSRRefD21_2x_4" localSheetId="51">'308'!$H$56</definedName>
    <definedName name="OSRRefD21_2x_4" localSheetId="64">'309'!$H$31</definedName>
    <definedName name="OSRRefD21_2x_4" localSheetId="63">'310'!$H$50</definedName>
    <definedName name="OSRRefD21_2x_4" localSheetId="71">'310 &amp; 491'!$H$50</definedName>
    <definedName name="OSRRefD21_2x_4" localSheetId="52">'311'!$H$56</definedName>
    <definedName name="OSRRefD21_2x_4" localSheetId="65">'313'!$H$23</definedName>
    <definedName name="OSRRefD21_2x_4" localSheetId="57">'315'!$H$64</definedName>
    <definedName name="OSRRefD21_2x_4" localSheetId="60">'316'!$H$47</definedName>
    <definedName name="OSRRefD21_2x_4" localSheetId="62">'317'!$H$56</definedName>
    <definedName name="OSRRefD21_2x_4" localSheetId="66">'321'!$H$45</definedName>
    <definedName name="OSRRefD21_2x_4" localSheetId="68">'325'!$H$45</definedName>
    <definedName name="OSRRefD21_2x_4" localSheetId="58">'326'!$H$48</definedName>
    <definedName name="OSRRefD21_2x_4" localSheetId="56">'331'!$H$64</definedName>
    <definedName name="OSRRefD21_2x_4" localSheetId="59">'332'!$H$47</definedName>
    <definedName name="OSRRefD21_2x_4" localSheetId="54">'333'!$H$66</definedName>
    <definedName name="OSRRefD21_2x_4" localSheetId="73">'405'!$H$47</definedName>
    <definedName name="OSRRefD21_2x_4" localSheetId="75">'411'!$H$40</definedName>
    <definedName name="OSRRefD21_2x_4" localSheetId="76">'412'!$H$23</definedName>
    <definedName name="OSRRefD21_2x_4" localSheetId="79">'415'!$H$48</definedName>
    <definedName name="OSRRefD21_2x_4" localSheetId="80">'418'!$H$44</definedName>
    <definedName name="OSRRefD21_2x_4" localSheetId="81">'423'!$H$39</definedName>
    <definedName name="OSRRefD21_2x_4" localSheetId="83">'425'!$H$25</definedName>
    <definedName name="OSRRefD21_2x_4" localSheetId="86">'430'!$H$40</definedName>
    <definedName name="OSRRefD21_2x_4" localSheetId="87">'433'!$H$48</definedName>
    <definedName name="OSRRefD21_2x_4" localSheetId="88">'435'!$H$27</definedName>
    <definedName name="OSRRefD21_2x_4" localSheetId="89">'444'!$H$48</definedName>
    <definedName name="OSRRefD21_2x_4" localSheetId="90">'450'!$H$48</definedName>
    <definedName name="OSRRefD21_2x_4" localSheetId="72">'491'!$H$49</definedName>
    <definedName name="OSRRefD21_2x_4" localSheetId="85">'492'!$H$50</definedName>
    <definedName name="OSRRefD21_2x_4" localSheetId="92">'501'!$H$42</definedName>
    <definedName name="OSRRefD21_2x_4" localSheetId="39">'Div 2'!$H$42</definedName>
    <definedName name="OSRRefD21_2x_4" localSheetId="47">'Div 3'!$H$81</definedName>
    <definedName name="OSRRefD21_2x_4" localSheetId="70">'Div 4'!$H$52</definedName>
    <definedName name="OSRRefD21_2x_4" localSheetId="91">'Div 5'!$H$42</definedName>
    <definedName name="OSRRefD21_2x_4" localSheetId="61">'Div 6'!$H$56</definedName>
    <definedName name="OSRRefD21_2x_4" localSheetId="2">Summary!$H$89</definedName>
    <definedName name="OSRRefD21_2x_5" localSheetId="40">'200'!$I$23</definedName>
    <definedName name="OSRRefD21_2x_5" localSheetId="41">'201'!$I$40</definedName>
    <definedName name="OSRRefD21_2x_5" localSheetId="42">'202'!$I$40</definedName>
    <definedName name="OSRRefD21_2x_5" localSheetId="43">'203'!$I$41</definedName>
    <definedName name="OSRRefD21_2x_5" localSheetId="44">'204'!$I$40:$I$41</definedName>
    <definedName name="OSRRefD21_2x_5" localSheetId="45">'205'!$I$40</definedName>
    <definedName name="OSRRefD21_2x_5" localSheetId="46">'206'!$I$40</definedName>
    <definedName name="OSRRefD21_2x_5" localSheetId="48">'300'!$I$75</definedName>
    <definedName name="OSRRefD21_2x_5" localSheetId="49">'300 &amp; 317'!$I$81</definedName>
    <definedName name="OSRRefD21_2x_5" localSheetId="50">'301'!$I$42</definedName>
    <definedName name="OSRRefD21_2x_5" localSheetId="55">'307'!$I$54</definedName>
    <definedName name="OSRRefD21_2x_5" localSheetId="51">'308'!$I$56</definedName>
    <definedName name="OSRRefD21_2x_5" localSheetId="64">'309'!$I$31</definedName>
    <definedName name="OSRRefD21_2x_5" localSheetId="63">'310'!$I$50</definedName>
    <definedName name="OSRRefD21_2x_5" localSheetId="71">'310 &amp; 491'!$I$50</definedName>
    <definedName name="OSRRefD21_2x_5" localSheetId="52">'311'!$I$56</definedName>
    <definedName name="OSRRefD21_2x_5" localSheetId="65">'313'!$I$23</definedName>
    <definedName name="OSRRefD21_2x_5" localSheetId="57">'315'!$I$64</definedName>
    <definedName name="OSRRefD21_2x_5" localSheetId="60">'316'!$I$47</definedName>
    <definedName name="OSRRefD21_2x_5" localSheetId="62">'317'!$I$56</definedName>
    <definedName name="OSRRefD21_2x_5" localSheetId="66">'321'!$I$45</definedName>
    <definedName name="OSRRefD21_2x_5" localSheetId="68">'325'!$I$45</definedName>
    <definedName name="OSRRefD21_2x_5" localSheetId="58">'326'!$I$48</definedName>
    <definedName name="OSRRefD21_2x_5" localSheetId="56">'331'!$I$64</definedName>
    <definedName name="OSRRefD21_2x_5" localSheetId="59">'332'!$I$47</definedName>
    <definedName name="OSRRefD21_2x_5" localSheetId="54">'333'!$I$66</definedName>
    <definedName name="OSRRefD21_2x_5" localSheetId="73">'405'!$I$47</definedName>
    <definedName name="OSRRefD21_2x_5" localSheetId="75">'411'!$I$40</definedName>
    <definedName name="OSRRefD21_2x_5" localSheetId="76">'412'!$I$23</definedName>
    <definedName name="OSRRefD21_2x_5" localSheetId="79">'415'!$I$48</definedName>
    <definedName name="OSRRefD21_2x_5" localSheetId="80">'418'!$I$44</definedName>
    <definedName name="OSRRefD21_2x_5" localSheetId="81">'423'!$I$39</definedName>
    <definedName name="OSRRefD21_2x_5" localSheetId="83">'425'!$I$25</definedName>
    <definedName name="OSRRefD21_2x_5" localSheetId="86">'430'!$I$40</definedName>
    <definedName name="OSRRefD21_2x_5" localSheetId="87">'433'!$I$48</definedName>
    <definedName name="OSRRefD21_2x_5" localSheetId="88">'435'!$I$27</definedName>
    <definedName name="OSRRefD21_2x_5" localSheetId="89">'444'!$I$48</definedName>
    <definedName name="OSRRefD21_2x_5" localSheetId="90">'450'!$I$48</definedName>
    <definedName name="OSRRefD21_2x_5" localSheetId="72">'491'!$I$49</definedName>
    <definedName name="OSRRefD21_2x_5" localSheetId="85">'492'!$I$50</definedName>
    <definedName name="OSRRefD21_2x_5" localSheetId="92">'501'!$I$42</definedName>
    <definedName name="OSRRefD21_2x_5" localSheetId="39">'Div 2'!$I$42</definedName>
    <definedName name="OSRRefD21_2x_5" localSheetId="47">'Div 3'!$I$81</definedName>
    <definedName name="OSRRefD21_2x_5" localSheetId="70">'Div 4'!$I$52</definedName>
    <definedName name="OSRRefD21_2x_5" localSheetId="91">'Div 5'!$I$42</definedName>
    <definedName name="OSRRefD21_2x_5" localSheetId="61">'Div 6'!$I$56</definedName>
    <definedName name="OSRRefD21_2x_5" localSheetId="2">Summary!$I$89</definedName>
    <definedName name="OSRRefD21_2x_6" localSheetId="40">'200'!$J$23</definedName>
    <definedName name="OSRRefD21_2x_6" localSheetId="41">'201'!$J$40</definedName>
    <definedName name="OSRRefD21_2x_6" localSheetId="42">'202'!$J$40</definedName>
    <definedName name="OSRRefD21_2x_6" localSheetId="43">'203'!$J$41</definedName>
    <definedName name="OSRRefD21_2x_6" localSheetId="44">'204'!$J$40:$J$41</definedName>
    <definedName name="OSRRefD21_2x_6" localSheetId="45">'205'!$J$40</definedName>
    <definedName name="OSRRefD21_2x_6" localSheetId="46">'206'!$J$40</definedName>
    <definedName name="OSRRefD21_2x_6" localSheetId="48">'300'!$J$75</definedName>
    <definedName name="OSRRefD21_2x_6" localSheetId="49">'300 &amp; 317'!$J$81</definedName>
    <definedName name="OSRRefD21_2x_6" localSheetId="50">'301'!$J$42</definedName>
    <definedName name="OSRRefD21_2x_6" localSheetId="55">'307'!$J$54</definedName>
    <definedName name="OSRRefD21_2x_6" localSheetId="51">'308'!$J$56</definedName>
    <definedName name="OSRRefD21_2x_6" localSheetId="64">'309'!$J$31</definedName>
    <definedName name="OSRRefD21_2x_6" localSheetId="63">'310'!$J$50</definedName>
    <definedName name="OSRRefD21_2x_6" localSheetId="71">'310 &amp; 491'!$J$50</definedName>
    <definedName name="OSRRefD21_2x_6" localSheetId="52">'311'!$J$56</definedName>
    <definedName name="OSRRefD21_2x_6" localSheetId="65">'313'!$J$23</definedName>
    <definedName name="OSRRefD21_2x_6" localSheetId="57">'315'!$J$64</definedName>
    <definedName name="OSRRefD21_2x_6" localSheetId="60">'316'!$J$47</definedName>
    <definedName name="OSRRefD21_2x_6" localSheetId="62">'317'!$J$56</definedName>
    <definedName name="OSRRefD21_2x_6" localSheetId="66">'321'!$J$45</definedName>
    <definedName name="OSRRefD21_2x_6" localSheetId="68">'325'!$J$45</definedName>
    <definedName name="OSRRefD21_2x_6" localSheetId="58">'326'!$J$48</definedName>
    <definedName name="OSRRefD21_2x_6" localSheetId="56">'331'!$J$64</definedName>
    <definedName name="OSRRefD21_2x_6" localSheetId="59">'332'!$J$47</definedName>
    <definedName name="OSRRefD21_2x_6" localSheetId="54">'333'!$J$66</definedName>
    <definedName name="OSRRefD21_2x_6" localSheetId="73">'405'!$J$47</definedName>
    <definedName name="OSRRefD21_2x_6" localSheetId="75">'411'!$J$40</definedName>
    <definedName name="OSRRefD21_2x_6" localSheetId="76">'412'!$J$23</definedName>
    <definedName name="OSRRefD21_2x_6" localSheetId="79">'415'!$J$48</definedName>
    <definedName name="OSRRefD21_2x_6" localSheetId="80">'418'!$J$44</definedName>
    <definedName name="OSRRefD21_2x_6" localSheetId="81">'423'!$J$39</definedName>
    <definedName name="OSRRefD21_2x_6" localSheetId="83">'425'!$J$25</definedName>
    <definedName name="OSRRefD21_2x_6" localSheetId="86">'430'!$J$40</definedName>
    <definedName name="OSRRefD21_2x_6" localSheetId="87">'433'!$J$48</definedName>
    <definedName name="OSRRefD21_2x_6" localSheetId="88">'435'!$J$27</definedName>
    <definedName name="OSRRefD21_2x_6" localSheetId="89">'444'!$J$48</definedName>
    <definedName name="OSRRefD21_2x_6" localSheetId="90">'450'!$J$48</definedName>
    <definedName name="OSRRefD21_2x_6" localSheetId="72">'491'!$J$49</definedName>
    <definedName name="OSRRefD21_2x_6" localSheetId="85">'492'!$J$50</definedName>
    <definedName name="OSRRefD21_2x_6" localSheetId="92">'501'!$J$42</definedName>
    <definedName name="OSRRefD21_2x_6" localSheetId="39">'Div 2'!$J$42</definedName>
    <definedName name="OSRRefD21_2x_6" localSheetId="47">'Div 3'!$J$81</definedName>
    <definedName name="OSRRefD21_2x_6" localSheetId="70">'Div 4'!$J$52</definedName>
    <definedName name="OSRRefD21_2x_6" localSheetId="91">'Div 5'!$J$42</definedName>
    <definedName name="OSRRefD21_2x_6" localSheetId="61">'Div 6'!$J$56</definedName>
    <definedName name="OSRRefD21_2x_6" localSheetId="2">Summary!$J$89</definedName>
    <definedName name="OSRRefD21_2x_7" localSheetId="40">'200'!$K$23</definedName>
    <definedName name="OSRRefD21_2x_7" localSheetId="41">'201'!$K$40</definedName>
    <definedName name="OSRRefD21_2x_7" localSheetId="42">'202'!$K$40</definedName>
    <definedName name="OSRRefD21_2x_7" localSheetId="43">'203'!$K$41</definedName>
    <definedName name="OSRRefD21_2x_7" localSheetId="44">'204'!$K$40:$K$41</definedName>
    <definedName name="OSRRefD21_2x_7" localSheetId="45">'205'!$K$40</definedName>
    <definedName name="OSRRefD21_2x_7" localSheetId="46">'206'!$K$40</definedName>
    <definedName name="OSRRefD21_2x_7" localSheetId="48">'300'!$K$75</definedName>
    <definedName name="OSRRefD21_2x_7" localSheetId="49">'300 &amp; 317'!$K$81</definedName>
    <definedName name="OSRRefD21_2x_7" localSheetId="50">'301'!$K$42</definedName>
    <definedName name="OSRRefD21_2x_7" localSheetId="55">'307'!$K$54</definedName>
    <definedName name="OSRRefD21_2x_7" localSheetId="51">'308'!$K$56</definedName>
    <definedName name="OSRRefD21_2x_7" localSheetId="64">'309'!$K$31</definedName>
    <definedName name="OSRRefD21_2x_7" localSheetId="63">'310'!$K$50</definedName>
    <definedName name="OSRRefD21_2x_7" localSheetId="71">'310 &amp; 491'!$K$50</definedName>
    <definedName name="OSRRefD21_2x_7" localSheetId="52">'311'!$K$56</definedName>
    <definedName name="OSRRefD21_2x_7" localSheetId="65">'313'!$K$23</definedName>
    <definedName name="OSRRefD21_2x_7" localSheetId="57">'315'!$K$64</definedName>
    <definedName name="OSRRefD21_2x_7" localSheetId="60">'316'!$K$47</definedName>
    <definedName name="OSRRefD21_2x_7" localSheetId="62">'317'!$K$56</definedName>
    <definedName name="OSRRefD21_2x_7" localSheetId="66">'321'!$K$45</definedName>
    <definedName name="OSRRefD21_2x_7" localSheetId="68">'325'!$K$45</definedName>
    <definedName name="OSRRefD21_2x_7" localSheetId="58">'326'!$K$48</definedName>
    <definedName name="OSRRefD21_2x_7" localSheetId="56">'331'!$K$64</definedName>
    <definedName name="OSRRefD21_2x_7" localSheetId="59">'332'!$K$47</definedName>
    <definedName name="OSRRefD21_2x_7" localSheetId="54">'333'!$K$66</definedName>
    <definedName name="OSRRefD21_2x_7" localSheetId="73">'405'!$K$47</definedName>
    <definedName name="OSRRefD21_2x_7" localSheetId="75">'411'!$K$40</definedName>
    <definedName name="OSRRefD21_2x_7" localSheetId="76">'412'!$K$23</definedName>
    <definedName name="OSRRefD21_2x_7" localSheetId="79">'415'!$K$48</definedName>
    <definedName name="OSRRefD21_2x_7" localSheetId="80">'418'!$K$44</definedName>
    <definedName name="OSRRefD21_2x_7" localSheetId="81">'423'!$K$39</definedName>
    <definedName name="OSRRefD21_2x_7" localSheetId="83">'425'!$K$25</definedName>
    <definedName name="OSRRefD21_2x_7" localSheetId="86">'430'!$K$40</definedName>
    <definedName name="OSRRefD21_2x_7" localSheetId="87">'433'!$K$48</definedName>
    <definedName name="OSRRefD21_2x_7" localSheetId="88">'435'!$K$27</definedName>
    <definedName name="OSRRefD21_2x_7" localSheetId="89">'444'!$K$48</definedName>
    <definedName name="OSRRefD21_2x_7" localSheetId="90">'450'!$K$48</definedName>
    <definedName name="OSRRefD21_2x_7" localSheetId="72">'491'!$K$49</definedName>
    <definedName name="OSRRefD21_2x_7" localSheetId="85">'492'!$K$50</definedName>
    <definedName name="OSRRefD21_2x_7" localSheetId="92">'501'!$K$42</definedName>
    <definedName name="OSRRefD21_2x_7" localSheetId="39">'Div 2'!$K$42</definedName>
    <definedName name="OSRRefD21_2x_7" localSheetId="47">'Div 3'!$K$81</definedName>
    <definedName name="OSRRefD21_2x_7" localSheetId="70">'Div 4'!$K$52</definedName>
    <definedName name="OSRRefD21_2x_7" localSheetId="91">'Div 5'!$K$42</definedName>
    <definedName name="OSRRefD21_2x_7" localSheetId="61">'Div 6'!$K$56</definedName>
    <definedName name="OSRRefD21_2x_7" localSheetId="2">Summary!$K$89</definedName>
    <definedName name="OSRRefD21_2x_8" localSheetId="40">'200'!$L$23</definedName>
    <definedName name="OSRRefD21_2x_8" localSheetId="41">'201'!$L$40</definedName>
    <definedName name="OSRRefD21_2x_8" localSheetId="42">'202'!$L$40</definedName>
    <definedName name="OSRRefD21_2x_8" localSheetId="43">'203'!$L$41</definedName>
    <definedName name="OSRRefD21_2x_8" localSheetId="44">'204'!$L$40:$L$41</definedName>
    <definedName name="OSRRefD21_2x_8" localSheetId="45">'205'!$L$40</definedName>
    <definedName name="OSRRefD21_2x_8" localSheetId="46">'206'!$L$40</definedName>
    <definedName name="OSRRefD21_2x_8" localSheetId="48">'300'!$L$75</definedName>
    <definedName name="OSRRefD21_2x_8" localSheetId="49">'300 &amp; 317'!$L$81</definedName>
    <definedName name="OSRRefD21_2x_8" localSheetId="50">'301'!$L$42</definedName>
    <definedName name="OSRRefD21_2x_8" localSheetId="55">'307'!$L$54</definedName>
    <definedName name="OSRRefD21_2x_8" localSheetId="51">'308'!$L$56</definedName>
    <definedName name="OSRRefD21_2x_8" localSheetId="64">'309'!$L$31</definedName>
    <definedName name="OSRRefD21_2x_8" localSheetId="63">'310'!$L$50</definedName>
    <definedName name="OSRRefD21_2x_8" localSheetId="71">'310 &amp; 491'!$L$50</definedName>
    <definedName name="OSRRefD21_2x_8" localSheetId="52">'311'!$L$56</definedName>
    <definedName name="OSRRefD21_2x_8" localSheetId="65">'313'!$L$23</definedName>
    <definedName name="OSRRefD21_2x_8" localSheetId="57">'315'!$L$64</definedName>
    <definedName name="OSRRefD21_2x_8" localSheetId="60">'316'!$L$47</definedName>
    <definedName name="OSRRefD21_2x_8" localSheetId="62">'317'!$L$56</definedName>
    <definedName name="OSRRefD21_2x_8" localSheetId="66">'321'!$L$45</definedName>
    <definedName name="OSRRefD21_2x_8" localSheetId="68">'325'!$L$45</definedName>
    <definedName name="OSRRefD21_2x_8" localSheetId="58">'326'!$L$48</definedName>
    <definedName name="OSRRefD21_2x_8" localSheetId="56">'331'!$L$64</definedName>
    <definedName name="OSRRefD21_2x_8" localSheetId="59">'332'!$L$47</definedName>
    <definedName name="OSRRefD21_2x_8" localSheetId="54">'333'!$L$66</definedName>
    <definedName name="OSRRefD21_2x_8" localSheetId="73">'405'!$L$47</definedName>
    <definedName name="OSRRefD21_2x_8" localSheetId="75">'411'!$L$40</definedName>
    <definedName name="OSRRefD21_2x_8" localSheetId="76">'412'!$L$23</definedName>
    <definedName name="OSRRefD21_2x_8" localSheetId="79">'415'!$L$48</definedName>
    <definedName name="OSRRefD21_2x_8" localSheetId="80">'418'!$L$44</definedName>
    <definedName name="OSRRefD21_2x_8" localSheetId="81">'423'!$L$39</definedName>
    <definedName name="OSRRefD21_2x_8" localSheetId="83">'425'!$L$25</definedName>
    <definedName name="OSRRefD21_2x_8" localSheetId="86">'430'!$L$40</definedName>
    <definedName name="OSRRefD21_2x_8" localSheetId="87">'433'!$L$48</definedName>
    <definedName name="OSRRefD21_2x_8" localSheetId="88">'435'!$L$27</definedName>
    <definedName name="OSRRefD21_2x_8" localSheetId="89">'444'!$L$48</definedName>
    <definedName name="OSRRefD21_2x_8" localSheetId="90">'450'!$L$48</definedName>
    <definedName name="OSRRefD21_2x_8" localSheetId="72">'491'!$L$49</definedName>
    <definedName name="OSRRefD21_2x_8" localSheetId="85">'492'!$L$50</definedName>
    <definedName name="OSRRefD21_2x_8" localSheetId="92">'501'!$L$42</definedName>
    <definedName name="OSRRefD21_2x_8" localSheetId="39">'Div 2'!$L$42</definedName>
    <definedName name="OSRRefD21_2x_8" localSheetId="47">'Div 3'!$L$81</definedName>
    <definedName name="OSRRefD21_2x_8" localSheetId="70">'Div 4'!$L$52</definedName>
    <definedName name="OSRRefD21_2x_8" localSheetId="91">'Div 5'!$L$42</definedName>
    <definedName name="OSRRefD21_2x_8" localSheetId="61">'Div 6'!$L$56</definedName>
    <definedName name="OSRRefD21_2x_8" localSheetId="2">Summary!$L$89</definedName>
    <definedName name="OSRRefD21_2x_9" localSheetId="40">'200'!$M$23</definedName>
    <definedName name="OSRRefD21_2x_9" localSheetId="41">'201'!$M$40</definedName>
    <definedName name="OSRRefD21_2x_9" localSheetId="42">'202'!$M$40</definedName>
    <definedName name="OSRRefD21_2x_9" localSheetId="43">'203'!$M$41</definedName>
    <definedName name="OSRRefD21_2x_9" localSheetId="44">'204'!$M$40:$M$41</definedName>
    <definedName name="OSRRefD21_2x_9" localSheetId="45">'205'!$M$40</definedName>
    <definedName name="OSRRefD21_2x_9" localSheetId="46">'206'!$M$40</definedName>
    <definedName name="OSRRefD21_2x_9" localSheetId="48">'300'!$M$75</definedName>
    <definedName name="OSRRefD21_2x_9" localSheetId="49">'300 &amp; 317'!$M$81</definedName>
    <definedName name="OSRRefD21_2x_9" localSheetId="50">'301'!$M$42</definedName>
    <definedName name="OSRRefD21_2x_9" localSheetId="55">'307'!$M$54</definedName>
    <definedName name="OSRRefD21_2x_9" localSheetId="51">'308'!$M$56</definedName>
    <definedName name="OSRRefD21_2x_9" localSheetId="64">'309'!$M$31</definedName>
    <definedName name="OSRRefD21_2x_9" localSheetId="63">'310'!$M$50</definedName>
    <definedName name="OSRRefD21_2x_9" localSheetId="71">'310 &amp; 491'!$M$50</definedName>
    <definedName name="OSRRefD21_2x_9" localSheetId="52">'311'!$M$56</definedName>
    <definedName name="OSRRefD21_2x_9" localSheetId="65">'313'!$M$23</definedName>
    <definedName name="OSRRefD21_2x_9" localSheetId="57">'315'!$M$64</definedName>
    <definedName name="OSRRefD21_2x_9" localSheetId="60">'316'!$M$47</definedName>
    <definedName name="OSRRefD21_2x_9" localSheetId="62">'317'!$M$56</definedName>
    <definedName name="OSRRefD21_2x_9" localSheetId="66">'321'!$M$45</definedName>
    <definedName name="OSRRefD21_2x_9" localSheetId="68">'325'!$M$45</definedName>
    <definedName name="OSRRefD21_2x_9" localSheetId="58">'326'!$M$48</definedName>
    <definedName name="OSRRefD21_2x_9" localSheetId="56">'331'!$M$64</definedName>
    <definedName name="OSRRefD21_2x_9" localSheetId="59">'332'!$M$47</definedName>
    <definedName name="OSRRefD21_2x_9" localSheetId="54">'333'!$M$66</definedName>
    <definedName name="OSRRefD21_2x_9" localSheetId="73">'405'!$M$47</definedName>
    <definedName name="OSRRefD21_2x_9" localSheetId="75">'411'!$M$40</definedName>
    <definedName name="OSRRefD21_2x_9" localSheetId="76">'412'!$M$23</definedName>
    <definedName name="OSRRefD21_2x_9" localSheetId="79">'415'!$M$48</definedName>
    <definedName name="OSRRefD21_2x_9" localSheetId="80">'418'!$M$44</definedName>
    <definedName name="OSRRefD21_2x_9" localSheetId="81">'423'!$M$39</definedName>
    <definedName name="OSRRefD21_2x_9" localSheetId="83">'425'!$M$25</definedName>
    <definedName name="OSRRefD21_2x_9" localSheetId="86">'430'!$M$40</definedName>
    <definedName name="OSRRefD21_2x_9" localSheetId="87">'433'!$M$48</definedName>
    <definedName name="OSRRefD21_2x_9" localSheetId="88">'435'!$M$27</definedName>
    <definedName name="OSRRefD21_2x_9" localSheetId="89">'444'!$M$48</definedName>
    <definedName name="OSRRefD21_2x_9" localSheetId="90">'450'!$M$48</definedName>
    <definedName name="OSRRefD21_2x_9" localSheetId="72">'491'!$M$49</definedName>
    <definedName name="OSRRefD21_2x_9" localSheetId="85">'492'!$M$50</definedName>
    <definedName name="OSRRefD21_2x_9" localSheetId="92">'501'!$M$42</definedName>
    <definedName name="OSRRefD21_2x_9" localSheetId="39">'Div 2'!$M$42</definedName>
    <definedName name="OSRRefD21_2x_9" localSheetId="47">'Div 3'!$M$81</definedName>
    <definedName name="OSRRefD21_2x_9" localSheetId="70">'Div 4'!$M$52</definedName>
    <definedName name="OSRRefD21_2x_9" localSheetId="91">'Div 5'!$M$42</definedName>
    <definedName name="OSRRefD21_2x_9" localSheetId="61">'Div 6'!$M$56</definedName>
    <definedName name="OSRRefD21_2x_9" localSheetId="2">Summary!$M$89</definedName>
    <definedName name="OSRRefD21_3_0x" localSheetId="40">'200'!$D$25:$M$25</definedName>
    <definedName name="OSRRefD21_3_0x" localSheetId="41">'201'!$D$42:$M$42</definedName>
    <definedName name="OSRRefD21_3_0x" localSheetId="42">'202'!$D$42:$M$42</definedName>
    <definedName name="OSRRefD21_3_0x" localSheetId="43">'203'!$D$43:$M$43</definedName>
    <definedName name="OSRRefD21_3_0x" localSheetId="44">'204'!$D$43:$M$43</definedName>
    <definedName name="OSRRefD21_3_0x" localSheetId="45">'205'!$D$42:$M$42</definedName>
    <definedName name="OSRRefD21_3_0x" localSheetId="46">'206'!$D$42:$M$42</definedName>
    <definedName name="OSRRefD21_3_0x" localSheetId="48">'300'!$D$77:$M$77</definedName>
    <definedName name="OSRRefD21_3_0x" localSheetId="49">'300 &amp; 317'!$D$83:$M$83</definedName>
    <definedName name="OSRRefD21_3_0x" localSheetId="50">'301'!$D$44:$M$44</definedName>
    <definedName name="OSRRefD21_3_0x" localSheetId="55">'307'!$D$56:$M$56</definedName>
    <definedName name="OSRRefD21_3_0x" localSheetId="51">'308'!$D$58:$M$58</definedName>
    <definedName name="OSRRefD21_3_0x" localSheetId="64">'309'!$D$33:$M$33</definedName>
    <definedName name="OSRRefD21_3_0x" localSheetId="63">'310'!$D$52:$M$52</definedName>
    <definedName name="OSRRefD21_3_0x" localSheetId="71">'310 &amp; 491'!$D$52:$M$52</definedName>
    <definedName name="OSRRefD21_3_0x" localSheetId="52">'311'!$D$58:$M$58</definedName>
    <definedName name="OSRRefD21_3_0x" localSheetId="57">'315'!$D$66:$M$66</definedName>
    <definedName name="OSRRefD21_3_0x" localSheetId="60">'316'!$D$49:$M$49</definedName>
    <definedName name="OSRRefD21_3_0x" localSheetId="62">'317'!$D$58:$M$58</definedName>
    <definedName name="OSRRefD21_3_0x" localSheetId="66">'321'!$D$47:$M$47</definedName>
    <definedName name="OSRRefD21_3_0x" localSheetId="68">'325'!$D$47:$M$47</definedName>
    <definedName name="OSRRefD21_3_0x" localSheetId="58">'326'!$D$50:$M$50</definedName>
    <definedName name="OSRRefD21_3_0x" localSheetId="56">'331'!$D$66:$M$66</definedName>
    <definedName name="OSRRefD21_3_0x" localSheetId="59">'332'!$D$49:$M$49</definedName>
    <definedName name="OSRRefD21_3_0x" localSheetId="54">'333'!$D$68:$M$68</definedName>
    <definedName name="OSRRefD21_3_0x" localSheetId="73">'405'!$D$49:$M$49</definedName>
    <definedName name="OSRRefD21_3_0x" localSheetId="75">'411'!$D$42:$M$42</definedName>
    <definedName name="OSRRefD21_3_0x" localSheetId="76">'412'!$D$25:$M$25</definedName>
    <definedName name="OSRRefD21_3_0x" localSheetId="79">'415'!$D$50:$M$50</definedName>
    <definedName name="OSRRefD21_3_0x" localSheetId="80">'418'!$D$46:$M$46</definedName>
    <definedName name="OSRRefD21_3_0x" localSheetId="81">'423'!$D$41:$M$41</definedName>
    <definedName name="OSRRefD21_3_0x" localSheetId="83">'425'!$D$27:$M$27</definedName>
    <definedName name="OSRRefD21_3_0x" localSheetId="86">'430'!$D$42:$M$42</definedName>
    <definedName name="OSRRefD21_3_0x" localSheetId="87">'433'!$D$50:$M$50</definedName>
    <definedName name="OSRRefD21_3_0x" localSheetId="88">'435'!$D$29:$M$29</definedName>
    <definedName name="OSRRefD21_3_0x" localSheetId="89">'444'!$D$50:$M$50</definedName>
    <definedName name="OSRRefD21_3_0x" localSheetId="90">'450'!$D$50:$M$50</definedName>
    <definedName name="OSRRefD21_3_0x" localSheetId="72">'491'!$D$51:$M$51</definedName>
    <definedName name="OSRRefD21_3_0x" localSheetId="85">'492'!$D$52:$M$52</definedName>
    <definedName name="OSRRefD21_3_0x" localSheetId="92">'501'!$D$44:$M$44</definedName>
    <definedName name="OSRRefD21_3_0x" localSheetId="39">'Div 2'!$D$44:$M$44</definedName>
    <definedName name="OSRRefD21_3_0x" localSheetId="47">'Div 3'!$D$83:$M$83</definedName>
    <definedName name="OSRRefD21_3_0x" localSheetId="70">'Div 4'!$D$54:$M$54</definedName>
    <definedName name="OSRRefD21_3_0x" localSheetId="91">'Div 5'!$D$44:$M$44</definedName>
    <definedName name="OSRRefD21_3_0x" localSheetId="61">'Div 6'!$D$58:$M$58</definedName>
    <definedName name="OSRRefD21_3_0x" localSheetId="2">Summary!$D$91:$M$91</definedName>
    <definedName name="OSRRefD21_3_1x" localSheetId="46">'206'!$D$43:$M$43</definedName>
    <definedName name="OSRRefD21_3_1x" localSheetId="75">'411'!$D$43:$M$43</definedName>
    <definedName name="OSRRefD21_3x_0" localSheetId="40">'200'!$D$25</definedName>
    <definedName name="OSRRefD21_3x_0" localSheetId="41">'201'!$D$42</definedName>
    <definedName name="OSRRefD21_3x_0" localSheetId="42">'202'!$D$42</definedName>
    <definedName name="OSRRefD21_3x_0" localSheetId="43">'203'!$D$43</definedName>
    <definedName name="OSRRefD21_3x_0" localSheetId="44">'204'!$D$43</definedName>
    <definedName name="OSRRefD21_3x_0" localSheetId="45">'205'!$D$42</definedName>
    <definedName name="OSRRefD21_3x_0" localSheetId="46">'206'!$D$42:$D$43</definedName>
    <definedName name="OSRRefD21_3x_0" localSheetId="48">'300'!$D$77</definedName>
    <definedName name="OSRRefD21_3x_0" localSheetId="49">'300 &amp; 317'!$D$83</definedName>
    <definedName name="OSRRefD21_3x_0" localSheetId="50">'301'!$D$44</definedName>
    <definedName name="OSRRefD21_3x_0" localSheetId="55">'307'!$D$56</definedName>
    <definedName name="OSRRefD21_3x_0" localSheetId="51">'308'!$D$58</definedName>
    <definedName name="OSRRefD21_3x_0" localSheetId="64">'309'!$D$33</definedName>
    <definedName name="OSRRefD21_3x_0" localSheetId="63">'310'!$D$52</definedName>
    <definedName name="OSRRefD21_3x_0" localSheetId="71">'310 &amp; 491'!$D$52</definedName>
    <definedName name="OSRRefD21_3x_0" localSheetId="52">'311'!$D$58</definedName>
    <definedName name="OSRRefD21_3x_0" localSheetId="57">'315'!$D$66</definedName>
    <definedName name="OSRRefD21_3x_0" localSheetId="60">'316'!$D$49</definedName>
    <definedName name="OSRRefD21_3x_0" localSheetId="62">'317'!$D$58</definedName>
    <definedName name="OSRRefD21_3x_0" localSheetId="66">'321'!$D$47</definedName>
    <definedName name="OSRRefD21_3x_0" localSheetId="68">'325'!$D$47</definedName>
    <definedName name="OSRRefD21_3x_0" localSheetId="58">'326'!$D$50</definedName>
    <definedName name="OSRRefD21_3x_0" localSheetId="56">'331'!$D$66</definedName>
    <definedName name="OSRRefD21_3x_0" localSheetId="59">'332'!$D$49</definedName>
    <definedName name="OSRRefD21_3x_0" localSheetId="54">'333'!$D$68</definedName>
    <definedName name="OSRRefD21_3x_0" localSheetId="73">'405'!$D$49</definedName>
    <definedName name="OSRRefD21_3x_0" localSheetId="75">'411'!$D$42:$D$43</definedName>
    <definedName name="OSRRefD21_3x_0" localSheetId="76">'412'!$D$25</definedName>
    <definedName name="OSRRefD21_3x_0" localSheetId="79">'415'!$D$50</definedName>
    <definedName name="OSRRefD21_3x_0" localSheetId="80">'418'!$D$46</definedName>
    <definedName name="OSRRefD21_3x_0" localSheetId="81">'423'!$D$41</definedName>
    <definedName name="OSRRefD21_3x_0" localSheetId="83">'425'!$D$27</definedName>
    <definedName name="OSRRefD21_3x_0" localSheetId="86">'430'!$D$42</definedName>
    <definedName name="OSRRefD21_3x_0" localSheetId="87">'433'!$D$50</definedName>
    <definedName name="OSRRefD21_3x_0" localSheetId="88">'435'!$D$29</definedName>
    <definedName name="OSRRefD21_3x_0" localSheetId="89">'444'!$D$50</definedName>
    <definedName name="OSRRefD21_3x_0" localSheetId="90">'450'!$D$50</definedName>
    <definedName name="OSRRefD21_3x_0" localSheetId="72">'491'!$D$51</definedName>
    <definedName name="OSRRefD21_3x_0" localSheetId="85">'492'!$D$52</definedName>
    <definedName name="OSRRefD21_3x_0" localSheetId="92">'501'!$D$44</definedName>
    <definedName name="OSRRefD21_3x_0" localSheetId="39">'Div 2'!$D$44</definedName>
    <definedName name="OSRRefD21_3x_0" localSheetId="47">'Div 3'!$D$83</definedName>
    <definedName name="OSRRefD21_3x_0" localSheetId="70">'Div 4'!$D$54</definedName>
    <definedName name="OSRRefD21_3x_0" localSheetId="91">'Div 5'!$D$44</definedName>
    <definedName name="OSRRefD21_3x_0" localSheetId="61">'Div 6'!$D$58</definedName>
    <definedName name="OSRRefD21_3x_0" localSheetId="2">Summary!$D$91</definedName>
    <definedName name="OSRRefD21_3x_1" localSheetId="40">'200'!$E$25</definedName>
    <definedName name="OSRRefD21_3x_1" localSheetId="41">'201'!$E$42</definedName>
    <definedName name="OSRRefD21_3x_1" localSheetId="42">'202'!$E$42</definedName>
    <definedName name="OSRRefD21_3x_1" localSheetId="43">'203'!$E$43</definedName>
    <definedName name="OSRRefD21_3x_1" localSheetId="44">'204'!$E$43</definedName>
    <definedName name="OSRRefD21_3x_1" localSheetId="45">'205'!$E$42</definedName>
    <definedName name="OSRRefD21_3x_1" localSheetId="46">'206'!$E$42:$E$43</definedName>
    <definedName name="OSRRefD21_3x_1" localSheetId="48">'300'!$E$77</definedName>
    <definedName name="OSRRefD21_3x_1" localSheetId="49">'300 &amp; 317'!$E$83</definedName>
    <definedName name="OSRRefD21_3x_1" localSheetId="50">'301'!$E$44</definedName>
    <definedName name="OSRRefD21_3x_1" localSheetId="55">'307'!$E$56</definedName>
    <definedName name="OSRRefD21_3x_1" localSheetId="51">'308'!$E$58</definedName>
    <definedName name="OSRRefD21_3x_1" localSheetId="64">'309'!$E$33</definedName>
    <definedName name="OSRRefD21_3x_1" localSheetId="63">'310'!$E$52</definedName>
    <definedName name="OSRRefD21_3x_1" localSheetId="71">'310 &amp; 491'!$E$52</definedName>
    <definedName name="OSRRefD21_3x_1" localSheetId="52">'311'!$E$58</definedName>
    <definedName name="OSRRefD21_3x_1" localSheetId="57">'315'!$E$66</definedName>
    <definedName name="OSRRefD21_3x_1" localSheetId="60">'316'!$E$49</definedName>
    <definedName name="OSRRefD21_3x_1" localSheetId="62">'317'!$E$58</definedName>
    <definedName name="OSRRefD21_3x_1" localSheetId="66">'321'!$E$47</definedName>
    <definedName name="OSRRefD21_3x_1" localSheetId="68">'325'!$E$47</definedName>
    <definedName name="OSRRefD21_3x_1" localSheetId="58">'326'!$E$50</definedName>
    <definedName name="OSRRefD21_3x_1" localSheetId="56">'331'!$E$66</definedName>
    <definedName name="OSRRefD21_3x_1" localSheetId="59">'332'!$E$49</definedName>
    <definedName name="OSRRefD21_3x_1" localSheetId="54">'333'!$E$68</definedName>
    <definedName name="OSRRefD21_3x_1" localSheetId="73">'405'!$E$49</definedName>
    <definedName name="OSRRefD21_3x_1" localSheetId="75">'411'!$E$42:$E$43</definedName>
    <definedName name="OSRRefD21_3x_1" localSheetId="76">'412'!$E$25</definedName>
    <definedName name="OSRRefD21_3x_1" localSheetId="79">'415'!$E$50</definedName>
    <definedName name="OSRRefD21_3x_1" localSheetId="80">'418'!$E$46</definedName>
    <definedName name="OSRRefD21_3x_1" localSheetId="81">'423'!$E$41</definedName>
    <definedName name="OSRRefD21_3x_1" localSheetId="83">'425'!$E$27</definedName>
    <definedName name="OSRRefD21_3x_1" localSheetId="86">'430'!$E$42</definedName>
    <definedName name="OSRRefD21_3x_1" localSheetId="87">'433'!$E$50</definedName>
    <definedName name="OSRRefD21_3x_1" localSheetId="88">'435'!$E$29</definedName>
    <definedName name="OSRRefD21_3x_1" localSheetId="89">'444'!$E$50</definedName>
    <definedName name="OSRRefD21_3x_1" localSheetId="90">'450'!$E$50</definedName>
    <definedName name="OSRRefD21_3x_1" localSheetId="72">'491'!$E$51</definedName>
    <definedName name="OSRRefD21_3x_1" localSheetId="85">'492'!$E$52</definedName>
    <definedName name="OSRRefD21_3x_1" localSheetId="92">'501'!$E$44</definedName>
    <definedName name="OSRRefD21_3x_1" localSheetId="39">'Div 2'!$E$44</definedName>
    <definedName name="OSRRefD21_3x_1" localSheetId="47">'Div 3'!$E$83</definedName>
    <definedName name="OSRRefD21_3x_1" localSheetId="70">'Div 4'!$E$54</definedName>
    <definedName name="OSRRefD21_3x_1" localSheetId="91">'Div 5'!$E$44</definedName>
    <definedName name="OSRRefD21_3x_1" localSheetId="61">'Div 6'!$E$58</definedName>
    <definedName name="OSRRefD21_3x_1" localSheetId="2">Summary!$E$91</definedName>
    <definedName name="OSRRefD21_3x_2" localSheetId="40">'200'!$F$25</definedName>
    <definedName name="OSRRefD21_3x_2" localSheetId="41">'201'!$F$42</definedName>
    <definedName name="OSRRefD21_3x_2" localSheetId="42">'202'!$F$42</definedName>
    <definedName name="OSRRefD21_3x_2" localSheetId="43">'203'!$F$43</definedName>
    <definedName name="OSRRefD21_3x_2" localSheetId="44">'204'!$F$43</definedName>
    <definedName name="OSRRefD21_3x_2" localSheetId="45">'205'!$F$42</definedName>
    <definedName name="OSRRefD21_3x_2" localSheetId="46">'206'!$F$42:$F$43</definedName>
    <definedName name="OSRRefD21_3x_2" localSheetId="48">'300'!$F$77</definedName>
    <definedName name="OSRRefD21_3x_2" localSheetId="49">'300 &amp; 317'!$F$83</definedName>
    <definedName name="OSRRefD21_3x_2" localSheetId="50">'301'!$F$44</definedName>
    <definedName name="OSRRefD21_3x_2" localSheetId="55">'307'!$F$56</definedName>
    <definedName name="OSRRefD21_3x_2" localSheetId="51">'308'!$F$58</definedName>
    <definedName name="OSRRefD21_3x_2" localSheetId="64">'309'!$F$33</definedName>
    <definedName name="OSRRefD21_3x_2" localSheetId="63">'310'!$F$52</definedName>
    <definedName name="OSRRefD21_3x_2" localSheetId="71">'310 &amp; 491'!$F$52</definedName>
    <definedName name="OSRRefD21_3x_2" localSheetId="52">'311'!$F$58</definedName>
    <definedName name="OSRRefD21_3x_2" localSheetId="57">'315'!$F$66</definedName>
    <definedName name="OSRRefD21_3x_2" localSheetId="60">'316'!$F$49</definedName>
    <definedName name="OSRRefD21_3x_2" localSheetId="62">'317'!$F$58</definedName>
    <definedName name="OSRRefD21_3x_2" localSheetId="66">'321'!$F$47</definedName>
    <definedName name="OSRRefD21_3x_2" localSheetId="68">'325'!$F$47</definedName>
    <definedName name="OSRRefD21_3x_2" localSheetId="58">'326'!$F$50</definedName>
    <definedName name="OSRRefD21_3x_2" localSheetId="56">'331'!$F$66</definedName>
    <definedName name="OSRRefD21_3x_2" localSheetId="59">'332'!$F$49</definedName>
    <definedName name="OSRRefD21_3x_2" localSheetId="54">'333'!$F$68</definedName>
    <definedName name="OSRRefD21_3x_2" localSheetId="73">'405'!$F$49</definedName>
    <definedName name="OSRRefD21_3x_2" localSheetId="75">'411'!$F$42:$F$43</definedName>
    <definedName name="OSRRefD21_3x_2" localSheetId="76">'412'!$F$25</definedName>
    <definedName name="OSRRefD21_3x_2" localSheetId="79">'415'!$F$50</definedName>
    <definedName name="OSRRefD21_3x_2" localSheetId="80">'418'!$F$46</definedName>
    <definedName name="OSRRefD21_3x_2" localSheetId="81">'423'!$F$41</definedName>
    <definedName name="OSRRefD21_3x_2" localSheetId="83">'425'!$F$27</definedName>
    <definedName name="OSRRefD21_3x_2" localSheetId="86">'430'!$F$42</definedName>
    <definedName name="OSRRefD21_3x_2" localSheetId="87">'433'!$F$50</definedName>
    <definedName name="OSRRefD21_3x_2" localSheetId="88">'435'!$F$29</definedName>
    <definedName name="OSRRefD21_3x_2" localSheetId="89">'444'!$F$50</definedName>
    <definedName name="OSRRefD21_3x_2" localSheetId="90">'450'!$F$50</definedName>
    <definedName name="OSRRefD21_3x_2" localSheetId="72">'491'!$F$51</definedName>
    <definedName name="OSRRefD21_3x_2" localSheetId="85">'492'!$F$52</definedName>
    <definedName name="OSRRefD21_3x_2" localSheetId="92">'501'!$F$44</definedName>
    <definedName name="OSRRefD21_3x_2" localSheetId="39">'Div 2'!$F$44</definedName>
    <definedName name="OSRRefD21_3x_2" localSheetId="47">'Div 3'!$F$83</definedName>
    <definedName name="OSRRefD21_3x_2" localSheetId="70">'Div 4'!$F$54</definedName>
    <definedName name="OSRRefD21_3x_2" localSheetId="91">'Div 5'!$F$44</definedName>
    <definedName name="OSRRefD21_3x_2" localSheetId="61">'Div 6'!$F$58</definedName>
    <definedName name="OSRRefD21_3x_2" localSheetId="2">Summary!$F$91</definedName>
    <definedName name="OSRRefD21_3x_3" localSheetId="40">'200'!$G$25</definedName>
    <definedName name="OSRRefD21_3x_3" localSheetId="41">'201'!$G$42</definedName>
    <definedName name="OSRRefD21_3x_3" localSheetId="42">'202'!$G$42</definedName>
    <definedName name="OSRRefD21_3x_3" localSheetId="43">'203'!$G$43</definedName>
    <definedName name="OSRRefD21_3x_3" localSheetId="44">'204'!$G$43</definedName>
    <definedName name="OSRRefD21_3x_3" localSheetId="45">'205'!$G$42</definedName>
    <definedName name="OSRRefD21_3x_3" localSheetId="46">'206'!$G$42:$G$43</definedName>
    <definedName name="OSRRefD21_3x_3" localSheetId="48">'300'!$G$77</definedName>
    <definedName name="OSRRefD21_3x_3" localSheetId="49">'300 &amp; 317'!$G$83</definedName>
    <definedName name="OSRRefD21_3x_3" localSheetId="50">'301'!$G$44</definedName>
    <definedName name="OSRRefD21_3x_3" localSheetId="55">'307'!$G$56</definedName>
    <definedName name="OSRRefD21_3x_3" localSheetId="51">'308'!$G$58</definedName>
    <definedName name="OSRRefD21_3x_3" localSheetId="64">'309'!$G$33</definedName>
    <definedName name="OSRRefD21_3x_3" localSheetId="63">'310'!$G$52</definedName>
    <definedName name="OSRRefD21_3x_3" localSheetId="71">'310 &amp; 491'!$G$52</definedName>
    <definedName name="OSRRefD21_3x_3" localSheetId="52">'311'!$G$58</definedName>
    <definedName name="OSRRefD21_3x_3" localSheetId="57">'315'!$G$66</definedName>
    <definedName name="OSRRefD21_3x_3" localSheetId="60">'316'!$G$49</definedName>
    <definedName name="OSRRefD21_3x_3" localSheetId="62">'317'!$G$58</definedName>
    <definedName name="OSRRefD21_3x_3" localSheetId="66">'321'!$G$47</definedName>
    <definedName name="OSRRefD21_3x_3" localSheetId="68">'325'!$G$47</definedName>
    <definedName name="OSRRefD21_3x_3" localSheetId="58">'326'!$G$50</definedName>
    <definedName name="OSRRefD21_3x_3" localSheetId="56">'331'!$G$66</definedName>
    <definedName name="OSRRefD21_3x_3" localSheetId="59">'332'!$G$49</definedName>
    <definedName name="OSRRefD21_3x_3" localSheetId="54">'333'!$G$68</definedName>
    <definedName name="OSRRefD21_3x_3" localSheetId="73">'405'!$G$49</definedName>
    <definedName name="OSRRefD21_3x_3" localSheetId="75">'411'!$G$42:$G$43</definedName>
    <definedName name="OSRRefD21_3x_3" localSheetId="76">'412'!$G$25</definedName>
    <definedName name="OSRRefD21_3x_3" localSheetId="79">'415'!$G$50</definedName>
    <definedName name="OSRRefD21_3x_3" localSheetId="80">'418'!$G$46</definedName>
    <definedName name="OSRRefD21_3x_3" localSheetId="81">'423'!$G$41</definedName>
    <definedName name="OSRRefD21_3x_3" localSheetId="83">'425'!$G$27</definedName>
    <definedName name="OSRRefD21_3x_3" localSheetId="86">'430'!$G$42</definedName>
    <definedName name="OSRRefD21_3x_3" localSheetId="87">'433'!$G$50</definedName>
    <definedName name="OSRRefD21_3x_3" localSheetId="88">'435'!$G$29</definedName>
    <definedName name="OSRRefD21_3x_3" localSheetId="89">'444'!$G$50</definedName>
    <definedName name="OSRRefD21_3x_3" localSheetId="90">'450'!$G$50</definedName>
    <definedName name="OSRRefD21_3x_3" localSheetId="72">'491'!$G$51</definedName>
    <definedName name="OSRRefD21_3x_3" localSheetId="85">'492'!$G$52</definedName>
    <definedName name="OSRRefD21_3x_3" localSheetId="92">'501'!$G$44</definedName>
    <definedName name="OSRRefD21_3x_3" localSheetId="39">'Div 2'!$G$44</definedName>
    <definedName name="OSRRefD21_3x_3" localSheetId="47">'Div 3'!$G$83</definedName>
    <definedName name="OSRRefD21_3x_3" localSheetId="70">'Div 4'!$G$54</definedName>
    <definedName name="OSRRefD21_3x_3" localSheetId="91">'Div 5'!$G$44</definedName>
    <definedName name="OSRRefD21_3x_3" localSheetId="61">'Div 6'!$G$58</definedName>
    <definedName name="OSRRefD21_3x_3" localSheetId="2">Summary!$G$91</definedName>
    <definedName name="OSRRefD21_3x_4" localSheetId="40">'200'!$H$25</definedName>
    <definedName name="OSRRefD21_3x_4" localSheetId="41">'201'!$H$42</definedName>
    <definedName name="OSRRefD21_3x_4" localSheetId="42">'202'!$H$42</definedName>
    <definedName name="OSRRefD21_3x_4" localSheetId="43">'203'!$H$43</definedName>
    <definedName name="OSRRefD21_3x_4" localSheetId="44">'204'!$H$43</definedName>
    <definedName name="OSRRefD21_3x_4" localSheetId="45">'205'!$H$42</definedName>
    <definedName name="OSRRefD21_3x_4" localSheetId="46">'206'!$H$42:$H$43</definedName>
    <definedName name="OSRRefD21_3x_4" localSheetId="48">'300'!$H$77</definedName>
    <definedName name="OSRRefD21_3x_4" localSheetId="49">'300 &amp; 317'!$H$83</definedName>
    <definedName name="OSRRefD21_3x_4" localSheetId="50">'301'!$H$44</definedName>
    <definedName name="OSRRefD21_3x_4" localSheetId="55">'307'!$H$56</definedName>
    <definedName name="OSRRefD21_3x_4" localSheetId="51">'308'!$H$58</definedName>
    <definedName name="OSRRefD21_3x_4" localSheetId="64">'309'!$H$33</definedName>
    <definedName name="OSRRefD21_3x_4" localSheetId="63">'310'!$H$52</definedName>
    <definedName name="OSRRefD21_3x_4" localSheetId="71">'310 &amp; 491'!$H$52</definedName>
    <definedName name="OSRRefD21_3x_4" localSheetId="52">'311'!$H$58</definedName>
    <definedName name="OSRRefD21_3x_4" localSheetId="57">'315'!$H$66</definedName>
    <definedName name="OSRRefD21_3x_4" localSheetId="60">'316'!$H$49</definedName>
    <definedName name="OSRRefD21_3x_4" localSheetId="62">'317'!$H$58</definedName>
    <definedName name="OSRRefD21_3x_4" localSheetId="66">'321'!$H$47</definedName>
    <definedName name="OSRRefD21_3x_4" localSheetId="68">'325'!$H$47</definedName>
    <definedName name="OSRRefD21_3x_4" localSheetId="58">'326'!$H$50</definedName>
    <definedName name="OSRRefD21_3x_4" localSheetId="56">'331'!$H$66</definedName>
    <definedName name="OSRRefD21_3x_4" localSheetId="59">'332'!$H$49</definedName>
    <definedName name="OSRRefD21_3x_4" localSheetId="54">'333'!$H$68</definedName>
    <definedName name="OSRRefD21_3x_4" localSheetId="73">'405'!$H$49</definedName>
    <definedName name="OSRRefD21_3x_4" localSheetId="75">'411'!$H$42:$H$43</definedName>
    <definedName name="OSRRefD21_3x_4" localSheetId="76">'412'!$H$25</definedName>
    <definedName name="OSRRefD21_3x_4" localSheetId="79">'415'!$H$50</definedName>
    <definedName name="OSRRefD21_3x_4" localSheetId="80">'418'!$H$46</definedName>
    <definedName name="OSRRefD21_3x_4" localSheetId="81">'423'!$H$41</definedName>
    <definedName name="OSRRefD21_3x_4" localSheetId="83">'425'!$H$27</definedName>
    <definedName name="OSRRefD21_3x_4" localSheetId="86">'430'!$H$42</definedName>
    <definedName name="OSRRefD21_3x_4" localSheetId="87">'433'!$H$50</definedName>
    <definedName name="OSRRefD21_3x_4" localSheetId="88">'435'!$H$29</definedName>
    <definedName name="OSRRefD21_3x_4" localSheetId="89">'444'!$H$50</definedName>
    <definedName name="OSRRefD21_3x_4" localSheetId="90">'450'!$H$50</definedName>
    <definedName name="OSRRefD21_3x_4" localSheetId="72">'491'!$H$51</definedName>
    <definedName name="OSRRefD21_3x_4" localSheetId="85">'492'!$H$52</definedName>
    <definedName name="OSRRefD21_3x_4" localSheetId="92">'501'!$H$44</definedName>
    <definedName name="OSRRefD21_3x_4" localSheetId="39">'Div 2'!$H$44</definedName>
    <definedName name="OSRRefD21_3x_4" localSheetId="47">'Div 3'!$H$83</definedName>
    <definedName name="OSRRefD21_3x_4" localSheetId="70">'Div 4'!$H$54</definedName>
    <definedName name="OSRRefD21_3x_4" localSheetId="91">'Div 5'!$H$44</definedName>
    <definedName name="OSRRefD21_3x_4" localSheetId="61">'Div 6'!$H$58</definedName>
    <definedName name="OSRRefD21_3x_4" localSheetId="2">Summary!$H$91</definedName>
    <definedName name="OSRRefD21_3x_5" localSheetId="40">'200'!$I$25</definedName>
    <definedName name="OSRRefD21_3x_5" localSheetId="41">'201'!$I$42</definedName>
    <definedName name="OSRRefD21_3x_5" localSheetId="42">'202'!$I$42</definedName>
    <definedName name="OSRRefD21_3x_5" localSheetId="43">'203'!$I$43</definedName>
    <definedName name="OSRRefD21_3x_5" localSheetId="44">'204'!$I$43</definedName>
    <definedName name="OSRRefD21_3x_5" localSheetId="45">'205'!$I$42</definedName>
    <definedName name="OSRRefD21_3x_5" localSheetId="46">'206'!$I$42:$I$43</definedName>
    <definedName name="OSRRefD21_3x_5" localSheetId="48">'300'!$I$77</definedName>
    <definedName name="OSRRefD21_3x_5" localSheetId="49">'300 &amp; 317'!$I$83</definedName>
    <definedName name="OSRRefD21_3x_5" localSheetId="50">'301'!$I$44</definedName>
    <definedName name="OSRRefD21_3x_5" localSheetId="55">'307'!$I$56</definedName>
    <definedName name="OSRRefD21_3x_5" localSheetId="51">'308'!$I$58</definedName>
    <definedName name="OSRRefD21_3x_5" localSheetId="64">'309'!$I$33</definedName>
    <definedName name="OSRRefD21_3x_5" localSheetId="63">'310'!$I$52</definedName>
    <definedName name="OSRRefD21_3x_5" localSheetId="71">'310 &amp; 491'!$I$52</definedName>
    <definedName name="OSRRefD21_3x_5" localSheetId="52">'311'!$I$58</definedName>
    <definedName name="OSRRefD21_3x_5" localSheetId="57">'315'!$I$66</definedName>
    <definedName name="OSRRefD21_3x_5" localSheetId="60">'316'!$I$49</definedName>
    <definedName name="OSRRefD21_3x_5" localSheetId="62">'317'!$I$58</definedName>
    <definedName name="OSRRefD21_3x_5" localSheetId="66">'321'!$I$47</definedName>
    <definedName name="OSRRefD21_3x_5" localSheetId="68">'325'!$I$47</definedName>
    <definedName name="OSRRefD21_3x_5" localSheetId="58">'326'!$I$50</definedName>
    <definedName name="OSRRefD21_3x_5" localSheetId="56">'331'!$I$66</definedName>
    <definedName name="OSRRefD21_3x_5" localSheetId="59">'332'!$I$49</definedName>
    <definedName name="OSRRefD21_3x_5" localSheetId="54">'333'!$I$68</definedName>
    <definedName name="OSRRefD21_3x_5" localSheetId="73">'405'!$I$49</definedName>
    <definedName name="OSRRefD21_3x_5" localSheetId="75">'411'!$I$42:$I$43</definedName>
    <definedName name="OSRRefD21_3x_5" localSheetId="76">'412'!$I$25</definedName>
    <definedName name="OSRRefD21_3x_5" localSheetId="79">'415'!$I$50</definedName>
    <definedName name="OSRRefD21_3x_5" localSheetId="80">'418'!$I$46</definedName>
    <definedName name="OSRRefD21_3x_5" localSheetId="81">'423'!$I$41</definedName>
    <definedName name="OSRRefD21_3x_5" localSheetId="83">'425'!$I$27</definedName>
    <definedName name="OSRRefD21_3x_5" localSheetId="86">'430'!$I$42</definedName>
    <definedName name="OSRRefD21_3x_5" localSheetId="87">'433'!$I$50</definedName>
    <definedName name="OSRRefD21_3x_5" localSheetId="88">'435'!$I$29</definedName>
    <definedName name="OSRRefD21_3x_5" localSheetId="89">'444'!$I$50</definedName>
    <definedName name="OSRRefD21_3x_5" localSheetId="90">'450'!$I$50</definedName>
    <definedName name="OSRRefD21_3x_5" localSheetId="72">'491'!$I$51</definedName>
    <definedName name="OSRRefD21_3x_5" localSheetId="85">'492'!$I$52</definedName>
    <definedName name="OSRRefD21_3x_5" localSheetId="92">'501'!$I$44</definedName>
    <definedName name="OSRRefD21_3x_5" localSheetId="39">'Div 2'!$I$44</definedName>
    <definedName name="OSRRefD21_3x_5" localSheetId="47">'Div 3'!$I$83</definedName>
    <definedName name="OSRRefD21_3x_5" localSheetId="70">'Div 4'!$I$54</definedName>
    <definedName name="OSRRefD21_3x_5" localSheetId="91">'Div 5'!$I$44</definedName>
    <definedName name="OSRRefD21_3x_5" localSheetId="61">'Div 6'!$I$58</definedName>
    <definedName name="OSRRefD21_3x_5" localSheetId="2">Summary!$I$91</definedName>
    <definedName name="OSRRefD21_3x_6" localSheetId="40">'200'!$J$25</definedName>
    <definedName name="OSRRefD21_3x_6" localSheetId="41">'201'!$J$42</definedName>
    <definedName name="OSRRefD21_3x_6" localSheetId="42">'202'!$J$42</definedName>
    <definedName name="OSRRefD21_3x_6" localSheetId="43">'203'!$J$43</definedName>
    <definedName name="OSRRefD21_3x_6" localSheetId="44">'204'!$J$43</definedName>
    <definedName name="OSRRefD21_3x_6" localSheetId="45">'205'!$J$42</definedName>
    <definedName name="OSRRefD21_3x_6" localSheetId="46">'206'!$J$42:$J$43</definedName>
    <definedName name="OSRRefD21_3x_6" localSheetId="48">'300'!$J$77</definedName>
    <definedName name="OSRRefD21_3x_6" localSheetId="49">'300 &amp; 317'!$J$83</definedName>
    <definedName name="OSRRefD21_3x_6" localSheetId="50">'301'!$J$44</definedName>
    <definedName name="OSRRefD21_3x_6" localSheetId="55">'307'!$J$56</definedName>
    <definedName name="OSRRefD21_3x_6" localSheetId="51">'308'!$J$58</definedName>
    <definedName name="OSRRefD21_3x_6" localSheetId="64">'309'!$J$33</definedName>
    <definedName name="OSRRefD21_3x_6" localSheetId="63">'310'!$J$52</definedName>
    <definedName name="OSRRefD21_3x_6" localSheetId="71">'310 &amp; 491'!$J$52</definedName>
    <definedName name="OSRRefD21_3x_6" localSheetId="52">'311'!$J$58</definedName>
    <definedName name="OSRRefD21_3x_6" localSheetId="57">'315'!$J$66</definedName>
    <definedName name="OSRRefD21_3x_6" localSheetId="60">'316'!$J$49</definedName>
    <definedName name="OSRRefD21_3x_6" localSheetId="62">'317'!$J$58</definedName>
    <definedName name="OSRRefD21_3x_6" localSheetId="66">'321'!$J$47</definedName>
    <definedName name="OSRRefD21_3x_6" localSheetId="68">'325'!$J$47</definedName>
    <definedName name="OSRRefD21_3x_6" localSheetId="58">'326'!$J$50</definedName>
    <definedName name="OSRRefD21_3x_6" localSheetId="56">'331'!$J$66</definedName>
    <definedName name="OSRRefD21_3x_6" localSheetId="59">'332'!$J$49</definedName>
    <definedName name="OSRRefD21_3x_6" localSheetId="54">'333'!$J$68</definedName>
    <definedName name="OSRRefD21_3x_6" localSheetId="73">'405'!$J$49</definedName>
    <definedName name="OSRRefD21_3x_6" localSheetId="75">'411'!$J$42:$J$43</definedName>
    <definedName name="OSRRefD21_3x_6" localSheetId="76">'412'!$J$25</definedName>
    <definedName name="OSRRefD21_3x_6" localSheetId="79">'415'!$J$50</definedName>
    <definedName name="OSRRefD21_3x_6" localSheetId="80">'418'!$J$46</definedName>
    <definedName name="OSRRefD21_3x_6" localSheetId="81">'423'!$J$41</definedName>
    <definedName name="OSRRefD21_3x_6" localSheetId="83">'425'!$J$27</definedName>
    <definedName name="OSRRefD21_3x_6" localSheetId="86">'430'!$J$42</definedName>
    <definedName name="OSRRefD21_3x_6" localSheetId="87">'433'!$J$50</definedName>
    <definedName name="OSRRefD21_3x_6" localSheetId="88">'435'!$J$29</definedName>
    <definedName name="OSRRefD21_3x_6" localSheetId="89">'444'!$J$50</definedName>
    <definedName name="OSRRefD21_3x_6" localSheetId="90">'450'!$J$50</definedName>
    <definedName name="OSRRefD21_3x_6" localSheetId="72">'491'!$J$51</definedName>
    <definedName name="OSRRefD21_3x_6" localSheetId="85">'492'!$J$52</definedName>
    <definedName name="OSRRefD21_3x_6" localSheetId="92">'501'!$J$44</definedName>
    <definedName name="OSRRefD21_3x_6" localSheetId="39">'Div 2'!$J$44</definedName>
    <definedName name="OSRRefD21_3x_6" localSheetId="47">'Div 3'!$J$83</definedName>
    <definedName name="OSRRefD21_3x_6" localSheetId="70">'Div 4'!$J$54</definedName>
    <definedName name="OSRRefD21_3x_6" localSheetId="91">'Div 5'!$J$44</definedName>
    <definedName name="OSRRefD21_3x_6" localSheetId="61">'Div 6'!$J$58</definedName>
    <definedName name="OSRRefD21_3x_6" localSheetId="2">Summary!$J$91</definedName>
    <definedName name="OSRRefD21_3x_7" localSheetId="40">'200'!$K$25</definedName>
    <definedName name="OSRRefD21_3x_7" localSheetId="41">'201'!$K$42</definedName>
    <definedName name="OSRRefD21_3x_7" localSheetId="42">'202'!$K$42</definedName>
    <definedName name="OSRRefD21_3x_7" localSheetId="43">'203'!$K$43</definedName>
    <definedName name="OSRRefD21_3x_7" localSheetId="44">'204'!$K$43</definedName>
    <definedName name="OSRRefD21_3x_7" localSheetId="45">'205'!$K$42</definedName>
    <definedName name="OSRRefD21_3x_7" localSheetId="46">'206'!$K$42:$K$43</definedName>
    <definedName name="OSRRefD21_3x_7" localSheetId="48">'300'!$K$77</definedName>
    <definedName name="OSRRefD21_3x_7" localSheetId="49">'300 &amp; 317'!$K$83</definedName>
    <definedName name="OSRRefD21_3x_7" localSheetId="50">'301'!$K$44</definedName>
    <definedName name="OSRRefD21_3x_7" localSheetId="55">'307'!$K$56</definedName>
    <definedName name="OSRRefD21_3x_7" localSheetId="51">'308'!$K$58</definedName>
    <definedName name="OSRRefD21_3x_7" localSheetId="64">'309'!$K$33</definedName>
    <definedName name="OSRRefD21_3x_7" localSheetId="63">'310'!$K$52</definedName>
    <definedName name="OSRRefD21_3x_7" localSheetId="71">'310 &amp; 491'!$K$52</definedName>
    <definedName name="OSRRefD21_3x_7" localSheetId="52">'311'!$K$58</definedName>
    <definedName name="OSRRefD21_3x_7" localSheetId="57">'315'!$K$66</definedName>
    <definedName name="OSRRefD21_3x_7" localSheetId="60">'316'!$K$49</definedName>
    <definedName name="OSRRefD21_3x_7" localSheetId="62">'317'!$K$58</definedName>
    <definedName name="OSRRefD21_3x_7" localSheetId="66">'321'!$K$47</definedName>
    <definedName name="OSRRefD21_3x_7" localSheetId="68">'325'!$K$47</definedName>
    <definedName name="OSRRefD21_3x_7" localSheetId="58">'326'!$K$50</definedName>
    <definedName name="OSRRefD21_3x_7" localSheetId="56">'331'!$K$66</definedName>
    <definedName name="OSRRefD21_3x_7" localSheetId="59">'332'!$K$49</definedName>
    <definedName name="OSRRefD21_3x_7" localSheetId="54">'333'!$K$68</definedName>
    <definedName name="OSRRefD21_3x_7" localSheetId="73">'405'!$K$49</definedName>
    <definedName name="OSRRefD21_3x_7" localSheetId="75">'411'!$K$42:$K$43</definedName>
    <definedName name="OSRRefD21_3x_7" localSheetId="76">'412'!$K$25</definedName>
    <definedName name="OSRRefD21_3x_7" localSheetId="79">'415'!$K$50</definedName>
    <definedName name="OSRRefD21_3x_7" localSheetId="80">'418'!$K$46</definedName>
    <definedName name="OSRRefD21_3x_7" localSheetId="81">'423'!$K$41</definedName>
    <definedName name="OSRRefD21_3x_7" localSheetId="83">'425'!$K$27</definedName>
    <definedName name="OSRRefD21_3x_7" localSheetId="86">'430'!$K$42</definedName>
    <definedName name="OSRRefD21_3x_7" localSheetId="87">'433'!$K$50</definedName>
    <definedName name="OSRRefD21_3x_7" localSheetId="88">'435'!$K$29</definedName>
    <definedName name="OSRRefD21_3x_7" localSheetId="89">'444'!$K$50</definedName>
    <definedName name="OSRRefD21_3x_7" localSheetId="90">'450'!$K$50</definedName>
    <definedName name="OSRRefD21_3x_7" localSheetId="72">'491'!$K$51</definedName>
    <definedName name="OSRRefD21_3x_7" localSheetId="85">'492'!$K$52</definedName>
    <definedName name="OSRRefD21_3x_7" localSheetId="92">'501'!$K$44</definedName>
    <definedName name="OSRRefD21_3x_7" localSheetId="39">'Div 2'!$K$44</definedName>
    <definedName name="OSRRefD21_3x_7" localSheetId="47">'Div 3'!$K$83</definedName>
    <definedName name="OSRRefD21_3x_7" localSheetId="70">'Div 4'!$K$54</definedName>
    <definedName name="OSRRefD21_3x_7" localSheetId="91">'Div 5'!$K$44</definedName>
    <definedName name="OSRRefD21_3x_7" localSheetId="61">'Div 6'!$K$58</definedName>
    <definedName name="OSRRefD21_3x_7" localSheetId="2">Summary!$K$91</definedName>
    <definedName name="OSRRefD21_3x_8" localSheetId="40">'200'!$L$25</definedName>
    <definedName name="OSRRefD21_3x_8" localSheetId="41">'201'!$L$42</definedName>
    <definedName name="OSRRefD21_3x_8" localSheetId="42">'202'!$L$42</definedName>
    <definedName name="OSRRefD21_3x_8" localSheetId="43">'203'!$L$43</definedName>
    <definedName name="OSRRefD21_3x_8" localSheetId="44">'204'!$L$43</definedName>
    <definedName name="OSRRefD21_3x_8" localSheetId="45">'205'!$L$42</definedName>
    <definedName name="OSRRefD21_3x_8" localSheetId="46">'206'!$L$42:$L$43</definedName>
    <definedName name="OSRRefD21_3x_8" localSheetId="48">'300'!$L$77</definedName>
    <definedName name="OSRRefD21_3x_8" localSheetId="49">'300 &amp; 317'!$L$83</definedName>
    <definedName name="OSRRefD21_3x_8" localSheetId="50">'301'!$L$44</definedName>
    <definedName name="OSRRefD21_3x_8" localSheetId="55">'307'!$L$56</definedName>
    <definedName name="OSRRefD21_3x_8" localSheetId="51">'308'!$L$58</definedName>
    <definedName name="OSRRefD21_3x_8" localSheetId="64">'309'!$L$33</definedName>
    <definedName name="OSRRefD21_3x_8" localSheetId="63">'310'!$L$52</definedName>
    <definedName name="OSRRefD21_3x_8" localSheetId="71">'310 &amp; 491'!$L$52</definedName>
    <definedName name="OSRRefD21_3x_8" localSheetId="52">'311'!$L$58</definedName>
    <definedName name="OSRRefD21_3x_8" localSheetId="57">'315'!$L$66</definedName>
    <definedName name="OSRRefD21_3x_8" localSheetId="60">'316'!$L$49</definedName>
    <definedName name="OSRRefD21_3x_8" localSheetId="62">'317'!$L$58</definedName>
    <definedName name="OSRRefD21_3x_8" localSheetId="66">'321'!$L$47</definedName>
    <definedName name="OSRRefD21_3x_8" localSheetId="68">'325'!$L$47</definedName>
    <definedName name="OSRRefD21_3x_8" localSheetId="58">'326'!$L$50</definedName>
    <definedName name="OSRRefD21_3x_8" localSheetId="56">'331'!$L$66</definedName>
    <definedName name="OSRRefD21_3x_8" localSheetId="59">'332'!$L$49</definedName>
    <definedName name="OSRRefD21_3x_8" localSheetId="54">'333'!$L$68</definedName>
    <definedName name="OSRRefD21_3x_8" localSheetId="73">'405'!$L$49</definedName>
    <definedName name="OSRRefD21_3x_8" localSheetId="75">'411'!$L$42:$L$43</definedName>
    <definedName name="OSRRefD21_3x_8" localSheetId="76">'412'!$L$25</definedName>
    <definedName name="OSRRefD21_3x_8" localSheetId="79">'415'!$L$50</definedName>
    <definedName name="OSRRefD21_3x_8" localSheetId="80">'418'!$L$46</definedName>
    <definedName name="OSRRefD21_3x_8" localSheetId="81">'423'!$L$41</definedName>
    <definedName name="OSRRefD21_3x_8" localSheetId="83">'425'!$L$27</definedName>
    <definedName name="OSRRefD21_3x_8" localSheetId="86">'430'!$L$42</definedName>
    <definedName name="OSRRefD21_3x_8" localSheetId="87">'433'!$L$50</definedName>
    <definedName name="OSRRefD21_3x_8" localSheetId="88">'435'!$L$29</definedName>
    <definedName name="OSRRefD21_3x_8" localSheetId="89">'444'!$L$50</definedName>
    <definedName name="OSRRefD21_3x_8" localSheetId="90">'450'!$L$50</definedName>
    <definedName name="OSRRefD21_3x_8" localSheetId="72">'491'!$L$51</definedName>
    <definedName name="OSRRefD21_3x_8" localSheetId="85">'492'!$L$52</definedName>
    <definedName name="OSRRefD21_3x_8" localSheetId="92">'501'!$L$44</definedName>
    <definedName name="OSRRefD21_3x_8" localSheetId="39">'Div 2'!$L$44</definedName>
    <definedName name="OSRRefD21_3x_8" localSheetId="47">'Div 3'!$L$83</definedName>
    <definedName name="OSRRefD21_3x_8" localSheetId="70">'Div 4'!$L$54</definedName>
    <definedName name="OSRRefD21_3x_8" localSheetId="91">'Div 5'!$L$44</definedName>
    <definedName name="OSRRefD21_3x_8" localSheetId="61">'Div 6'!$L$58</definedName>
    <definedName name="OSRRefD21_3x_8" localSheetId="2">Summary!$L$91</definedName>
    <definedName name="OSRRefD21_3x_9" localSheetId="40">'200'!$M$25</definedName>
    <definedName name="OSRRefD21_3x_9" localSheetId="41">'201'!$M$42</definedName>
    <definedName name="OSRRefD21_3x_9" localSheetId="42">'202'!$M$42</definedName>
    <definedName name="OSRRefD21_3x_9" localSheetId="43">'203'!$M$43</definedName>
    <definedName name="OSRRefD21_3x_9" localSheetId="44">'204'!$M$43</definedName>
    <definedName name="OSRRefD21_3x_9" localSheetId="45">'205'!$M$42</definedName>
    <definedName name="OSRRefD21_3x_9" localSheetId="46">'206'!$M$42:$M$43</definedName>
    <definedName name="OSRRefD21_3x_9" localSheetId="48">'300'!$M$77</definedName>
    <definedName name="OSRRefD21_3x_9" localSheetId="49">'300 &amp; 317'!$M$83</definedName>
    <definedName name="OSRRefD21_3x_9" localSheetId="50">'301'!$M$44</definedName>
    <definedName name="OSRRefD21_3x_9" localSheetId="55">'307'!$M$56</definedName>
    <definedName name="OSRRefD21_3x_9" localSheetId="51">'308'!$M$58</definedName>
    <definedName name="OSRRefD21_3x_9" localSheetId="64">'309'!$M$33</definedName>
    <definedName name="OSRRefD21_3x_9" localSheetId="63">'310'!$M$52</definedName>
    <definedName name="OSRRefD21_3x_9" localSheetId="71">'310 &amp; 491'!$M$52</definedName>
    <definedName name="OSRRefD21_3x_9" localSheetId="52">'311'!$M$58</definedName>
    <definedName name="OSRRefD21_3x_9" localSheetId="57">'315'!$M$66</definedName>
    <definedName name="OSRRefD21_3x_9" localSheetId="60">'316'!$M$49</definedName>
    <definedName name="OSRRefD21_3x_9" localSheetId="62">'317'!$M$58</definedName>
    <definedName name="OSRRefD21_3x_9" localSheetId="66">'321'!$M$47</definedName>
    <definedName name="OSRRefD21_3x_9" localSheetId="68">'325'!$M$47</definedName>
    <definedName name="OSRRefD21_3x_9" localSheetId="58">'326'!$M$50</definedName>
    <definedName name="OSRRefD21_3x_9" localSheetId="56">'331'!$M$66</definedName>
    <definedName name="OSRRefD21_3x_9" localSheetId="59">'332'!$M$49</definedName>
    <definedName name="OSRRefD21_3x_9" localSheetId="54">'333'!$M$68</definedName>
    <definedName name="OSRRefD21_3x_9" localSheetId="73">'405'!$M$49</definedName>
    <definedName name="OSRRefD21_3x_9" localSheetId="75">'411'!$M$42:$M$43</definedName>
    <definedName name="OSRRefD21_3x_9" localSheetId="76">'412'!$M$25</definedName>
    <definedName name="OSRRefD21_3x_9" localSheetId="79">'415'!$M$50</definedName>
    <definedName name="OSRRefD21_3x_9" localSheetId="80">'418'!$M$46</definedName>
    <definedName name="OSRRefD21_3x_9" localSheetId="81">'423'!$M$41</definedName>
    <definedName name="OSRRefD21_3x_9" localSheetId="83">'425'!$M$27</definedName>
    <definedName name="OSRRefD21_3x_9" localSheetId="86">'430'!$M$42</definedName>
    <definedName name="OSRRefD21_3x_9" localSheetId="87">'433'!$M$50</definedName>
    <definedName name="OSRRefD21_3x_9" localSheetId="88">'435'!$M$29</definedName>
    <definedName name="OSRRefD21_3x_9" localSheetId="89">'444'!$M$50</definedName>
    <definedName name="OSRRefD21_3x_9" localSheetId="90">'450'!$M$50</definedName>
    <definedName name="OSRRefD21_3x_9" localSheetId="72">'491'!$M$51</definedName>
    <definedName name="OSRRefD21_3x_9" localSheetId="85">'492'!$M$52</definedName>
    <definedName name="OSRRefD21_3x_9" localSheetId="92">'501'!$M$44</definedName>
    <definedName name="OSRRefD21_3x_9" localSheetId="39">'Div 2'!$M$44</definedName>
    <definedName name="OSRRefD21_3x_9" localSheetId="47">'Div 3'!$M$83</definedName>
    <definedName name="OSRRefD21_3x_9" localSheetId="70">'Div 4'!$M$54</definedName>
    <definedName name="OSRRefD21_3x_9" localSheetId="91">'Div 5'!$M$44</definedName>
    <definedName name="OSRRefD21_3x_9" localSheetId="61">'Div 6'!$M$58</definedName>
    <definedName name="OSRRefD21_3x_9" localSheetId="2">Summary!$M$91</definedName>
    <definedName name="OSRRefD21_4_0x" localSheetId="41">'201'!$D$44:$M$44</definedName>
    <definedName name="OSRRefD21_4_0x" localSheetId="42">'202'!$D$44:$M$44</definedName>
    <definedName name="OSRRefD21_4_0x" localSheetId="43">'203'!$D$45:$M$45</definedName>
    <definedName name="OSRRefD21_4_0x" localSheetId="44">'204'!$D$45:$M$45</definedName>
    <definedName name="OSRRefD21_4_0x" localSheetId="45">'205'!$D$44:$M$44</definedName>
    <definedName name="OSRRefD21_4_0x" localSheetId="46">'206'!$D$45:$M$45</definedName>
    <definedName name="OSRRefD21_4_0x" localSheetId="48">'300'!$D$79:$M$79</definedName>
    <definedName name="OSRRefD21_4_0x" localSheetId="49">'300 &amp; 317'!$D$85:$M$85</definedName>
    <definedName name="OSRRefD21_4_0x" localSheetId="50">'301'!$D$46:$M$46</definedName>
    <definedName name="OSRRefD21_4_0x" localSheetId="55">'307'!$D$58:$M$58</definedName>
    <definedName name="OSRRefD21_4_0x" localSheetId="51">'308'!$D$60:$M$60</definedName>
    <definedName name="OSRRefD21_4_0x" localSheetId="64">'309'!$D$35:$M$35</definedName>
    <definedName name="OSRRefD21_4_0x" localSheetId="63">'310'!$D$54:$M$54</definedName>
    <definedName name="OSRRefD21_4_0x" localSheetId="71">'310 &amp; 491'!$D$54:$M$54</definedName>
    <definedName name="OSRRefD21_4_0x" localSheetId="52">'311'!$D$60:$M$60</definedName>
    <definedName name="OSRRefD21_4_0x" localSheetId="57">'315'!$D$68:$M$68</definedName>
    <definedName name="OSRRefD21_4_0x" localSheetId="60">'316'!$D$51:$M$51</definedName>
    <definedName name="OSRRefD21_4_0x" localSheetId="62">'317'!$D$60:$M$60</definedName>
    <definedName name="OSRRefD21_4_0x" localSheetId="66">'321'!$D$49:$M$49</definedName>
    <definedName name="OSRRefD21_4_0x" localSheetId="68">'325'!$D$49:$M$49</definedName>
    <definedName name="OSRRefD21_4_0x" localSheetId="58">'326'!$D$52:$M$52</definedName>
    <definedName name="OSRRefD21_4_0x" localSheetId="56">'331'!$D$68:$M$68</definedName>
    <definedName name="OSRRefD21_4_0x" localSheetId="59">'332'!$D$51:$M$51</definedName>
    <definedName name="OSRRefD21_4_0x" localSheetId="54">'333'!$D$70:$M$70</definedName>
    <definedName name="OSRRefD21_4_0x" localSheetId="73">'405'!$D$51:$M$51</definedName>
    <definedName name="OSRRefD21_4_0x" localSheetId="75">'411'!$D$45:$M$45</definedName>
    <definedName name="OSRRefD21_4_0x" localSheetId="79">'415'!$D$52:$M$52</definedName>
    <definedName name="OSRRefD21_4_0x" localSheetId="80">'418'!$D$48:$M$48</definedName>
    <definedName name="OSRRefD21_4_0x" localSheetId="81">'423'!$D$43:$M$43</definedName>
    <definedName name="OSRRefD21_4_0x" localSheetId="83">'425'!$D$29:$M$29</definedName>
    <definedName name="OSRRefD21_4_0x" localSheetId="86">'430'!$D$44:$M$44</definedName>
    <definedName name="OSRRefD21_4_0x" localSheetId="87">'433'!$D$52:$M$52</definedName>
    <definedName name="OSRRefD21_4_0x" localSheetId="88">'435'!$D$31:$M$31</definedName>
    <definedName name="OSRRefD21_4_0x" localSheetId="89">'444'!$D$52:$M$52</definedName>
    <definedName name="OSRRefD21_4_0x" localSheetId="90">'450'!$D$52:$M$52</definedName>
    <definedName name="OSRRefD21_4_0x" localSheetId="72">'491'!$D$53:$M$53</definedName>
    <definedName name="OSRRefD21_4_0x" localSheetId="85">'492'!$D$54:$M$54</definedName>
    <definedName name="OSRRefD21_4_0x" localSheetId="92">'501'!$D$46:$M$46</definedName>
    <definedName name="OSRRefD21_4_0x" localSheetId="39">'Div 2'!$D$46:$M$46</definedName>
    <definedName name="OSRRefD21_4_0x" localSheetId="47">'Div 3'!$D$85:$M$85</definedName>
    <definedName name="OSRRefD21_4_0x" localSheetId="70">'Div 4'!$D$56:$M$56</definedName>
    <definedName name="OSRRefD21_4_0x" localSheetId="91">'Div 5'!$D$46:$M$46</definedName>
    <definedName name="OSRRefD21_4_0x" localSheetId="61">'Div 6'!$D$60:$M$60</definedName>
    <definedName name="OSRRefD21_4_0x" localSheetId="2">Summary!$D$93:$M$93</definedName>
    <definedName name="OSRRefD21_4_1x" localSheetId="44">'204'!$D$46:$M$46</definedName>
    <definedName name="OSRRefD21_4_1x" localSheetId="45">'205'!$D$45:$M$45</definedName>
    <definedName name="OSRRefD21_4_1x" localSheetId="80">'418'!$D$49:$M$49</definedName>
    <definedName name="OSRRefD21_4_2x" localSheetId="44">'204'!$D$47:$M$47</definedName>
    <definedName name="OSRRefD21_4_3x" localSheetId="44">'204'!$D$48:$M$48</definedName>
    <definedName name="OSRRefD21_4x_0" localSheetId="41">'201'!$D$44</definedName>
    <definedName name="OSRRefD21_4x_0" localSheetId="42">'202'!$D$44</definedName>
    <definedName name="OSRRefD21_4x_0" localSheetId="43">'203'!$D$45</definedName>
    <definedName name="OSRRefD21_4x_0" localSheetId="44">'204'!$D$45:$D$48</definedName>
    <definedName name="OSRRefD21_4x_0" localSheetId="45">'205'!$D$44:$D$45</definedName>
    <definedName name="OSRRefD21_4x_0" localSheetId="46">'206'!$D$45</definedName>
    <definedName name="OSRRefD21_4x_0" localSheetId="48">'300'!$D$79</definedName>
    <definedName name="OSRRefD21_4x_0" localSheetId="49">'300 &amp; 317'!$D$85</definedName>
    <definedName name="OSRRefD21_4x_0" localSheetId="50">'301'!$D$46</definedName>
    <definedName name="OSRRefD21_4x_0" localSheetId="55">'307'!$D$58</definedName>
    <definedName name="OSRRefD21_4x_0" localSheetId="51">'308'!$D$60</definedName>
    <definedName name="OSRRefD21_4x_0" localSheetId="64">'309'!$D$35</definedName>
    <definedName name="OSRRefD21_4x_0" localSheetId="63">'310'!$D$54</definedName>
    <definedName name="OSRRefD21_4x_0" localSheetId="71">'310 &amp; 491'!$D$54</definedName>
    <definedName name="OSRRefD21_4x_0" localSheetId="52">'311'!$D$60</definedName>
    <definedName name="OSRRefD21_4x_0" localSheetId="57">'315'!$D$68</definedName>
    <definedName name="OSRRefD21_4x_0" localSheetId="60">'316'!$D$51</definedName>
    <definedName name="OSRRefD21_4x_0" localSheetId="62">'317'!$D$60</definedName>
    <definedName name="OSRRefD21_4x_0" localSheetId="66">'321'!$D$49</definedName>
    <definedName name="OSRRefD21_4x_0" localSheetId="68">'325'!$D$49</definedName>
    <definedName name="OSRRefD21_4x_0" localSheetId="58">'326'!$D$52</definedName>
    <definedName name="OSRRefD21_4x_0" localSheetId="56">'331'!$D$68</definedName>
    <definedName name="OSRRefD21_4x_0" localSheetId="59">'332'!$D$51</definedName>
    <definedName name="OSRRefD21_4x_0" localSheetId="54">'333'!$D$70</definedName>
    <definedName name="OSRRefD21_4x_0" localSheetId="73">'405'!$D$51</definedName>
    <definedName name="OSRRefD21_4x_0" localSheetId="75">'411'!$D$45</definedName>
    <definedName name="OSRRefD21_4x_0" localSheetId="79">'415'!$D$52</definedName>
    <definedName name="OSRRefD21_4x_0" localSheetId="80">'418'!$D$48:$D$49</definedName>
    <definedName name="OSRRefD21_4x_0" localSheetId="81">'423'!$D$43</definedName>
    <definedName name="OSRRefD21_4x_0" localSheetId="83">'425'!$D$29</definedName>
    <definedName name="OSRRefD21_4x_0" localSheetId="86">'430'!$D$44</definedName>
    <definedName name="OSRRefD21_4x_0" localSheetId="87">'433'!$D$52</definedName>
    <definedName name="OSRRefD21_4x_0" localSheetId="88">'435'!$D$31</definedName>
    <definedName name="OSRRefD21_4x_0" localSheetId="89">'444'!$D$52</definedName>
    <definedName name="OSRRefD21_4x_0" localSheetId="90">'450'!$D$52</definedName>
    <definedName name="OSRRefD21_4x_0" localSheetId="72">'491'!$D$53</definedName>
    <definedName name="OSRRefD21_4x_0" localSheetId="85">'492'!$D$54</definedName>
    <definedName name="OSRRefD21_4x_0" localSheetId="92">'501'!$D$46</definedName>
    <definedName name="OSRRefD21_4x_0" localSheetId="39">'Div 2'!$D$46</definedName>
    <definedName name="OSRRefD21_4x_0" localSheetId="47">'Div 3'!$D$85</definedName>
    <definedName name="OSRRefD21_4x_0" localSheetId="70">'Div 4'!$D$56</definedName>
    <definedName name="OSRRefD21_4x_0" localSheetId="91">'Div 5'!$D$46</definedName>
    <definedName name="OSRRefD21_4x_0" localSheetId="61">'Div 6'!$D$60</definedName>
    <definedName name="OSRRefD21_4x_0" localSheetId="2">Summary!$D$93</definedName>
    <definedName name="OSRRefD21_4x_1" localSheetId="41">'201'!$E$44</definedName>
    <definedName name="OSRRefD21_4x_1" localSheetId="42">'202'!$E$44</definedName>
    <definedName name="OSRRefD21_4x_1" localSheetId="43">'203'!$E$45</definedName>
    <definedName name="OSRRefD21_4x_1" localSheetId="44">'204'!$E$45:$E$48</definedName>
    <definedName name="OSRRefD21_4x_1" localSheetId="45">'205'!$E$44:$E$45</definedName>
    <definedName name="OSRRefD21_4x_1" localSheetId="46">'206'!$E$45</definedName>
    <definedName name="OSRRefD21_4x_1" localSheetId="48">'300'!$E$79</definedName>
    <definedName name="OSRRefD21_4x_1" localSheetId="49">'300 &amp; 317'!$E$85</definedName>
    <definedName name="OSRRefD21_4x_1" localSheetId="50">'301'!$E$46</definedName>
    <definedName name="OSRRefD21_4x_1" localSheetId="55">'307'!$E$58</definedName>
    <definedName name="OSRRefD21_4x_1" localSheetId="51">'308'!$E$60</definedName>
    <definedName name="OSRRefD21_4x_1" localSheetId="64">'309'!$E$35</definedName>
    <definedName name="OSRRefD21_4x_1" localSheetId="63">'310'!$E$54</definedName>
    <definedName name="OSRRefD21_4x_1" localSheetId="71">'310 &amp; 491'!$E$54</definedName>
    <definedName name="OSRRefD21_4x_1" localSheetId="52">'311'!$E$60</definedName>
    <definedName name="OSRRefD21_4x_1" localSheetId="57">'315'!$E$68</definedName>
    <definedName name="OSRRefD21_4x_1" localSheetId="60">'316'!$E$51</definedName>
    <definedName name="OSRRefD21_4x_1" localSheetId="62">'317'!$E$60</definedName>
    <definedName name="OSRRefD21_4x_1" localSheetId="66">'321'!$E$49</definedName>
    <definedName name="OSRRefD21_4x_1" localSheetId="68">'325'!$E$49</definedName>
    <definedName name="OSRRefD21_4x_1" localSheetId="58">'326'!$E$52</definedName>
    <definedName name="OSRRefD21_4x_1" localSheetId="56">'331'!$E$68</definedName>
    <definedName name="OSRRefD21_4x_1" localSheetId="59">'332'!$E$51</definedName>
    <definedName name="OSRRefD21_4x_1" localSheetId="54">'333'!$E$70</definedName>
    <definedName name="OSRRefD21_4x_1" localSheetId="73">'405'!$E$51</definedName>
    <definedName name="OSRRefD21_4x_1" localSheetId="75">'411'!$E$45</definedName>
    <definedName name="OSRRefD21_4x_1" localSheetId="79">'415'!$E$52</definedName>
    <definedName name="OSRRefD21_4x_1" localSheetId="80">'418'!$E$48:$E$49</definedName>
    <definedName name="OSRRefD21_4x_1" localSheetId="81">'423'!$E$43</definedName>
    <definedName name="OSRRefD21_4x_1" localSheetId="83">'425'!$E$29</definedName>
    <definedName name="OSRRefD21_4x_1" localSheetId="86">'430'!$E$44</definedName>
    <definedName name="OSRRefD21_4x_1" localSheetId="87">'433'!$E$52</definedName>
    <definedName name="OSRRefD21_4x_1" localSheetId="88">'435'!$E$31</definedName>
    <definedName name="OSRRefD21_4x_1" localSheetId="89">'444'!$E$52</definedName>
    <definedName name="OSRRefD21_4x_1" localSheetId="90">'450'!$E$52</definedName>
    <definedName name="OSRRefD21_4x_1" localSheetId="72">'491'!$E$53</definedName>
    <definedName name="OSRRefD21_4x_1" localSheetId="85">'492'!$E$54</definedName>
    <definedName name="OSRRefD21_4x_1" localSheetId="92">'501'!$E$46</definedName>
    <definedName name="OSRRefD21_4x_1" localSheetId="39">'Div 2'!$E$46</definedName>
    <definedName name="OSRRefD21_4x_1" localSheetId="47">'Div 3'!$E$85</definedName>
    <definedName name="OSRRefD21_4x_1" localSheetId="70">'Div 4'!$E$56</definedName>
    <definedName name="OSRRefD21_4x_1" localSheetId="91">'Div 5'!$E$46</definedName>
    <definedName name="OSRRefD21_4x_1" localSheetId="61">'Div 6'!$E$60</definedName>
    <definedName name="OSRRefD21_4x_1" localSheetId="2">Summary!$E$93</definedName>
    <definedName name="OSRRefD21_4x_2" localSheetId="41">'201'!$F$44</definedName>
    <definedName name="OSRRefD21_4x_2" localSheetId="42">'202'!$F$44</definedName>
    <definedName name="OSRRefD21_4x_2" localSheetId="43">'203'!$F$45</definedName>
    <definedName name="OSRRefD21_4x_2" localSheetId="44">'204'!$F$45:$F$48</definedName>
    <definedName name="OSRRefD21_4x_2" localSheetId="45">'205'!$F$44:$F$45</definedName>
    <definedName name="OSRRefD21_4x_2" localSheetId="46">'206'!$F$45</definedName>
    <definedName name="OSRRefD21_4x_2" localSheetId="48">'300'!$F$79</definedName>
    <definedName name="OSRRefD21_4x_2" localSheetId="49">'300 &amp; 317'!$F$85</definedName>
    <definedName name="OSRRefD21_4x_2" localSheetId="50">'301'!$F$46</definedName>
    <definedName name="OSRRefD21_4x_2" localSheetId="55">'307'!$F$58</definedName>
    <definedName name="OSRRefD21_4x_2" localSheetId="51">'308'!$F$60</definedName>
    <definedName name="OSRRefD21_4x_2" localSheetId="64">'309'!$F$35</definedName>
    <definedName name="OSRRefD21_4x_2" localSheetId="63">'310'!$F$54</definedName>
    <definedName name="OSRRefD21_4x_2" localSheetId="71">'310 &amp; 491'!$F$54</definedName>
    <definedName name="OSRRefD21_4x_2" localSheetId="52">'311'!$F$60</definedName>
    <definedName name="OSRRefD21_4x_2" localSheetId="57">'315'!$F$68</definedName>
    <definedName name="OSRRefD21_4x_2" localSheetId="60">'316'!$F$51</definedName>
    <definedName name="OSRRefD21_4x_2" localSheetId="62">'317'!$F$60</definedName>
    <definedName name="OSRRefD21_4x_2" localSheetId="66">'321'!$F$49</definedName>
    <definedName name="OSRRefD21_4x_2" localSheetId="68">'325'!$F$49</definedName>
    <definedName name="OSRRefD21_4x_2" localSheetId="58">'326'!$F$52</definedName>
    <definedName name="OSRRefD21_4x_2" localSheetId="56">'331'!$F$68</definedName>
    <definedName name="OSRRefD21_4x_2" localSheetId="59">'332'!$F$51</definedName>
    <definedName name="OSRRefD21_4x_2" localSheetId="54">'333'!$F$70</definedName>
    <definedName name="OSRRefD21_4x_2" localSheetId="73">'405'!$F$51</definedName>
    <definedName name="OSRRefD21_4x_2" localSheetId="75">'411'!$F$45</definedName>
    <definedName name="OSRRefD21_4x_2" localSheetId="79">'415'!$F$52</definedName>
    <definedName name="OSRRefD21_4x_2" localSheetId="80">'418'!$F$48:$F$49</definedName>
    <definedName name="OSRRefD21_4x_2" localSheetId="81">'423'!$F$43</definedName>
    <definedName name="OSRRefD21_4x_2" localSheetId="83">'425'!$F$29</definedName>
    <definedName name="OSRRefD21_4x_2" localSheetId="86">'430'!$F$44</definedName>
    <definedName name="OSRRefD21_4x_2" localSheetId="87">'433'!$F$52</definedName>
    <definedName name="OSRRefD21_4x_2" localSheetId="88">'435'!$F$31</definedName>
    <definedName name="OSRRefD21_4x_2" localSheetId="89">'444'!$F$52</definedName>
    <definedName name="OSRRefD21_4x_2" localSheetId="90">'450'!$F$52</definedName>
    <definedName name="OSRRefD21_4x_2" localSheetId="72">'491'!$F$53</definedName>
    <definedName name="OSRRefD21_4x_2" localSheetId="85">'492'!$F$54</definedName>
    <definedName name="OSRRefD21_4x_2" localSheetId="92">'501'!$F$46</definedName>
    <definedName name="OSRRefD21_4x_2" localSheetId="39">'Div 2'!$F$46</definedName>
    <definedName name="OSRRefD21_4x_2" localSheetId="47">'Div 3'!$F$85</definedName>
    <definedName name="OSRRefD21_4x_2" localSheetId="70">'Div 4'!$F$56</definedName>
    <definedName name="OSRRefD21_4x_2" localSheetId="91">'Div 5'!$F$46</definedName>
    <definedName name="OSRRefD21_4x_2" localSheetId="61">'Div 6'!$F$60</definedName>
    <definedName name="OSRRefD21_4x_2" localSheetId="2">Summary!$F$93</definedName>
    <definedName name="OSRRefD21_4x_3" localSheetId="41">'201'!$G$44</definedName>
    <definedName name="OSRRefD21_4x_3" localSheetId="42">'202'!$G$44</definedName>
    <definedName name="OSRRefD21_4x_3" localSheetId="43">'203'!$G$45</definedName>
    <definedName name="OSRRefD21_4x_3" localSheetId="44">'204'!$G$45:$G$48</definedName>
    <definedName name="OSRRefD21_4x_3" localSheetId="45">'205'!$G$44:$G$45</definedName>
    <definedName name="OSRRefD21_4x_3" localSheetId="46">'206'!$G$45</definedName>
    <definedName name="OSRRefD21_4x_3" localSheetId="48">'300'!$G$79</definedName>
    <definedName name="OSRRefD21_4x_3" localSheetId="49">'300 &amp; 317'!$G$85</definedName>
    <definedName name="OSRRefD21_4x_3" localSheetId="50">'301'!$G$46</definedName>
    <definedName name="OSRRefD21_4x_3" localSheetId="55">'307'!$G$58</definedName>
    <definedName name="OSRRefD21_4x_3" localSheetId="51">'308'!$G$60</definedName>
    <definedName name="OSRRefD21_4x_3" localSheetId="64">'309'!$G$35</definedName>
    <definedName name="OSRRefD21_4x_3" localSheetId="63">'310'!$G$54</definedName>
    <definedName name="OSRRefD21_4x_3" localSheetId="71">'310 &amp; 491'!$G$54</definedName>
    <definedName name="OSRRefD21_4x_3" localSheetId="52">'311'!$G$60</definedName>
    <definedName name="OSRRefD21_4x_3" localSheetId="57">'315'!$G$68</definedName>
    <definedName name="OSRRefD21_4x_3" localSheetId="60">'316'!$G$51</definedName>
    <definedName name="OSRRefD21_4x_3" localSheetId="62">'317'!$G$60</definedName>
    <definedName name="OSRRefD21_4x_3" localSheetId="66">'321'!$G$49</definedName>
    <definedName name="OSRRefD21_4x_3" localSheetId="68">'325'!$G$49</definedName>
    <definedName name="OSRRefD21_4x_3" localSheetId="58">'326'!$G$52</definedName>
    <definedName name="OSRRefD21_4x_3" localSheetId="56">'331'!$G$68</definedName>
    <definedName name="OSRRefD21_4x_3" localSheetId="59">'332'!$G$51</definedName>
    <definedName name="OSRRefD21_4x_3" localSheetId="54">'333'!$G$70</definedName>
    <definedName name="OSRRefD21_4x_3" localSheetId="73">'405'!$G$51</definedName>
    <definedName name="OSRRefD21_4x_3" localSheetId="75">'411'!$G$45</definedName>
    <definedName name="OSRRefD21_4x_3" localSheetId="79">'415'!$G$52</definedName>
    <definedName name="OSRRefD21_4x_3" localSheetId="80">'418'!$G$48:$G$49</definedName>
    <definedName name="OSRRefD21_4x_3" localSheetId="81">'423'!$G$43</definedName>
    <definedName name="OSRRefD21_4x_3" localSheetId="83">'425'!$G$29</definedName>
    <definedName name="OSRRefD21_4x_3" localSheetId="86">'430'!$G$44</definedName>
    <definedName name="OSRRefD21_4x_3" localSheetId="87">'433'!$G$52</definedName>
    <definedName name="OSRRefD21_4x_3" localSheetId="88">'435'!$G$31</definedName>
    <definedName name="OSRRefD21_4x_3" localSheetId="89">'444'!$G$52</definedName>
    <definedName name="OSRRefD21_4x_3" localSheetId="90">'450'!$G$52</definedName>
    <definedName name="OSRRefD21_4x_3" localSheetId="72">'491'!$G$53</definedName>
    <definedName name="OSRRefD21_4x_3" localSheetId="85">'492'!$G$54</definedName>
    <definedName name="OSRRefD21_4x_3" localSheetId="92">'501'!$G$46</definedName>
    <definedName name="OSRRefD21_4x_3" localSheetId="39">'Div 2'!$G$46</definedName>
    <definedName name="OSRRefD21_4x_3" localSheetId="47">'Div 3'!$G$85</definedName>
    <definedName name="OSRRefD21_4x_3" localSheetId="70">'Div 4'!$G$56</definedName>
    <definedName name="OSRRefD21_4x_3" localSheetId="91">'Div 5'!$G$46</definedName>
    <definedName name="OSRRefD21_4x_3" localSheetId="61">'Div 6'!$G$60</definedName>
    <definedName name="OSRRefD21_4x_3" localSheetId="2">Summary!$G$93</definedName>
    <definedName name="OSRRefD21_4x_4" localSheetId="41">'201'!$H$44</definedName>
    <definedName name="OSRRefD21_4x_4" localSheetId="42">'202'!$H$44</definedName>
    <definedName name="OSRRefD21_4x_4" localSheetId="43">'203'!$H$45</definedName>
    <definedName name="OSRRefD21_4x_4" localSheetId="44">'204'!$H$45:$H$48</definedName>
    <definedName name="OSRRefD21_4x_4" localSheetId="45">'205'!$H$44:$H$45</definedName>
    <definedName name="OSRRefD21_4x_4" localSheetId="46">'206'!$H$45</definedName>
    <definedName name="OSRRefD21_4x_4" localSheetId="48">'300'!$H$79</definedName>
    <definedName name="OSRRefD21_4x_4" localSheetId="49">'300 &amp; 317'!$H$85</definedName>
    <definedName name="OSRRefD21_4x_4" localSheetId="50">'301'!$H$46</definedName>
    <definedName name="OSRRefD21_4x_4" localSheetId="55">'307'!$H$58</definedName>
    <definedName name="OSRRefD21_4x_4" localSheetId="51">'308'!$H$60</definedName>
    <definedName name="OSRRefD21_4x_4" localSheetId="64">'309'!$H$35</definedName>
    <definedName name="OSRRefD21_4x_4" localSheetId="63">'310'!$H$54</definedName>
    <definedName name="OSRRefD21_4x_4" localSheetId="71">'310 &amp; 491'!$H$54</definedName>
    <definedName name="OSRRefD21_4x_4" localSheetId="52">'311'!$H$60</definedName>
    <definedName name="OSRRefD21_4x_4" localSheetId="57">'315'!$H$68</definedName>
    <definedName name="OSRRefD21_4x_4" localSheetId="60">'316'!$H$51</definedName>
    <definedName name="OSRRefD21_4x_4" localSheetId="62">'317'!$H$60</definedName>
    <definedName name="OSRRefD21_4x_4" localSheetId="66">'321'!$H$49</definedName>
    <definedName name="OSRRefD21_4x_4" localSheetId="68">'325'!$H$49</definedName>
    <definedName name="OSRRefD21_4x_4" localSheetId="58">'326'!$H$52</definedName>
    <definedName name="OSRRefD21_4x_4" localSheetId="56">'331'!$H$68</definedName>
    <definedName name="OSRRefD21_4x_4" localSheetId="59">'332'!$H$51</definedName>
    <definedName name="OSRRefD21_4x_4" localSheetId="54">'333'!$H$70</definedName>
    <definedName name="OSRRefD21_4x_4" localSheetId="73">'405'!$H$51</definedName>
    <definedName name="OSRRefD21_4x_4" localSheetId="75">'411'!$H$45</definedName>
    <definedName name="OSRRefD21_4x_4" localSheetId="79">'415'!$H$52</definedName>
    <definedName name="OSRRefD21_4x_4" localSheetId="80">'418'!$H$48:$H$49</definedName>
    <definedName name="OSRRefD21_4x_4" localSheetId="81">'423'!$H$43</definedName>
    <definedName name="OSRRefD21_4x_4" localSheetId="83">'425'!$H$29</definedName>
    <definedName name="OSRRefD21_4x_4" localSheetId="86">'430'!$H$44</definedName>
    <definedName name="OSRRefD21_4x_4" localSheetId="87">'433'!$H$52</definedName>
    <definedName name="OSRRefD21_4x_4" localSheetId="88">'435'!$H$31</definedName>
    <definedName name="OSRRefD21_4x_4" localSheetId="89">'444'!$H$52</definedName>
    <definedName name="OSRRefD21_4x_4" localSheetId="90">'450'!$H$52</definedName>
    <definedName name="OSRRefD21_4x_4" localSheetId="72">'491'!$H$53</definedName>
    <definedName name="OSRRefD21_4x_4" localSheetId="85">'492'!$H$54</definedName>
    <definedName name="OSRRefD21_4x_4" localSheetId="92">'501'!$H$46</definedName>
    <definedName name="OSRRefD21_4x_4" localSheetId="39">'Div 2'!$H$46</definedName>
    <definedName name="OSRRefD21_4x_4" localSheetId="47">'Div 3'!$H$85</definedName>
    <definedName name="OSRRefD21_4x_4" localSheetId="70">'Div 4'!$H$56</definedName>
    <definedName name="OSRRefD21_4x_4" localSheetId="91">'Div 5'!$H$46</definedName>
    <definedName name="OSRRefD21_4x_4" localSheetId="61">'Div 6'!$H$60</definedName>
    <definedName name="OSRRefD21_4x_4" localSheetId="2">Summary!$H$93</definedName>
    <definedName name="OSRRefD21_4x_5" localSheetId="41">'201'!$I$44</definedName>
    <definedName name="OSRRefD21_4x_5" localSheetId="42">'202'!$I$44</definedName>
    <definedName name="OSRRefD21_4x_5" localSheetId="43">'203'!$I$45</definedName>
    <definedName name="OSRRefD21_4x_5" localSheetId="44">'204'!$I$45:$I$48</definedName>
    <definedName name="OSRRefD21_4x_5" localSheetId="45">'205'!$I$44:$I$45</definedName>
    <definedName name="OSRRefD21_4x_5" localSheetId="46">'206'!$I$45</definedName>
    <definedName name="OSRRefD21_4x_5" localSheetId="48">'300'!$I$79</definedName>
    <definedName name="OSRRefD21_4x_5" localSheetId="49">'300 &amp; 317'!$I$85</definedName>
    <definedName name="OSRRefD21_4x_5" localSheetId="50">'301'!$I$46</definedName>
    <definedName name="OSRRefD21_4x_5" localSheetId="55">'307'!$I$58</definedName>
    <definedName name="OSRRefD21_4x_5" localSheetId="51">'308'!$I$60</definedName>
    <definedName name="OSRRefD21_4x_5" localSheetId="64">'309'!$I$35</definedName>
    <definedName name="OSRRefD21_4x_5" localSheetId="63">'310'!$I$54</definedName>
    <definedName name="OSRRefD21_4x_5" localSheetId="71">'310 &amp; 491'!$I$54</definedName>
    <definedName name="OSRRefD21_4x_5" localSheetId="52">'311'!$I$60</definedName>
    <definedName name="OSRRefD21_4x_5" localSheetId="57">'315'!$I$68</definedName>
    <definedName name="OSRRefD21_4x_5" localSheetId="60">'316'!$I$51</definedName>
    <definedName name="OSRRefD21_4x_5" localSheetId="62">'317'!$I$60</definedName>
    <definedName name="OSRRefD21_4x_5" localSheetId="66">'321'!$I$49</definedName>
    <definedName name="OSRRefD21_4x_5" localSheetId="68">'325'!$I$49</definedName>
    <definedName name="OSRRefD21_4x_5" localSheetId="58">'326'!$I$52</definedName>
    <definedName name="OSRRefD21_4x_5" localSheetId="56">'331'!$I$68</definedName>
    <definedName name="OSRRefD21_4x_5" localSheetId="59">'332'!$I$51</definedName>
    <definedName name="OSRRefD21_4x_5" localSheetId="54">'333'!$I$70</definedName>
    <definedName name="OSRRefD21_4x_5" localSheetId="73">'405'!$I$51</definedName>
    <definedName name="OSRRefD21_4x_5" localSheetId="75">'411'!$I$45</definedName>
    <definedName name="OSRRefD21_4x_5" localSheetId="79">'415'!$I$52</definedName>
    <definedName name="OSRRefD21_4x_5" localSheetId="80">'418'!$I$48:$I$49</definedName>
    <definedName name="OSRRefD21_4x_5" localSheetId="81">'423'!$I$43</definedName>
    <definedName name="OSRRefD21_4x_5" localSheetId="83">'425'!$I$29</definedName>
    <definedName name="OSRRefD21_4x_5" localSheetId="86">'430'!$I$44</definedName>
    <definedName name="OSRRefD21_4x_5" localSheetId="87">'433'!$I$52</definedName>
    <definedName name="OSRRefD21_4x_5" localSheetId="88">'435'!$I$31</definedName>
    <definedName name="OSRRefD21_4x_5" localSheetId="89">'444'!$I$52</definedName>
    <definedName name="OSRRefD21_4x_5" localSheetId="90">'450'!$I$52</definedName>
    <definedName name="OSRRefD21_4x_5" localSheetId="72">'491'!$I$53</definedName>
    <definedName name="OSRRefD21_4x_5" localSheetId="85">'492'!$I$54</definedName>
    <definedName name="OSRRefD21_4x_5" localSheetId="92">'501'!$I$46</definedName>
    <definedName name="OSRRefD21_4x_5" localSheetId="39">'Div 2'!$I$46</definedName>
    <definedName name="OSRRefD21_4x_5" localSheetId="47">'Div 3'!$I$85</definedName>
    <definedName name="OSRRefD21_4x_5" localSheetId="70">'Div 4'!$I$56</definedName>
    <definedName name="OSRRefD21_4x_5" localSheetId="91">'Div 5'!$I$46</definedName>
    <definedName name="OSRRefD21_4x_5" localSheetId="61">'Div 6'!$I$60</definedName>
    <definedName name="OSRRefD21_4x_5" localSheetId="2">Summary!$I$93</definedName>
    <definedName name="OSRRefD21_4x_6" localSheetId="41">'201'!$J$44</definedName>
    <definedName name="OSRRefD21_4x_6" localSheetId="42">'202'!$J$44</definedName>
    <definedName name="OSRRefD21_4x_6" localSheetId="43">'203'!$J$45</definedName>
    <definedName name="OSRRefD21_4x_6" localSheetId="44">'204'!$J$45:$J$48</definedName>
    <definedName name="OSRRefD21_4x_6" localSheetId="45">'205'!$J$44:$J$45</definedName>
    <definedName name="OSRRefD21_4x_6" localSheetId="46">'206'!$J$45</definedName>
    <definedName name="OSRRefD21_4x_6" localSheetId="48">'300'!$J$79</definedName>
    <definedName name="OSRRefD21_4x_6" localSheetId="49">'300 &amp; 317'!$J$85</definedName>
    <definedName name="OSRRefD21_4x_6" localSheetId="50">'301'!$J$46</definedName>
    <definedName name="OSRRefD21_4x_6" localSheetId="55">'307'!$J$58</definedName>
    <definedName name="OSRRefD21_4x_6" localSheetId="51">'308'!$J$60</definedName>
    <definedName name="OSRRefD21_4x_6" localSheetId="64">'309'!$J$35</definedName>
    <definedName name="OSRRefD21_4x_6" localSheetId="63">'310'!$J$54</definedName>
    <definedName name="OSRRefD21_4x_6" localSheetId="71">'310 &amp; 491'!$J$54</definedName>
    <definedName name="OSRRefD21_4x_6" localSheetId="52">'311'!$J$60</definedName>
    <definedName name="OSRRefD21_4x_6" localSheetId="57">'315'!$J$68</definedName>
    <definedName name="OSRRefD21_4x_6" localSheetId="60">'316'!$J$51</definedName>
    <definedName name="OSRRefD21_4x_6" localSheetId="62">'317'!$J$60</definedName>
    <definedName name="OSRRefD21_4x_6" localSheetId="66">'321'!$J$49</definedName>
    <definedName name="OSRRefD21_4x_6" localSheetId="68">'325'!$J$49</definedName>
    <definedName name="OSRRefD21_4x_6" localSheetId="58">'326'!$J$52</definedName>
    <definedName name="OSRRefD21_4x_6" localSheetId="56">'331'!$J$68</definedName>
    <definedName name="OSRRefD21_4x_6" localSheetId="59">'332'!$J$51</definedName>
    <definedName name="OSRRefD21_4x_6" localSheetId="54">'333'!$J$70</definedName>
    <definedName name="OSRRefD21_4x_6" localSheetId="73">'405'!$J$51</definedName>
    <definedName name="OSRRefD21_4x_6" localSheetId="75">'411'!$J$45</definedName>
    <definedName name="OSRRefD21_4x_6" localSheetId="79">'415'!$J$52</definedName>
    <definedName name="OSRRefD21_4x_6" localSheetId="80">'418'!$J$48:$J$49</definedName>
    <definedName name="OSRRefD21_4x_6" localSheetId="81">'423'!$J$43</definedName>
    <definedName name="OSRRefD21_4x_6" localSheetId="83">'425'!$J$29</definedName>
    <definedName name="OSRRefD21_4x_6" localSheetId="86">'430'!$J$44</definedName>
    <definedName name="OSRRefD21_4x_6" localSheetId="87">'433'!$J$52</definedName>
    <definedName name="OSRRefD21_4x_6" localSheetId="88">'435'!$J$31</definedName>
    <definedName name="OSRRefD21_4x_6" localSheetId="89">'444'!$J$52</definedName>
    <definedName name="OSRRefD21_4x_6" localSheetId="90">'450'!$J$52</definedName>
    <definedName name="OSRRefD21_4x_6" localSheetId="72">'491'!$J$53</definedName>
    <definedName name="OSRRefD21_4x_6" localSheetId="85">'492'!$J$54</definedName>
    <definedName name="OSRRefD21_4x_6" localSheetId="92">'501'!$J$46</definedName>
    <definedName name="OSRRefD21_4x_6" localSheetId="39">'Div 2'!$J$46</definedName>
    <definedName name="OSRRefD21_4x_6" localSheetId="47">'Div 3'!$J$85</definedName>
    <definedName name="OSRRefD21_4x_6" localSheetId="70">'Div 4'!$J$56</definedName>
    <definedName name="OSRRefD21_4x_6" localSheetId="91">'Div 5'!$J$46</definedName>
    <definedName name="OSRRefD21_4x_6" localSheetId="61">'Div 6'!$J$60</definedName>
    <definedName name="OSRRefD21_4x_6" localSheetId="2">Summary!$J$93</definedName>
    <definedName name="OSRRefD21_4x_7" localSheetId="41">'201'!$K$44</definedName>
    <definedName name="OSRRefD21_4x_7" localSheetId="42">'202'!$K$44</definedName>
    <definedName name="OSRRefD21_4x_7" localSheetId="43">'203'!$K$45</definedName>
    <definedName name="OSRRefD21_4x_7" localSheetId="44">'204'!$K$45:$K$48</definedName>
    <definedName name="OSRRefD21_4x_7" localSheetId="45">'205'!$K$44:$K$45</definedName>
    <definedName name="OSRRefD21_4x_7" localSheetId="46">'206'!$K$45</definedName>
    <definedName name="OSRRefD21_4x_7" localSheetId="48">'300'!$K$79</definedName>
    <definedName name="OSRRefD21_4x_7" localSheetId="49">'300 &amp; 317'!$K$85</definedName>
    <definedName name="OSRRefD21_4x_7" localSheetId="50">'301'!$K$46</definedName>
    <definedName name="OSRRefD21_4x_7" localSheetId="55">'307'!$K$58</definedName>
    <definedName name="OSRRefD21_4x_7" localSheetId="51">'308'!$K$60</definedName>
    <definedName name="OSRRefD21_4x_7" localSheetId="64">'309'!$K$35</definedName>
    <definedName name="OSRRefD21_4x_7" localSheetId="63">'310'!$K$54</definedName>
    <definedName name="OSRRefD21_4x_7" localSheetId="71">'310 &amp; 491'!$K$54</definedName>
    <definedName name="OSRRefD21_4x_7" localSheetId="52">'311'!$K$60</definedName>
    <definedName name="OSRRefD21_4x_7" localSheetId="57">'315'!$K$68</definedName>
    <definedName name="OSRRefD21_4x_7" localSheetId="60">'316'!$K$51</definedName>
    <definedName name="OSRRefD21_4x_7" localSheetId="62">'317'!$K$60</definedName>
    <definedName name="OSRRefD21_4x_7" localSheetId="66">'321'!$K$49</definedName>
    <definedName name="OSRRefD21_4x_7" localSheetId="68">'325'!$K$49</definedName>
    <definedName name="OSRRefD21_4x_7" localSheetId="58">'326'!$K$52</definedName>
    <definedName name="OSRRefD21_4x_7" localSheetId="56">'331'!$K$68</definedName>
    <definedName name="OSRRefD21_4x_7" localSheetId="59">'332'!$K$51</definedName>
    <definedName name="OSRRefD21_4x_7" localSheetId="54">'333'!$K$70</definedName>
    <definedName name="OSRRefD21_4x_7" localSheetId="73">'405'!$K$51</definedName>
    <definedName name="OSRRefD21_4x_7" localSheetId="75">'411'!$K$45</definedName>
    <definedName name="OSRRefD21_4x_7" localSheetId="79">'415'!$K$52</definedName>
    <definedName name="OSRRefD21_4x_7" localSheetId="80">'418'!$K$48:$K$49</definedName>
    <definedName name="OSRRefD21_4x_7" localSheetId="81">'423'!$K$43</definedName>
    <definedName name="OSRRefD21_4x_7" localSheetId="83">'425'!$K$29</definedName>
    <definedName name="OSRRefD21_4x_7" localSheetId="86">'430'!$K$44</definedName>
    <definedName name="OSRRefD21_4x_7" localSheetId="87">'433'!$K$52</definedName>
    <definedName name="OSRRefD21_4x_7" localSheetId="88">'435'!$K$31</definedName>
    <definedName name="OSRRefD21_4x_7" localSheetId="89">'444'!$K$52</definedName>
    <definedName name="OSRRefD21_4x_7" localSheetId="90">'450'!$K$52</definedName>
    <definedName name="OSRRefD21_4x_7" localSheetId="72">'491'!$K$53</definedName>
    <definedName name="OSRRefD21_4x_7" localSheetId="85">'492'!$K$54</definedName>
    <definedName name="OSRRefD21_4x_7" localSheetId="92">'501'!$K$46</definedName>
    <definedName name="OSRRefD21_4x_7" localSheetId="39">'Div 2'!$K$46</definedName>
    <definedName name="OSRRefD21_4x_7" localSheetId="47">'Div 3'!$K$85</definedName>
    <definedName name="OSRRefD21_4x_7" localSheetId="70">'Div 4'!$K$56</definedName>
    <definedName name="OSRRefD21_4x_7" localSheetId="91">'Div 5'!$K$46</definedName>
    <definedName name="OSRRefD21_4x_7" localSheetId="61">'Div 6'!$K$60</definedName>
    <definedName name="OSRRefD21_4x_7" localSheetId="2">Summary!$K$93</definedName>
    <definedName name="OSRRefD21_4x_8" localSheetId="41">'201'!$L$44</definedName>
    <definedName name="OSRRefD21_4x_8" localSheetId="42">'202'!$L$44</definedName>
    <definedName name="OSRRefD21_4x_8" localSheetId="43">'203'!$L$45</definedName>
    <definedName name="OSRRefD21_4x_8" localSheetId="44">'204'!$L$45:$L$48</definedName>
    <definedName name="OSRRefD21_4x_8" localSheetId="45">'205'!$L$44:$L$45</definedName>
    <definedName name="OSRRefD21_4x_8" localSheetId="46">'206'!$L$45</definedName>
    <definedName name="OSRRefD21_4x_8" localSheetId="48">'300'!$L$79</definedName>
    <definedName name="OSRRefD21_4x_8" localSheetId="49">'300 &amp; 317'!$L$85</definedName>
    <definedName name="OSRRefD21_4x_8" localSheetId="50">'301'!$L$46</definedName>
    <definedName name="OSRRefD21_4x_8" localSheetId="55">'307'!$L$58</definedName>
    <definedName name="OSRRefD21_4x_8" localSheetId="51">'308'!$L$60</definedName>
    <definedName name="OSRRefD21_4x_8" localSheetId="64">'309'!$L$35</definedName>
    <definedName name="OSRRefD21_4x_8" localSheetId="63">'310'!$L$54</definedName>
    <definedName name="OSRRefD21_4x_8" localSheetId="71">'310 &amp; 491'!$L$54</definedName>
    <definedName name="OSRRefD21_4x_8" localSheetId="52">'311'!$L$60</definedName>
    <definedName name="OSRRefD21_4x_8" localSheetId="57">'315'!$L$68</definedName>
    <definedName name="OSRRefD21_4x_8" localSheetId="60">'316'!$L$51</definedName>
    <definedName name="OSRRefD21_4x_8" localSheetId="62">'317'!$L$60</definedName>
    <definedName name="OSRRefD21_4x_8" localSheetId="66">'321'!$L$49</definedName>
    <definedName name="OSRRefD21_4x_8" localSheetId="68">'325'!$L$49</definedName>
    <definedName name="OSRRefD21_4x_8" localSheetId="58">'326'!$L$52</definedName>
    <definedName name="OSRRefD21_4x_8" localSheetId="56">'331'!$L$68</definedName>
    <definedName name="OSRRefD21_4x_8" localSheetId="59">'332'!$L$51</definedName>
    <definedName name="OSRRefD21_4x_8" localSheetId="54">'333'!$L$70</definedName>
    <definedName name="OSRRefD21_4x_8" localSheetId="73">'405'!$L$51</definedName>
    <definedName name="OSRRefD21_4x_8" localSheetId="75">'411'!$L$45</definedName>
    <definedName name="OSRRefD21_4x_8" localSheetId="79">'415'!$L$52</definedName>
    <definedName name="OSRRefD21_4x_8" localSheetId="80">'418'!$L$48:$L$49</definedName>
    <definedName name="OSRRefD21_4x_8" localSheetId="81">'423'!$L$43</definedName>
    <definedName name="OSRRefD21_4x_8" localSheetId="83">'425'!$L$29</definedName>
    <definedName name="OSRRefD21_4x_8" localSheetId="86">'430'!$L$44</definedName>
    <definedName name="OSRRefD21_4x_8" localSheetId="87">'433'!$L$52</definedName>
    <definedName name="OSRRefD21_4x_8" localSheetId="88">'435'!$L$31</definedName>
    <definedName name="OSRRefD21_4x_8" localSheetId="89">'444'!$L$52</definedName>
    <definedName name="OSRRefD21_4x_8" localSheetId="90">'450'!$L$52</definedName>
    <definedName name="OSRRefD21_4x_8" localSheetId="72">'491'!$L$53</definedName>
    <definedName name="OSRRefD21_4x_8" localSheetId="85">'492'!$L$54</definedName>
    <definedName name="OSRRefD21_4x_8" localSheetId="92">'501'!$L$46</definedName>
    <definedName name="OSRRefD21_4x_8" localSheetId="39">'Div 2'!$L$46</definedName>
    <definedName name="OSRRefD21_4x_8" localSheetId="47">'Div 3'!$L$85</definedName>
    <definedName name="OSRRefD21_4x_8" localSheetId="70">'Div 4'!$L$56</definedName>
    <definedName name="OSRRefD21_4x_8" localSheetId="91">'Div 5'!$L$46</definedName>
    <definedName name="OSRRefD21_4x_8" localSheetId="61">'Div 6'!$L$60</definedName>
    <definedName name="OSRRefD21_4x_8" localSheetId="2">Summary!$L$93</definedName>
    <definedName name="OSRRefD21_4x_9" localSheetId="41">'201'!$M$44</definedName>
    <definedName name="OSRRefD21_4x_9" localSheetId="42">'202'!$M$44</definedName>
    <definedName name="OSRRefD21_4x_9" localSheetId="43">'203'!$M$45</definedName>
    <definedName name="OSRRefD21_4x_9" localSheetId="44">'204'!$M$45:$M$48</definedName>
    <definedName name="OSRRefD21_4x_9" localSheetId="45">'205'!$M$44:$M$45</definedName>
    <definedName name="OSRRefD21_4x_9" localSheetId="46">'206'!$M$45</definedName>
    <definedName name="OSRRefD21_4x_9" localSheetId="48">'300'!$M$79</definedName>
    <definedName name="OSRRefD21_4x_9" localSheetId="49">'300 &amp; 317'!$M$85</definedName>
    <definedName name="OSRRefD21_4x_9" localSheetId="50">'301'!$M$46</definedName>
    <definedName name="OSRRefD21_4x_9" localSheetId="55">'307'!$M$58</definedName>
    <definedName name="OSRRefD21_4x_9" localSheetId="51">'308'!$M$60</definedName>
    <definedName name="OSRRefD21_4x_9" localSheetId="64">'309'!$M$35</definedName>
    <definedName name="OSRRefD21_4x_9" localSheetId="63">'310'!$M$54</definedName>
    <definedName name="OSRRefD21_4x_9" localSheetId="71">'310 &amp; 491'!$M$54</definedName>
    <definedName name="OSRRefD21_4x_9" localSheetId="52">'311'!$M$60</definedName>
    <definedName name="OSRRefD21_4x_9" localSheetId="57">'315'!$M$68</definedName>
    <definedName name="OSRRefD21_4x_9" localSheetId="60">'316'!$M$51</definedName>
    <definedName name="OSRRefD21_4x_9" localSheetId="62">'317'!$M$60</definedName>
    <definedName name="OSRRefD21_4x_9" localSheetId="66">'321'!$M$49</definedName>
    <definedName name="OSRRefD21_4x_9" localSheetId="68">'325'!$M$49</definedName>
    <definedName name="OSRRefD21_4x_9" localSheetId="58">'326'!$M$52</definedName>
    <definedName name="OSRRefD21_4x_9" localSheetId="56">'331'!$M$68</definedName>
    <definedName name="OSRRefD21_4x_9" localSheetId="59">'332'!$M$51</definedName>
    <definedName name="OSRRefD21_4x_9" localSheetId="54">'333'!$M$70</definedName>
    <definedName name="OSRRefD21_4x_9" localSheetId="73">'405'!$M$51</definedName>
    <definedName name="OSRRefD21_4x_9" localSheetId="75">'411'!$M$45</definedName>
    <definedName name="OSRRefD21_4x_9" localSheetId="79">'415'!$M$52</definedName>
    <definedName name="OSRRefD21_4x_9" localSheetId="80">'418'!$M$48:$M$49</definedName>
    <definedName name="OSRRefD21_4x_9" localSheetId="81">'423'!$M$43</definedName>
    <definedName name="OSRRefD21_4x_9" localSheetId="83">'425'!$M$29</definedName>
    <definedName name="OSRRefD21_4x_9" localSheetId="86">'430'!$M$44</definedName>
    <definedName name="OSRRefD21_4x_9" localSheetId="87">'433'!$M$52</definedName>
    <definedName name="OSRRefD21_4x_9" localSheetId="88">'435'!$M$31</definedName>
    <definedName name="OSRRefD21_4x_9" localSheetId="89">'444'!$M$52</definedName>
    <definedName name="OSRRefD21_4x_9" localSheetId="90">'450'!$M$52</definedName>
    <definedName name="OSRRefD21_4x_9" localSheetId="72">'491'!$M$53</definedName>
    <definedName name="OSRRefD21_4x_9" localSheetId="85">'492'!$M$54</definedName>
    <definedName name="OSRRefD21_4x_9" localSheetId="92">'501'!$M$46</definedName>
    <definedName name="OSRRefD21_4x_9" localSheetId="39">'Div 2'!$M$46</definedName>
    <definedName name="OSRRefD21_4x_9" localSheetId="47">'Div 3'!$M$85</definedName>
    <definedName name="OSRRefD21_4x_9" localSheetId="70">'Div 4'!$M$56</definedName>
    <definedName name="OSRRefD21_4x_9" localSheetId="91">'Div 5'!$M$46</definedName>
    <definedName name="OSRRefD21_4x_9" localSheetId="61">'Div 6'!$M$60</definedName>
    <definedName name="OSRRefD21_4x_9" localSheetId="2">Summary!$M$93</definedName>
    <definedName name="OSRRefD21_5_0x" localSheetId="41">'201'!$D$46:$M$46</definedName>
    <definedName name="OSRRefD21_5_0x" localSheetId="42">'202'!$D$46:$M$46</definedName>
    <definedName name="OSRRefD21_5_0x" localSheetId="43">'203'!$D$47:$M$47</definedName>
    <definedName name="OSRRefD21_5_0x" localSheetId="44">'204'!$D$50:$M$50</definedName>
    <definedName name="OSRRefD21_5_0x" localSheetId="45">'205'!$D$47:$M$47</definedName>
    <definedName name="OSRRefD21_5_0x" localSheetId="46">'206'!$D$47:$M$47</definedName>
    <definedName name="OSRRefD21_5_0x" localSheetId="48">'300'!$D$81:$M$81</definedName>
    <definedName name="OSRRefD21_5_0x" localSheetId="49">'300 &amp; 317'!$D$87:$M$87</definedName>
    <definedName name="OSRRefD21_5_0x" localSheetId="50">'301'!$D$48:$M$48</definedName>
    <definedName name="OSRRefD21_5_0x" localSheetId="55">'307'!$D$60:$M$60</definedName>
    <definedName name="OSRRefD21_5_0x" localSheetId="51">'308'!$D$62:$M$62</definedName>
    <definedName name="OSRRefD21_5_0x" localSheetId="64">'309'!$D$37:$M$37</definedName>
    <definedName name="OSRRefD21_5_0x" localSheetId="63">'310'!$D$56:$M$56</definedName>
    <definedName name="OSRRefD21_5_0x" localSheetId="71">'310 &amp; 491'!$D$56:$M$56</definedName>
    <definedName name="OSRRefD21_5_0x" localSheetId="52">'311'!$D$62:$M$62</definedName>
    <definedName name="OSRRefD21_5_0x" localSheetId="57">'315'!$D$70:$M$70</definedName>
    <definedName name="OSRRefD21_5_0x" localSheetId="60">'316'!$D$53:$M$53</definedName>
    <definedName name="OSRRefD21_5_0x" localSheetId="62">'317'!$D$62:$M$62</definedName>
    <definedName name="OSRRefD21_5_0x" localSheetId="66">'321'!$D$51:$M$51</definedName>
    <definedName name="OSRRefD21_5_0x" localSheetId="68">'325'!$D$51:$M$51</definedName>
    <definedName name="OSRRefD21_5_0x" localSheetId="58">'326'!$D$54:$M$54</definedName>
    <definedName name="OSRRefD21_5_0x" localSheetId="56">'331'!$D$70:$M$70</definedName>
    <definedName name="OSRRefD21_5_0x" localSheetId="59">'332'!$D$53:$M$53</definedName>
    <definedName name="OSRRefD21_5_0x" localSheetId="54">'333'!$D$72:$M$72</definedName>
    <definedName name="OSRRefD21_5_0x" localSheetId="73">'405'!$D$53:$M$53</definedName>
    <definedName name="OSRRefD21_5_0x" localSheetId="75">'411'!$D$47:$M$47</definedName>
    <definedName name="OSRRefD21_5_0x" localSheetId="79">'415'!$D$54:$M$54</definedName>
    <definedName name="OSRRefD21_5_0x" localSheetId="80">'418'!$D$51:$M$51</definedName>
    <definedName name="OSRRefD21_5_0x" localSheetId="86">'430'!$D$46:$M$46</definedName>
    <definedName name="OSRRefD21_5_0x" localSheetId="87">'433'!$D$54:$M$54</definedName>
    <definedName name="OSRRefD21_5_0x" localSheetId="89">'444'!$D$54:$M$54</definedName>
    <definedName name="OSRRefD21_5_0x" localSheetId="90">'450'!$D$54:$M$54</definedName>
    <definedName name="OSRRefD21_5_0x" localSheetId="72">'491'!$D$55:$M$55</definedName>
    <definedName name="OSRRefD21_5_0x" localSheetId="85">'492'!$D$56:$M$56</definedName>
    <definedName name="OSRRefD21_5_0x" localSheetId="92">'501'!$D$48:$M$48</definedName>
    <definedName name="OSRRefD21_5_0x" localSheetId="39">'Div 2'!$D$48:$M$48</definedName>
    <definedName name="OSRRefD21_5_0x" localSheetId="47">'Div 3'!$D$87:$M$87</definedName>
    <definedName name="OSRRefD21_5_0x" localSheetId="70">'Div 4'!$D$58:$M$58</definedName>
    <definedName name="OSRRefD21_5_0x" localSheetId="91">'Div 5'!$D$48:$M$48</definedName>
    <definedName name="OSRRefD21_5_0x" localSheetId="61">'Div 6'!$D$62:$M$62</definedName>
    <definedName name="OSRRefD21_5_0x" localSheetId="2">Summary!$D$95:$M$95</definedName>
    <definedName name="OSRRefD21_5_1x" localSheetId="46">'206'!$D$48:$M$48</definedName>
    <definedName name="OSRRefD21_5_1x" localSheetId="48">'300'!$D$82:$M$82</definedName>
    <definedName name="OSRRefD21_5_1x" localSheetId="49">'300 &amp; 317'!$D$88:$M$88</definedName>
    <definedName name="OSRRefD21_5_1x" localSheetId="50">'301'!$D$49:$M$49</definedName>
    <definedName name="OSRRefD21_5_1x" localSheetId="63">'310'!$D$57:$M$57</definedName>
    <definedName name="OSRRefD21_5_1x" localSheetId="71">'310 &amp; 491'!$D$57:$M$57</definedName>
    <definedName name="OSRRefD21_5_1x" localSheetId="60">'316'!$D$54:$M$54</definedName>
    <definedName name="OSRRefD21_5_1x" localSheetId="68">'325'!$D$52:$M$52</definedName>
    <definedName name="OSRRefD21_5_1x" localSheetId="59">'332'!$D$54:$M$54</definedName>
    <definedName name="OSRRefD21_5_1x" localSheetId="73">'405'!$D$54:$M$54</definedName>
    <definedName name="OSRRefD21_5_1x" localSheetId="79">'415'!$D$55:$M$55</definedName>
    <definedName name="OSRRefD21_5_1x" localSheetId="86">'430'!$D$47:$M$47</definedName>
    <definedName name="OSRRefD21_5_1x" localSheetId="72">'491'!$D$56:$M$56</definedName>
    <definedName name="OSRRefD21_5_1x" localSheetId="92">'501'!$D$49:$M$49</definedName>
    <definedName name="OSRRefD21_5_1x" localSheetId="39">'Div 2'!$D$49:$M$49</definedName>
    <definedName name="OSRRefD21_5_1x" localSheetId="47">'Div 3'!$D$88:$M$88</definedName>
    <definedName name="OSRRefD21_5_1x" localSheetId="70">'Div 4'!$D$59:$M$59</definedName>
    <definedName name="OSRRefD21_5_1x" localSheetId="91">'Div 5'!$D$49:$M$49</definedName>
    <definedName name="OSRRefD21_5_1x" localSheetId="2">Summary!$D$96:$M$96</definedName>
    <definedName name="OSRRefD21_5x_0" localSheetId="41">'201'!$D$46</definedName>
    <definedName name="OSRRefD21_5x_0" localSheetId="42">'202'!$D$46</definedName>
    <definedName name="OSRRefD21_5x_0" localSheetId="43">'203'!$D$47</definedName>
    <definedName name="OSRRefD21_5x_0" localSheetId="44">'204'!$D$50</definedName>
    <definedName name="OSRRefD21_5x_0" localSheetId="45">'205'!$D$47</definedName>
    <definedName name="OSRRefD21_5x_0" localSheetId="46">'206'!$D$47:$D$48</definedName>
    <definedName name="OSRRefD21_5x_0" localSheetId="48">'300'!$D$81:$D$82</definedName>
    <definedName name="OSRRefD21_5x_0" localSheetId="49">'300 &amp; 317'!$D$87:$D$88</definedName>
    <definedName name="OSRRefD21_5x_0" localSheetId="50">'301'!$D$48:$D$49</definedName>
    <definedName name="OSRRefD21_5x_0" localSheetId="55">'307'!$D$60</definedName>
    <definedName name="OSRRefD21_5x_0" localSheetId="51">'308'!$D$62</definedName>
    <definedName name="OSRRefD21_5x_0" localSheetId="64">'309'!$D$37</definedName>
    <definedName name="OSRRefD21_5x_0" localSheetId="63">'310'!$D$56:$D$57</definedName>
    <definedName name="OSRRefD21_5x_0" localSheetId="71">'310 &amp; 491'!$D$56:$D$57</definedName>
    <definedName name="OSRRefD21_5x_0" localSheetId="52">'311'!$D$62</definedName>
    <definedName name="OSRRefD21_5x_0" localSheetId="57">'315'!$D$70</definedName>
    <definedName name="OSRRefD21_5x_0" localSheetId="60">'316'!$D$53:$D$54</definedName>
    <definedName name="OSRRefD21_5x_0" localSheetId="62">'317'!$D$62</definedName>
    <definedName name="OSRRefD21_5x_0" localSheetId="66">'321'!$D$51</definedName>
    <definedName name="OSRRefD21_5x_0" localSheetId="68">'325'!$D$51:$D$52</definedName>
    <definedName name="OSRRefD21_5x_0" localSheetId="58">'326'!$D$54</definedName>
    <definedName name="OSRRefD21_5x_0" localSheetId="56">'331'!$D$70</definedName>
    <definedName name="OSRRefD21_5x_0" localSheetId="59">'332'!$D$53:$D$54</definedName>
    <definedName name="OSRRefD21_5x_0" localSheetId="54">'333'!$D$72</definedName>
    <definedName name="OSRRefD21_5x_0" localSheetId="73">'405'!$D$53:$D$54</definedName>
    <definedName name="OSRRefD21_5x_0" localSheetId="75">'411'!$D$47</definedName>
    <definedName name="OSRRefD21_5x_0" localSheetId="79">'415'!$D$54:$D$55</definedName>
    <definedName name="OSRRefD21_5x_0" localSheetId="80">'418'!$D$51</definedName>
    <definedName name="OSRRefD21_5x_0" localSheetId="86">'430'!$D$46:$D$47</definedName>
    <definedName name="OSRRefD21_5x_0" localSheetId="87">'433'!$D$54</definedName>
    <definedName name="OSRRefD21_5x_0" localSheetId="89">'444'!$D$54</definedName>
    <definedName name="OSRRefD21_5x_0" localSheetId="90">'450'!$D$54</definedName>
    <definedName name="OSRRefD21_5x_0" localSheetId="72">'491'!$D$55:$D$56</definedName>
    <definedName name="OSRRefD21_5x_0" localSheetId="85">'492'!$D$56</definedName>
    <definedName name="OSRRefD21_5x_0" localSheetId="92">'501'!$D$48:$D$49</definedName>
    <definedName name="OSRRefD21_5x_0" localSheetId="39">'Div 2'!$D$48:$D$49</definedName>
    <definedName name="OSRRefD21_5x_0" localSheetId="47">'Div 3'!$D$87:$D$88</definedName>
    <definedName name="OSRRefD21_5x_0" localSheetId="70">'Div 4'!$D$58:$D$59</definedName>
    <definedName name="OSRRefD21_5x_0" localSheetId="91">'Div 5'!$D$48:$D$49</definedName>
    <definedName name="OSRRefD21_5x_0" localSheetId="61">'Div 6'!$D$62</definedName>
    <definedName name="OSRRefD21_5x_0" localSheetId="2">Summary!$D$95:$D$96</definedName>
    <definedName name="OSRRefD21_5x_1" localSheetId="41">'201'!$E$46</definedName>
    <definedName name="OSRRefD21_5x_1" localSheetId="42">'202'!$E$46</definedName>
    <definedName name="OSRRefD21_5x_1" localSheetId="43">'203'!$E$47</definedName>
    <definedName name="OSRRefD21_5x_1" localSheetId="44">'204'!$E$50</definedName>
    <definedName name="OSRRefD21_5x_1" localSheetId="45">'205'!$E$47</definedName>
    <definedName name="OSRRefD21_5x_1" localSheetId="46">'206'!$E$47:$E$48</definedName>
    <definedName name="OSRRefD21_5x_1" localSheetId="48">'300'!$E$81:$E$82</definedName>
    <definedName name="OSRRefD21_5x_1" localSheetId="49">'300 &amp; 317'!$E$87:$E$88</definedName>
    <definedName name="OSRRefD21_5x_1" localSheetId="50">'301'!$E$48:$E$49</definedName>
    <definedName name="OSRRefD21_5x_1" localSheetId="55">'307'!$E$60</definedName>
    <definedName name="OSRRefD21_5x_1" localSheetId="51">'308'!$E$62</definedName>
    <definedName name="OSRRefD21_5x_1" localSheetId="64">'309'!$E$37</definedName>
    <definedName name="OSRRefD21_5x_1" localSheetId="63">'310'!$E$56:$E$57</definedName>
    <definedName name="OSRRefD21_5x_1" localSheetId="71">'310 &amp; 491'!$E$56:$E$57</definedName>
    <definedName name="OSRRefD21_5x_1" localSheetId="52">'311'!$E$62</definedName>
    <definedName name="OSRRefD21_5x_1" localSheetId="57">'315'!$E$70</definedName>
    <definedName name="OSRRefD21_5x_1" localSheetId="60">'316'!$E$53:$E$54</definedName>
    <definedName name="OSRRefD21_5x_1" localSheetId="62">'317'!$E$62</definedName>
    <definedName name="OSRRefD21_5x_1" localSheetId="66">'321'!$E$51</definedName>
    <definedName name="OSRRefD21_5x_1" localSheetId="68">'325'!$E$51:$E$52</definedName>
    <definedName name="OSRRefD21_5x_1" localSheetId="58">'326'!$E$54</definedName>
    <definedName name="OSRRefD21_5x_1" localSheetId="56">'331'!$E$70</definedName>
    <definedName name="OSRRefD21_5x_1" localSheetId="59">'332'!$E$53:$E$54</definedName>
    <definedName name="OSRRefD21_5x_1" localSheetId="54">'333'!$E$72</definedName>
    <definedName name="OSRRefD21_5x_1" localSheetId="73">'405'!$E$53:$E$54</definedName>
    <definedName name="OSRRefD21_5x_1" localSheetId="75">'411'!$E$47</definedName>
    <definedName name="OSRRefD21_5x_1" localSheetId="79">'415'!$E$54:$E$55</definedName>
    <definedName name="OSRRefD21_5x_1" localSheetId="80">'418'!$E$51</definedName>
    <definedName name="OSRRefD21_5x_1" localSheetId="86">'430'!$E$46:$E$47</definedName>
    <definedName name="OSRRefD21_5x_1" localSheetId="87">'433'!$E$54</definedName>
    <definedName name="OSRRefD21_5x_1" localSheetId="89">'444'!$E$54</definedName>
    <definedName name="OSRRefD21_5x_1" localSheetId="90">'450'!$E$54</definedName>
    <definedName name="OSRRefD21_5x_1" localSheetId="72">'491'!$E$55:$E$56</definedName>
    <definedName name="OSRRefD21_5x_1" localSheetId="85">'492'!$E$56</definedName>
    <definedName name="OSRRefD21_5x_1" localSheetId="92">'501'!$E$48:$E$49</definedName>
    <definedName name="OSRRefD21_5x_1" localSheetId="39">'Div 2'!$E$48:$E$49</definedName>
    <definedName name="OSRRefD21_5x_1" localSheetId="47">'Div 3'!$E$87:$E$88</definedName>
    <definedName name="OSRRefD21_5x_1" localSheetId="70">'Div 4'!$E$58:$E$59</definedName>
    <definedName name="OSRRefD21_5x_1" localSheetId="91">'Div 5'!$E$48:$E$49</definedName>
    <definedName name="OSRRefD21_5x_1" localSheetId="61">'Div 6'!$E$62</definedName>
    <definedName name="OSRRefD21_5x_1" localSheetId="2">Summary!$E$95:$E$96</definedName>
    <definedName name="OSRRefD21_5x_2" localSheetId="41">'201'!$F$46</definedName>
    <definedName name="OSRRefD21_5x_2" localSheetId="42">'202'!$F$46</definedName>
    <definedName name="OSRRefD21_5x_2" localSheetId="43">'203'!$F$47</definedName>
    <definedName name="OSRRefD21_5x_2" localSheetId="44">'204'!$F$50</definedName>
    <definedName name="OSRRefD21_5x_2" localSheetId="45">'205'!$F$47</definedName>
    <definedName name="OSRRefD21_5x_2" localSheetId="46">'206'!$F$47:$F$48</definedName>
    <definedName name="OSRRefD21_5x_2" localSheetId="48">'300'!$F$81:$F$82</definedName>
    <definedName name="OSRRefD21_5x_2" localSheetId="49">'300 &amp; 317'!$F$87:$F$88</definedName>
    <definedName name="OSRRefD21_5x_2" localSheetId="50">'301'!$F$48:$F$49</definedName>
    <definedName name="OSRRefD21_5x_2" localSheetId="55">'307'!$F$60</definedName>
    <definedName name="OSRRefD21_5x_2" localSheetId="51">'308'!$F$62</definedName>
    <definedName name="OSRRefD21_5x_2" localSheetId="64">'309'!$F$37</definedName>
    <definedName name="OSRRefD21_5x_2" localSheetId="63">'310'!$F$56:$F$57</definedName>
    <definedName name="OSRRefD21_5x_2" localSheetId="71">'310 &amp; 491'!$F$56:$F$57</definedName>
    <definedName name="OSRRefD21_5x_2" localSheetId="52">'311'!$F$62</definedName>
    <definedName name="OSRRefD21_5x_2" localSheetId="57">'315'!$F$70</definedName>
    <definedName name="OSRRefD21_5x_2" localSheetId="60">'316'!$F$53:$F$54</definedName>
    <definedName name="OSRRefD21_5x_2" localSheetId="62">'317'!$F$62</definedName>
    <definedName name="OSRRefD21_5x_2" localSheetId="66">'321'!$F$51</definedName>
    <definedName name="OSRRefD21_5x_2" localSheetId="68">'325'!$F$51:$F$52</definedName>
    <definedName name="OSRRefD21_5x_2" localSheetId="58">'326'!$F$54</definedName>
    <definedName name="OSRRefD21_5x_2" localSheetId="56">'331'!$F$70</definedName>
    <definedName name="OSRRefD21_5x_2" localSheetId="59">'332'!$F$53:$F$54</definedName>
    <definedName name="OSRRefD21_5x_2" localSheetId="54">'333'!$F$72</definedName>
    <definedName name="OSRRefD21_5x_2" localSheetId="73">'405'!$F$53:$F$54</definedName>
    <definedName name="OSRRefD21_5x_2" localSheetId="75">'411'!$F$47</definedName>
    <definedName name="OSRRefD21_5x_2" localSheetId="79">'415'!$F$54:$F$55</definedName>
    <definedName name="OSRRefD21_5x_2" localSheetId="80">'418'!$F$51</definedName>
    <definedName name="OSRRefD21_5x_2" localSheetId="86">'430'!$F$46:$F$47</definedName>
    <definedName name="OSRRefD21_5x_2" localSheetId="87">'433'!$F$54</definedName>
    <definedName name="OSRRefD21_5x_2" localSheetId="89">'444'!$F$54</definedName>
    <definedName name="OSRRefD21_5x_2" localSheetId="90">'450'!$F$54</definedName>
    <definedName name="OSRRefD21_5x_2" localSheetId="72">'491'!$F$55:$F$56</definedName>
    <definedName name="OSRRefD21_5x_2" localSheetId="85">'492'!$F$56</definedName>
    <definedName name="OSRRefD21_5x_2" localSheetId="92">'501'!$F$48:$F$49</definedName>
    <definedName name="OSRRefD21_5x_2" localSheetId="39">'Div 2'!$F$48:$F$49</definedName>
    <definedName name="OSRRefD21_5x_2" localSheetId="47">'Div 3'!$F$87:$F$88</definedName>
    <definedName name="OSRRefD21_5x_2" localSheetId="70">'Div 4'!$F$58:$F$59</definedName>
    <definedName name="OSRRefD21_5x_2" localSheetId="91">'Div 5'!$F$48:$F$49</definedName>
    <definedName name="OSRRefD21_5x_2" localSheetId="61">'Div 6'!$F$62</definedName>
    <definedName name="OSRRefD21_5x_2" localSheetId="2">Summary!$F$95:$F$96</definedName>
    <definedName name="OSRRefD21_5x_3" localSheetId="41">'201'!$G$46</definedName>
    <definedName name="OSRRefD21_5x_3" localSheetId="42">'202'!$G$46</definedName>
    <definedName name="OSRRefD21_5x_3" localSheetId="43">'203'!$G$47</definedName>
    <definedName name="OSRRefD21_5x_3" localSheetId="44">'204'!$G$50</definedName>
    <definedName name="OSRRefD21_5x_3" localSheetId="45">'205'!$G$47</definedName>
    <definedName name="OSRRefD21_5x_3" localSheetId="46">'206'!$G$47:$G$48</definedName>
    <definedName name="OSRRefD21_5x_3" localSheetId="48">'300'!$G$81:$G$82</definedName>
    <definedName name="OSRRefD21_5x_3" localSheetId="49">'300 &amp; 317'!$G$87:$G$88</definedName>
    <definedName name="OSRRefD21_5x_3" localSheetId="50">'301'!$G$48:$G$49</definedName>
    <definedName name="OSRRefD21_5x_3" localSheetId="55">'307'!$G$60</definedName>
    <definedName name="OSRRefD21_5x_3" localSheetId="51">'308'!$G$62</definedName>
    <definedName name="OSRRefD21_5x_3" localSheetId="64">'309'!$G$37</definedName>
    <definedName name="OSRRefD21_5x_3" localSheetId="63">'310'!$G$56:$G$57</definedName>
    <definedName name="OSRRefD21_5x_3" localSheetId="71">'310 &amp; 491'!$G$56:$G$57</definedName>
    <definedName name="OSRRefD21_5x_3" localSheetId="52">'311'!$G$62</definedName>
    <definedName name="OSRRefD21_5x_3" localSheetId="57">'315'!$G$70</definedName>
    <definedName name="OSRRefD21_5x_3" localSheetId="60">'316'!$G$53:$G$54</definedName>
    <definedName name="OSRRefD21_5x_3" localSheetId="62">'317'!$G$62</definedName>
    <definedName name="OSRRefD21_5x_3" localSheetId="66">'321'!$G$51</definedName>
    <definedName name="OSRRefD21_5x_3" localSheetId="68">'325'!$G$51:$G$52</definedName>
    <definedName name="OSRRefD21_5x_3" localSheetId="58">'326'!$G$54</definedName>
    <definedName name="OSRRefD21_5x_3" localSheetId="56">'331'!$G$70</definedName>
    <definedName name="OSRRefD21_5x_3" localSheetId="59">'332'!$G$53:$G$54</definedName>
    <definedName name="OSRRefD21_5x_3" localSheetId="54">'333'!$G$72</definedName>
    <definedName name="OSRRefD21_5x_3" localSheetId="73">'405'!$G$53:$G$54</definedName>
    <definedName name="OSRRefD21_5x_3" localSheetId="75">'411'!$G$47</definedName>
    <definedName name="OSRRefD21_5x_3" localSheetId="79">'415'!$G$54:$G$55</definedName>
    <definedName name="OSRRefD21_5x_3" localSheetId="80">'418'!$G$51</definedName>
    <definedName name="OSRRefD21_5x_3" localSheetId="86">'430'!$G$46:$G$47</definedName>
    <definedName name="OSRRefD21_5x_3" localSheetId="87">'433'!$G$54</definedName>
    <definedName name="OSRRefD21_5x_3" localSheetId="89">'444'!$G$54</definedName>
    <definedName name="OSRRefD21_5x_3" localSheetId="90">'450'!$G$54</definedName>
    <definedName name="OSRRefD21_5x_3" localSheetId="72">'491'!$G$55:$G$56</definedName>
    <definedName name="OSRRefD21_5x_3" localSheetId="85">'492'!$G$56</definedName>
    <definedName name="OSRRefD21_5x_3" localSheetId="92">'501'!$G$48:$G$49</definedName>
    <definedName name="OSRRefD21_5x_3" localSheetId="39">'Div 2'!$G$48:$G$49</definedName>
    <definedName name="OSRRefD21_5x_3" localSheetId="47">'Div 3'!$G$87:$G$88</definedName>
    <definedName name="OSRRefD21_5x_3" localSheetId="70">'Div 4'!$G$58:$G$59</definedName>
    <definedName name="OSRRefD21_5x_3" localSheetId="91">'Div 5'!$G$48:$G$49</definedName>
    <definedName name="OSRRefD21_5x_3" localSheetId="61">'Div 6'!$G$62</definedName>
    <definedName name="OSRRefD21_5x_3" localSheetId="2">Summary!$G$95:$G$96</definedName>
    <definedName name="OSRRefD21_5x_4" localSheetId="41">'201'!$H$46</definedName>
    <definedName name="OSRRefD21_5x_4" localSheetId="42">'202'!$H$46</definedName>
    <definedName name="OSRRefD21_5x_4" localSheetId="43">'203'!$H$47</definedName>
    <definedName name="OSRRefD21_5x_4" localSheetId="44">'204'!$H$50</definedName>
    <definedName name="OSRRefD21_5x_4" localSheetId="45">'205'!$H$47</definedName>
    <definedName name="OSRRefD21_5x_4" localSheetId="46">'206'!$H$47:$H$48</definedName>
    <definedName name="OSRRefD21_5x_4" localSheetId="48">'300'!$H$81:$H$82</definedName>
    <definedName name="OSRRefD21_5x_4" localSheetId="49">'300 &amp; 317'!$H$87:$H$88</definedName>
    <definedName name="OSRRefD21_5x_4" localSheetId="50">'301'!$H$48:$H$49</definedName>
    <definedName name="OSRRefD21_5x_4" localSheetId="55">'307'!$H$60</definedName>
    <definedName name="OSRRefD21_5x_4" localSheetId="51">'308'!$H$62</definedName>
    <definedName name="OSRRefD21_5x_4" localSheetId="64">'309'!$H$37</definedName>
    <definedName name="OSRRefD21_5x_4" localSheetId="63">'310'!$H$56:$H$57</definedName>
    <definedName name="OSRRefD21_5x_4" localSheetId="71">'310 &amp; 491'!$H$56:$H$57</definedName>
    <definedName name="OSRRefD21_5x_4" localSheetId="52">'311'!$H$62</definedName>
    <definedName name="OSRRefD21_5x_4" localSheetId="57">'315'!$H$70</definedName>
    <definedName name="OSRRefD21_5x_4" localSheetId="60">'316'!$H$53:$H$54</definedName>
    <definedName name="OSRRefD21_5x_4" localSheetId="62">'317'!$H$62</definedName>
    <definedName name="OSRRefD21_5x_4" localSheetId="66">'321'!$H$51</definedName>
    <definedName name="OSRRefD21_5x_4" localSheetId="68">'325'!$H$51:$H$52</definedName>
    <definedName name="OSRRefD21_5x_4" localSheetId="58">'326'!$H$54</definedName>
    <definedName name="OSRRefD21_5x_4" localSheetId="56">'331'!$H$70</definedName>
    <definedName name="OSRRefD21_5x_4" localSheetId="59">'332'!$H$53:$H$54</definedName>
    <definedName name="OSRRefD21_5x_4" localSheetId="54">'333'!$H$72</definedName>
    <definedName name="OSRRefD21_5x_4" localSheetId="73">'405'!$H$53:$H$54</definedName>
    <definedName name="OSRRefD21_5x_4" localSheetId="75">'411'!$H$47</definedName>
    <definedName name="OSRRefD21_5x_4" localSheetId="79">'415'!$H$54:$H$55</definedName>
    <definedName name="OSRRefD21_5x_4" localSheetId="80">'418'!$H$51</definedName>
    <definedName name="OSRRefD21_5x_4" localSheetId="86">'430'!$H$46:$H$47</definedName>
    <definedName name="OSRRefD21_5x_4" localSheetId="87">'433'!$H$54</definedName>
    <definedName name="OSRRefD21_5x_4" localSheetId="89">'444'!$H$54</definedName>
    <definedName name="OSRRefD21_5x_4" localSheetId="90">'450'!$H$54</definedName>
    <definedName name="OSRRefD21_5x_4" localSheetId="72">'491'!$H$55:$H$56</definedName>
    <definedName name="OSRRefD21_5x_4" localSheetId="85">'492'!$H$56</definedName>
    <definedName name="OSRRefD21_5x_4" localSheetId="92">'501'!$H$48:$H$49</definedName>
    <definedName name="OSRRefD21_5x_4" localSheetId="39">'Div 2'!$H$48:$H$49</definedName>
    <definedName name="OSRRefD21_5x_4" localSheetId="47">'Div 3'!$H$87:$H$88</definedName>
    <definedName name="OSRRefD21_5x_4" localSheetId="70">'Div 4'!$H$58:$H$59</definedName>
    <definedName name="OSRRefD21_5x_4" localSheetId="91">'Div 5'!$H$48:$H$49</definedName>
    <definedName name="OSRRefD21_5x_4" localSheetId="61">'Div 6'!$H$62</definedName>
    <definedName name="OSRRefD21_5x_4" localSheetId="2">Summary!$H$95:$H$96</definedName>
    <definedName name="OSRRefD21_5x_5" localSheetId="41">'201'!$I$46</definedName>
    <definedName name="OSRRefD21_5x_5" localSheetId="42">'202'!$I$46</definedName>
    <definedName name="OSRRefD21_5x_5" localSheetId="43">'203'!$I$47</definedName>
    <definedName name="OSRRefD21_5x_5" localSheetId="44">'204'!$I$50</definedName>
    <definedName name="OSRRefD21_5x_5" localSheetId="45">'205'!$I$47</definedName>
    <definedName name="OSRRefD21_5x_5" localSheetId="46">'206'!$I$47:$I$48</definedName>
    <definedName name="OSRRefD21_5x_5" localSheetId="48">'300'!$I$81:$I$82</definedName>
    <definedName name="OSRRefD21_5x_5" localSheetId="49">'300 &amp; 317'!$I$87:$I$88</definedName>
    <definedName name="OSRRefD21_5x_5" localSheetId="50">'301'!$I$48:$I$49</definedName>
    <definedName name="OSRRefD21_5x_5" localSheetId="55">'307'!$I$60</definedName>
    <definedName name="OSRRefD21_5x_5" localSheetId="51">'308'!$I$62</definedName>
    <definedName name="OSRRefD21_5x_5" localSheetId="64">'309'!$I$37</definedName>
    <definedName name="OSRRefD21_5x_5" localSheetId="63">'310'!$I$56:$I$57</definedName>
    <definedName name="OSRRefD21_5x_5" localSheetId="71">'310 &amp; 491'!$I$56:$I$57</definedName>
    <definedName name="OSRRefD21_5x_5" localSheetId="52">'311'!$I$62</definedName>
    <definedName name="OSRRefD21_5x_5" localSheetId="57">'315'!$I$70</definedName>
    <definedName name="OSRRefD21_5x_5" localSheetId="60">'316'!$I$53:$I$54</definedName>
    <definedName name="OSRRefD21_5x_5" localSheetId="62">'317'!$I$62</definedName>
    <definedName name="OSRRefD21_5x_5" localSheetId="66">'321'!$I$51</definedName>
    <definedName name="OSRRefD21_5x_5" localSheetId="68">'325'!$I$51:$I$52</definedName>
    <definedName name="OSRRefD21_5x_5" localSheetId="58">'326'!$I$54</definedName>
    <definedName name="OSRRefD21_5x_5" localSheetId="56">'331'!$I$70</definedName>
    <definedName name="OSRRefD21_5x_5" localSheetId="59">'332'!$I$53:$I$54</definedName>
    <definedName name="OSRRefD21_5x_5" localSheetId="54">'333'!$I$72</definedName>
    <definedName name="OSRRefD21_5x_5" localSheetId="73">'405'!$I$53:$I$54</definedName>
    <definedName name="OSRRefD21_5x_5" localSheetId="75">'411'!$I$47</definedName>
    <definedName name="OSRRefD21_5x_5" localSheetId="79">'415'!$I$54:$I$55</definedName>
    <definedName name="OSRRefD21_5x_5" localSheetId="80">'418'!$I$51</definedName>
    <definedName name="OSRRefD21_5x_5" localSheetId="86">'430'!$I$46:$I$47</definedName>
    <definedName name="OSRRefD21_5x_5" localSheetId="87">'433'!$I$54</definedName>
    <definedName name="OSRRefD21_5x_5" localSheetId="89">'444'!$I$54</definedName>
    <definedName name="OSRRefD21_5x_5" localSheetId="90">'450'!$I$54</definedName>
    <definedName name="OSRRefD21_5x_5" localSheetId="72">'491'!$I$55:$I$56</definedName>
    <definedName name="OSRRefD21_5x_5" localSheetId="85">'492'!$I$56</definedName>
    <definedName name="OSRRefD21_5x_5" localSheetId="92">'501'!$I$48:$I$49</definedName>
    <definedName name="OSRRefD21_5x_5" localSheetId="39">'Div 2'!$I$48:$I$49</definedName>
    <definedName name="OSRRefD21_5x_5" localSheetId="47">'Div 3'!$I$87:$I$88</definedName>
    <definedName name="OSRRefD21_5x_5" localSheetId="70">'Div 4'!$I$58:$I$59</definedName>
    <definedName name="OSRRefD21_5x_5" localSheetId="91">'Div 5'!$I$48:$I$49</definedName>
    <definedName name="OSRRefD21_5x_5" localSheetId="61">'Div 6'!$I$62</definedName>
    <definedName name="OSRRefD21_5x_5" localSheetId="2">Summary!$I$95:$I$96</definedName>
    <definedName name="OSRRefD21_5x_6" localSheetId="41">'201'!$J$46</definedName>
    <definedName name="OSRRefD21_5x_6" localSheetId="42">'202'!$J$46</definedName>
    <definedName name="OSRRefD21_5x_6" localSheetId="43">'203'!$J$47</definedName>
    <definedName name="OSRRefD21_5x_6" localSheetId="44">'204'!$J$50</definedName>
    <definedName name="OSRRefD21_5x_6" localSheetId="45">'205'!$J$47</definedName>
    <definedName name="OSRRefD21_5x_6" localSheetId="46">'206'!$J$47:$J$48</definedName>
    <definedName name="OSRRefD21_5x_6" localSheetId="48">'300'!$J$81:$J$82</definedName>
    <definedName name="OSRRefD21_5x_6" localSheetId="49">'300 &amp; 317'!$J$87:$J$88</definedName>
    <definedName name="OSRRefD21_5x_6" localSheetId="50">'301'!$J$48:$J$49</definedName>
    <definedName name="OSRRefD21_5x_6" localSheetId="55">'307'!$J$60</definedName>
    <definedName name="OSRRefD21_5x_6" localSheetId="51">'308'!$J$62</definedName>
    <definedName name="OSRRefD21_5x_6" localSheetId="64">'309'!$J$37</definedName>
    <definedName name="OSRRefD21_5x_6" localSheetId="63">'310'!$J$56:$J$57</definedName>
    <definedName name="OSRRefD21_5x_6" localSheetId="71">'310 &amp; 491'!$J$56:$J$57</definedName>
    <definedName name="OSRRefD21_5x_6" localSheetId="52">'311'!$J$62</definedName>
    <definedName name="OSRRefD21_5x_6" localSheetId="57">'315'!$J$70</definedName>
    <definedName name="OSRRefD21_5x_6" localSheetId="60">'316'!$J$53:$J$54</definedName>
    <definedName name="OSRRefD21_5x_6" localSheetId="62">'317'!$J$62</definedName>
    <definedName name="OSRRefD21_5x_6" localSheetId="66">'321'!$J$51</definedName>
    <definedName name="OSRRefD21_5x_6" localSheetId="68">'325'!$J$51:$J$52</definedName>
    <definedName name="OSRRefD21_5x_6" localSheetId="58">'326'!$J$54</definedName>
    <definedName name="OSRRefD21_5x_6" localSheetId="56">'331'!$J$70</definedName>
    <definedName name="OSRRefD21_5x_6" localSheetId="59">'332'!$J$53:$J$54</definedName>
    <definedName name="OSRRefD21_5x_6" localSheetId="54">'333'!$J$72</definedName>
    <definedName name="OSRRefD21_5x_6" localSheetId="73">'405'!$J$53:$J$54</definedName>
    <definedName name="OSRRefD21_5x_6" localSheetId="75">'411'!$J$47</definedName>
    <definedName name="OSRRefD21_5x_6" localSheetId="79">'415'!$J$54:$J$55</definedName>
    <definedName name="OSRRefD21_5x_6" localSheetId="80">'418'!$J$51</definedName>
    <definedName name="OSRRefD21_5x_6" localSheetId="86">'430'!$J$46:$J$47</definedName>
    <definedName name="OSRRefD21_5x_6" localSheetId="87">'433'!$J$54</definedName>
    <definedName name="OSRRefD21_5x_6" localSheetId="89">'444'!$J$54</definedName>
    <definedName name="OSRRefD21_5x_6" localSheetId="90">'450'!$J$54</definedName>
    <definedName name="OSRRefD21_5x_6" localSheetId="72">'491'!$J$55:$J$56</definedName>
    <definedName name="OSRRefD21_5x_6" localSheetId="85">'492'!$J$56</definedName>
    <definedName name="OSRRefD21_5x_6" localSheetId="92">'501'!$J$48:$J$49</definedName>
    <definedName name="OSRRefD21_5x_6" localSheetId="39">'Div 2'!$J$48:$J$49</definedName>
    <definedName name="OSRRefD21_5x_6" localSheetId="47">'Div 3'!$J$87:$J$88</definedName>
    <definedName name="OSRRefD21_5x_6" localSheetId="70">'Div 4'!$J$58:$J$59</definedName>
    <definedName name="OSRRefD21_5x_6" localSheetId="91">'Div 5'!$J$48:$J$49</definedName>
    <definedName name="OSRRefD21_5x_6" localSheetId="61">'Div 6'!$J$62</definedName>
    <definedName name="OSRRefD21_5x_6" localSheetId="2">Summary!$J$95:$J$96</definedName>
    <definedName name="OSRRefD21_5x_7" localSheetId="41">'201'!$K$46</definedName>
    <definedName name="OSRRefD21_5x_7" localSheetId="42">'202'!$K$46</definedName>
    <definedName name="OSRRefD21_5x_7" localSheetId="43">'203'!$K$47</definedName>
    <definedName name="OSRRefD21_5x_7" localSheetId="44">'204'!$K$50</definedName>
    <definedName name="OSRRefD21_5x_7" localSheetId="45">'205'!$K$47</definedName>
    <definedName name="OSRRefD21_5x_7" localSheetId="46">'206'!$K$47:$K$48</definedName>
    <definedName name="OSRRefD21_5x_7" localSheetId="48">'300'!$K$81:$K$82</definedName>
    <definedName name="OSRRefD21_5x_7" localSheetId="49">'300 &amp; 317'!$K$87:$K$88</definedName>
    <definedName name="OSRRefD21_5x_7" localSheetId="50">'301'!$K$48:$K$49</definedName>
    <definedName name="OSRRefD21_5x_7" localSheetId="55">'307'!$K$60</definedName>
    <definedName name="OSRRefD21_5x_7" localSheetId="51">'308'!$K$62</definedName>
    <definedName name="OSRRefD21_5x_7" localSheetId="64">'309'!$K$37</definedName>
    <definedName name="OSRRefD21_5x_7" localSheetId="63">'310'!$K$56:$K$57</definedName>
    <definedName name="OSRRefD21_5x_7" localSheetId="71">'310 &amp; 491'!$K$56:$K$57</definedName>
    <definedName name="OSRRefD21_5x_7" localSheetId="52">'311'!$K$62</definedName>
    <definedName name="OSRRefD21_5x_7" localSheetId="57">'315'!$K$70</definedName>
    <definedName name="OSRRefD21_5x_7" localSheetId="60">'316'!$K$53:$K$54</definedName>
    <definedName name="OSRRefD21_5x_7" localSheetId="62">'317'!$K$62</definedName>
    <definedName name="OSRRefD21_5x_7" localSheetId="66">'321'!$K$51</definedName>
    <definedName name="OSRRefD21_5x_7" localSheetId="68">'325'!$K$51:$K$52</definedName>
    <definedName name="OSRRefD21_5x_7" localSheetId="58">'326'!$K$54</definedName>
    <definedName name="OSRRefD21_5x_7" localSheetId="56">'331'!$K$70</definedName>
    <definedName name="OSRRefD21_5x_7" localSheetId="59">'332'!$K$53:$K$54</definedName>
    <definedName name="OSRRefD21_5x_7" localSheetId="54">'333'!$K$72</definedName>
    <definedName name="OSRRefD21_5x_7" localSheetId="73">'405'!$K$53:$K$54</definedName>
    <definedName name="OSRRefD21_5x_7" localSheetId="75">'411'!$K$47</definedName>
    <definedName name="OSRRefD21_5x_7" localSheetId="79">'415'!$K$54:$K$55</definedName>
    <definedName name="OSRRefD21_5x_7" localSheetId="80">'418'!$K$51</definedName>
    <definedName name="OSRRefD21_5x_7" localSheetId="86">'430'!$K$46:$K$47</definedName>
    <definedName name="OSRRefD21_5x_7" localSheetId="87">'433'!$K$54</definedName>
    <definedName name="OSRRefD21_5x_7" localSheetId="89">'444'!$K$54</definedName>
    <definedName name="OSRRefD21_5x_7" localSheetId="90">'450'!$K$54</definedName>
    <definedName name="OSRRefD21_5x_7" localSheetId="72">'491'!$K$55:$K$56</definedName>
    <definedName name="OSRRefD21_5x_7" localSheetId="85">'492'!$K$56</definedName>
    <definedName name="OSRRefD21_5x_7" localSheetId="92">'501'!$K$48:$K$49</definedName>
    <definedName name="OSRRefD21_5x_7" localSheetId="39">'Div 2'!$K$48:$K$49</definedName>
    <definedName name="OSRRefD21_5x_7" localSheetId="47">'Div 3'!$K$87:$K$88</definedName>
    <definedName name="OSRRefD21_5x_7" localSheetId="70">'Div 4'!$K$58:$K$59</definedName>
    <definedName name="OSRRefD21_5x_7" localSheetId="91">'Div 5'!$K$48:$K$49</definedName>
    <definedName name="OSRRefD21_5x_7" localSheetId="61">'Div 6'!$K$62</definedName>
    <definedName name="OSRRefD21_5x_7" localSheetId="2">Summary!$K$95:$K$96</definedName>
    <definedName name="OSRRefD21_5x_8" localSheetId="41">'201'!$L$46</definedName>
    <definedName name="OSRRefD21_5x_8" localSheetId="42">'202'!$L$46</definedName>
    <definedName name="OSRRefD21_5x_8" localSheetId="43">'203'!$L$47</definedName>
    <definedName name="OSRRefD21_5x_8" localSheetId="44">'204'!$L$50</definedName>
    <definedName name="OSRRefD21_5x_8" localSheetId="45">'205'!$L$47</definedName>
    <definedName name="OSRRefD21_5x_8" localSheetId="46">'206'!$L$47:$L$48</definedName>
    <definedName name="OSRRefD21_5x_8" localSheetId="48">'300'!$L$81:$L$82</definedName>
    <definedName name="OSRRefD21_5x_8" localSheetId="49">'300 &amp; 317'!$L$87:$L$88</definedName>
    <definedName name="OSRRefD21_5x_8" localSheetId="50">'301'!$L$48:$L$49</definedName>
    <definedName name="OSRRefD21_5x_8" localSheetId="55">'307'!$L$60</definedName>
    <definedName name="OSRRefD21_5x_8" localSheetId="51">'308'!$L$62</definedName>
    <definedName name="OSRRefD21_5x_8" localSheetId="64">'309'!$L$37</definedName>
    <definedName name="OSRRefD21_5x_8" localSheetId="63">'310'!$L$56:$L$57</definedName>
    <definedName name="OSRRefD21_5x_8" localSheetId="71">'310 &amp; 491'!$L$56:$L$57</definedName>
    <definedName name="OSRRefD21_5x_8" localSheetId="52">'311'!$L$62</definedName>
    <definedName name="OSRRefD21_5x_8" localSheetId="57">'315'!$L$70</definedName>
    <definedName name="OSRRefD21_5x_8" localSheetId="60">'316'!$L$53:$L$54</definedName>
    <definedName name="OSRRefD21_5x_8" localSheetId="62">'317'!$L$62</definedName>
    <definedName name="OSRRefD21_5x_8" localSheetId="66">'321'!$L$51</definedName>
    <definedName name="OSRRefD21_5x_8" localSheetId="68">'325'!$L$51:$L$52</definedName>
    <definedName name="OSRRefD21_5x_8" localSheetId="58">'326'!$L$54</definedName>
    <definedName name="OSRRefD21_5x_8" localSheetId="56">'331'!$L$70</definedName>
    <definedName name="OSRRefD21_5x_8" localSheetId="59">'332'!$L$53:$L$54</definedName>
    <definedName name="OSRRefD21_5x_8" localSheetId="54">'333'!$L$72</definedName>
    <definedName name="OSRRefD21_5x_8" localSheetId="73">'405'!$L$53:$L$54</definedName>
    <definedName name="OSRRefD21_5x_8" localSheetId="75">'411'!$L$47</definedName>
    <definedName name="OSRRefD21_5x_8" localSheetId="79">'415'!$L$54:$L$55</definedName>
    <definedName name="OSRRefD21_5x_8" localSheetId="80">'418'!$L$51</definedName>
    <definedName name="OSRRefD21_5x_8" localSheetId="86">'430'!$L$46:$L$47</definedName>
    <definedName name="OSRRefD21_5x_8" localSheetId="87">'433'!$L$54</definedName>
    <definedName name="OSRRefD21_5x_8" localSheetId="89">'444'!$L$54</definedName>
    <definedName name="OSRRefD21_5x_8" localSheetId="90">'450'!$L$54</definedName>
    <definedName name="OSRRefD21_5x_8" localSheetId="72">'491'!$L$55:$L$56</definedName>
    <definedName name="OSRRefD21_5x_8" localSheetId="85">'492'!$L$56</definedName>
    <definedName name="OSRRefD21_5x_8" localSheetId="92">'501'!$L$48:$L$49</definedName>
    <definedName name="OSRRefD21_5x_8" localSheetId="39">'Div 2'!$L$48:$L$49</definedName>
    <definedName name="OSRRefD21_5x_8" localSheetId="47">'Div 3'!$L$87:$L$88</definedName>
    <definedName name="OSRRefD21_5x_8" localSheetId="70">'Div 4'!$L$58:$L$59</definedName>
    <definedName name="OSRRefD21_5x_8" localSheetId="91">'Div 5'!$L$48:$L$49</definedName>
    <definedName name="OSRRefD21_5x_8" localSheetId="61">'Div 6'!$L$62</definedName>
    <definedName name="OSRRefD21_5x_8" localSheetId="2">Summary!$L$95:$L$96</definedName>
    <definedName name="OSRRefD21_5x_9" localSheetId="41">'201'!$M$46</definedName>
    <definedName name="OSRRefD21_5x_9" localSheetId="42">'202'!$M$46</definedName>
    <definedName name="OSRRefD21_5x_9" localSheetId="43">'203'!$M$47</definedName>
    <definedName name="OSRRefD21_5x_9" localSheetId="44">'204'!$M$50</definedName>
    <definedName name="OSRRefD21_5x_9" localSheetId="45">'205'!$M$47</definedName>
    <definedName name="OSRRefD21_5x_9" localSheetId="46">'206'!$M$47:$M$48</definedName>
    <definedName name="OSRRefD21_5x_9" localSheetId="48">'300'!$M$81:$M$82</definedName>
    <definedName name="OSRRefD21_5x_9" localSheetId="49">'300 &amp; 317'!$M$87:$M$88</definedName>
    <definedName name="OSRRefD21_5x_9" localSheetId="50">'301'!$M$48:$M$49</definedName>
    <definedName name="OSRRefD21_5x_9" localSheetId="55">'307'!$M$60</definedName>
    <definedName name="OSRRefD21_5x_9" localSheetId="51">'308'!$M$62</definedName>
    <definedName name="OSRRefD21_5x_9" localSheetId="64">'309'!$M$37</definedName>
    <definedName name="OSRRefD21_5x_9" localSheetId="63">'310'!$M$56:$M$57</definedName>
    <definedName name="OSRRefD21_5x_9" localSheetId="71">'310 &amp; 491'!$M$56:$M$57</definedName>
    <definedName name="OSRRefD21_5x_9" localSheetId="52">'311'!$M$62</definedName>
    <definedName name="OSRRefD21_5x_9" localSheetId="57">'315'!$M$70</definedName>
    <definedName name="OSRRefD21_5x_9" localSheetId="60">'316'!$M$53:$M$54</definedName>
    <definedName name="OSRRefD21_5x_9" localSheetId="62">'317'!$M$62</definedName>
    <definedName name="OSRRefD21_5x_9" localSheetId="66">'321'!$M$51</definedName>
    <definedName name="OSRRefD21_5x_9" localSheetId="68">'325'!$M$51:$M$52</definedName>
    <definedName name="OSRRefD21_5x_9" localSheetId="58">'326'!$M$54</definedName>
    <definedName name="OSRRefD21_5x_9" localSheetId="56">'331'!$M$70</definedName>
    <definedName name="OSRRefD21_5x_9" localSheetId="59">'332'!$M$53:$M$54</definedName>
    <definedName name="OSRRefD21_5x_9" localSheetId="54">'333'!$M$72</definedName>
    <definedName name="OSRRefD21_5x_9" localSheetId="73">'405'!$M$53:$M$54</definedName>
    <definedName name="OSRRefD21_5x_9" localSheetId="75">'411'!$M$47</definedName>
    <definedName name="OSRRefD21_5x_9" localSheetId="79">'415'!$M$54:$M$55</definedName>
    <definedName name="OSRRefD21_5x_9" localSheetId="80">'418'!$M$51</definedName>
    <definedName name="OSRRefD21_5x_9" localSheetId="86">'430'!$M$46:$M$47</definedName>
    <definedName name="OSRRefD21_5x_9" localSheetId="87">'433'!$M$54</definedName>
    <definedName name="OSRRefD21_5x_9" localSheetId="89">'444'!$M$54</definedName>
    <definedName name="OSRRefD21_5x_9" localSheetId="90">'450'!$M$54</definedName>
    <definedName name="OSRRefD21_5x_9" localSheetId="72">'491'!$M$55:$M$56</definedName>
    <definedName name="OSRRefD21_5x_9" localSheetId="85">'492'!$M$56</definedName>
    <definedName name="OSRRefD21_5x_9" localSheetId="92">'501'!$M$48:$M$49</definedName>
    <definedName name="OSRRefD21_5x_9" localSheetId="39">'Div 2'!$M$48:$M$49</definedName>
    <definedName name="OSRRefD21_5x_9" localSheetId="47">'Div 3'!$M$87:$M$88</definedName>
    <definedName name="OSRRefD21_5x_9" localSheetId="70">'Div 4'!$M$58:$M$59</definedName>
    <definedName name="OSRRefD21_5x_9" localSheetId="91">'Div 5'!$M$48:$M$49</definedName>
    <definedName name="OSRRefD21_5x_9" localSheetId="61">'Div 6'!$M$62</definedName>
    <definedName name="OSRRefD21_5x_9" localSheetId="2">Summary!$M$95:$M$96</definedName>
    <definedName name="OSRRefD21_6_0x" localSheetId="41">'201'!$D$48:$M$48</definedName>
    <definedName name="OSRRefD21_6_0x" localSheetId="42">'202'!$D$48:$M$48</definedName>
    <definedName name="OSRRefD21_6_0x" localSheetId="43">'203'!$D$49:$M$49</definedName>
    <definedName name="OSRRefD21_6_0x" localSheetId="44">'204'!$D$52:$M$52</definedName>
    <definedName name="OSRRefD21_6_0x" localSheetId="45">'205'!$D$49:$M$49</definedName>
    <definedName name="OSRRefD21_6_0x" localSheetId="48">'300'!$D$84:$M$84</definedName>
    <definedName name="OSRRefD21_6_0x" localSheetId="49">'300 &amp; 317'!$D$90:$M$90</definedName>
    <definedName name="OSRRefD21_6_0x" localSheetId="50">'301'!$D$51:$M$51</definedName>
    <definedName name="OSRRefD21_6_0x" localSheetId="55">'307'!$D$62:$M$62</definedName>
    <definedName name="OSRRefD21_6_0x" localSheetId="51">'308'!$D$64:$M$64</definedName>
    <definedName name="OSRRefD21_6_0x" localSheetId="64">'309'!$D$39:$M$39</definedName>
    <definedName name="OSRRefD21_6_0x" localSheetId="63">'310'!$D$59:$M$59</definedName>
    <definedName name="OSRRefD21_6_0x" localSheetId="71">'310 &amp; 491'!$D$59:$M$59</definedName>
    <definedName name="OSRRefD21_6_0x" localSheetId="52">'311'!$D$64:$M$64</definedName>
    <definedName name="OSRRefD21_6_0x" localSheetId="57">'315'!$D$72:$M$72</definedName>
    <definedName name="OSRRefD21_6_0x" localSheetId="60">'316'!$D$56:$M$56</definedName>
    <definedName name="OSRRefD21_6_0x" localSheetId="62">'317'!$D$64:$M$64</definedName>
    <definedName name="OSRRefD21_6_0x" localSheetId="66">'321'!$D$53:$M$53</definedName>
    <definedName name="OSRRefD21_6_0x" localSheetId="68">'325'!$D$54:$M$54</definedName>
    <definedName name="OSRRefD21_6_0x" localSheetId="58">'326'!$D$56:$M$56</definedName>
    <definedName name="OSRRefD21_6_0x" localSheetId="56">'331'!$D$72:$M$72</definedName>
    <definedName name="OSRRefD21_6_0x" localSheetId="59">'332'!$D$56:$M$56</definedName>
    <definedName name="OSRRefD21_6_0x" localSheetId="54">'333'!$D$74:$M$74</definedName>
    <definedName name="OSRRefD21_6_0x" localSheetId="73">'405'!$D$56:$M$56</definedName>
    <definedName name="OSRRefD21_6_0x" localSheetId="75">'411'!$D$49:$M$49</definedName>
    <definedName name="OSRRefD21_6_0x" localSheetId="79">'415'!$D$57:$M$57</definedName>
    <definedName name="OSRRefD21_6_0x" localSheetId="80">'418'!$D$53:$M$53</definedName>
    <definedName name="OSRRefD21_6_0x" localSheetId="86">'430'!$D$49:$M$49</definedName>
    <definedName name="OSRRefD21_6_0x" localSheetId="87">'433'!$D$56:$M$56</definedName>
    <definedName name="OSRRefD21_6_0x" localSheetId="89">'444'!$D$56:$M$56</definedName>
    <definedName name="OSRRefD21_6_0x" localSheetId="90">'450'!$D$56:$M$56</definedName>
    <definedName name="OSRRefD21_6_0x" localSheetId="72">'491'!$D$58:$M$58</definedName>
    <definedName name="OSRRefD21_6_0x" localSheetId="85">'492'!$D$58:$M$58</definedName>
    <definedName name="OSRRefD21_6_0x" localSheetId="92">'501'!$D$51:$M$51</definedName>
    <definedName name="OSRRefD21_6_0x" localSheetId="39">'Div 2'!$D$51:$M$51</definedName>
    <definedName name="OSRRefD21_6_0x" localSheetId="47">'Div 3'!$D$90:$M$90</definedName>
    <definedName name="OSRRefD21_6_0x" localSheetId="70">'Div 4'!$D$61:$M$61</definedName>
    <definedName name="OSRRefD21_6_0x" localSheetId="91">'Div 5'!$D$51:$M$51</definedName>
    <definedName name="OSRRefD21_6_0x" localSheetId="61">'Div 6'!$D$64:$M$64</definedName>
    <definedName name="OSRRefD21_6_0x" localSheetId="2">Summary!$D$98:$M$98</definedName>
    <definedName name="OSRRefD21_6_1x" localSheetId="44">'204'!$D$53:$M$53</definedName>
    <definedName name="OSRRefD21_6_1x" localSheetId="45">'205'!$D$50:$M$50</definedName>
    <definedName name="OSRRefD21_6_1x" localSheetId="48">'300'!$D$85:$M$85</definedName>
    <definedName name="OSRRefD21_6_1x" localSheetId="49">'300 &amp; 317'!$D$91:$M$91</definedName>
    <definedName name="OSRRefD21_6_1x" localSheetId="50">'301'!$D$52:$M$52</definedName>
    <definedName name="OSRRefD21_6_1x" localSheetId="51">'308'!$D$65:$M$65</definedName>
    <definedName name="OSRRefD21_6_1x" localSheetId="52">'311'!$D$65:$M$65</definedName>
    <definedName name="OSRRefD21_6_1x" localSheetId="86">'430'!$D$50:$M$50</definedName>
    <definedName name="OSRRefD21_6_1x" localSheetId="47">'Div 3'!$D$91:$M$91</definedName>
    <definedName name="OSRRefD21_6_1x" localSheetId="2">Summary!$D$99:$M$99</definedName>
    <definedName name="OSRRefD21_6x_0" localSheetId="41">'201'!$D$48</definedName>
    <definedName name="OSRRefD21_6x_0" localSheetId="42">'202'!$D$48</definedName>
    <definedName name="OSRRefD21_6x_0" localSheetId="43">'203'!$D$49</definedName>
    <definedName name="OSRRefD21_6x_0" localSheetId="44">'204'!$D$52:$D$53</definedName>
    <definedName name="OSRRefD21_6x_0" localSheetId="45">'205'!$D$49:$D$50</definedName>
    <definedName name="OSRRefD21_6x_0" localSheetId="48">'300'!$D$84:$D$85</definedName>
    <definedName name="OSRRefD21_6x_0" localSheetId="49">'300 &amp; 317'!$D$90:$D$91</definedName>
    <definedName name="OSRRefD21_6x_0" localSheetId="50">'301'!$D$51:$D$52</definedName>
    <definedName name="OSRRefD21_6x_0" localSheetId="55">'307'!$D$62</definedName>
    <definedName name="OSRRefD21_6x_0" localSheetId="51">'308'!$D$64:$D$65</definedName>
    <definedName name="OSRRefD21_6x_0" localSheetId="64">'309'!$D$39</definedName>
    <definedName name="OSRRefD21_6x_0" localSheetId="63">'310'!$D$59</definedName>
    <definedName name="OSRRefD21_6x_0" localSheetId="71">'310 &amp; 491'!$D$59</definedName>
    <definedName name="OSRRefD21_6x_0" localSheetId="52">'311'!$D$64:$D$65</definedName>
    <definedName name="OSRRefD21_6x_0" localSheetId="57">'315'!$D$72</definedName>
    <definedName name="OSRRefD21_6x_0" localSheetId="60">'316'!$D$56</definedName>
    <definedName name="OSRRefD21_6x_0" localSheetId="62">'317'!$D$64</definedName>
    <definedName name="OSRRefD21_6x_0" localSheetId="66">'321'!$D$53</definedName>
    <definedName name="OSRRefD21_6x_0" localSheetId="68">'325'!$D$54</definedName>
    <definedName name="OSRRefD21_6x_0" localSheetId="58">'326'!$D$56</definedName>
    <definedName name="OSRRefD21_6x_0" localSheetId="56">'331'!$D$72</definedName>
    <definedName name="OSRRefD21_6x_0" localSheetId="59">'332'!$D$56</definedName>
    <definedName name="OSRRefD21_6x_0" localSheetId="54">'333'!$D$74</definedName>
    <definedName name="OSRRefD21_6x_0" localSheetId="73">'405'!$D$56</definedName>
    <definedName name="OSRRefD21_6x_0" localSheetId="75">'411'!$D$49</definedName>
    <definedName name="OSRRefD21_6x_0" localSheetId="79">'415'!$D$57</definedName>
    <definedName name="OSRRefD21_6x_0" localSheetId="80">'418'!$D$53</definedName>
    <definedName name="OSRRefD21_6x_0" localSheetId="86">'430'!$D$49:$D$50</definedName>
    <definedName name="OSRRefD21_6x_0" localSheetId="87">'433'!$D$56</definedName>
    <definedName name="OSRRefD21_6x_0" localSheetId="89">'444'!$D$56</definedName>
    <definedName name="OSRRefD21_6x_0" localSheetId="90">'450'!$D$56</definedName>
    <definedName name="OSRRefD21_6x_0" localSheetId="72">'491'!$D$58</definedName>
    <definedName name="OSRRefD21_6x_0" localSheetId="85">'492'!$D$58</definedName>
    <definedName name="OSRRefD21_6x_0" localSheetId="92">'501'!$D$51</definedName>
    <definedName name="OSRRefD21_6x_0" localSheetId="39">'Div 2'!$D$51</definedName>
    <definedName name="OSRRefD21_6x_0" localSheetId="47">'Div 3'!$D$90:$D$91</definedName>
    <definedName name="OSRRefD21_6x_0" localSheetId="70">'Div 4'!$D$61</definedName>
    <definedName name="OSRRefD21_6x_0" localSheetId="91">'Div 5'!$D$51</definedName>
    <definedName name="OSRRefD21_6x_0" localSheetId="61">'Div 6'!$D$64</definedName>
    <definedName name="OSRRefD21_6x_0" localSheetId="2">Summary!$D$98:$D$99</definedName>
    <definedName name="OSRRefD21_6x_1" localSheetId="41">'201'!$E$48</definedName>
    <definedName name="OSRRefD21_6x_1" localSheetId="42">'202'!$E$48</definedName>
    <definedName name="OSRRefD21_6x_1" localSheetId="43">'203'!$E$49</definedName>
    <definedName name="OSRRefD21_6x_1" localSheetId="44">'204'!$E$52:$E$53</definedName>
    <definedName name="OSRRefD21_6x_1" localSheetId="45">'205'!$E$49:$E$50</definedName>
    <definedName name="OSRRefD21_6x_1" localSheetId="48">'300'!$E$84:$E$85</definedName>
    <definedName name="OSRRefD21_6x_1" localSheetId="49">'300 &amp; 317'!$E$90:$E$91</definedName>
    <definedName name="OSRRefD21_6x_1" localSheetId="50">'301'!$E$51:$E$52</definedName>
    <definedName name="OSRRefD21_6x_1" localSheetId="55">'307'!$E$62</definedName>
    <definedName name="OSRRefD21_6x_1" localSheetId="51">'308'!$E$64:$E$65</definedName>
    <definedName name="OSRRefD21_6x_1" localSheetId="64">'309'!$E$39</definedName>
    <definedName name="OSRRefD21_6x_1" localSheetId="63">'310'!$E$59</definedName>
    <definedName name="OSRRefD21_6x_1" localSheetId="71">'310 &amp; 491'!$E$59</definedName>
    <definedName name="OSRRefD21_6x_1" localSheetId="52">'311'!$E$64:$E$65</definedName>
    <definedName name="OSRRefD21_6x_1" localSheetId="57">'315'!$E$72</definedName>
    <definedName name="OSRRefD21_6x_1" localSheetId="60">'316'!$E$56</definedName>
    <definedName name="OSRRefD21_6x_1" localSheetId="62">'317'!$E$64</definedName>
    <definedName name="OSRRefD21_6x_1" localSheetId="66">'321'!$E$53</definedName>
    <definedName name="OSRRefD21_6x_1" localSheetId="68">'325'!$E$54</definedName>
    <definedName name="OSRRefD21_6x_1" localSheetId="58">'326'!$E$56</definedName>
    <definedName name="OSRRefD21_6x_1" localSheetId="56">'331'!$E$72</definedName>
    <definedName name="OSRRefD21_6x_1" localSheetId="59">'332'!$E$56</definedName>
    <definedName name="OSRRefD21_6x_1" localSheetId="54">'333'!$E$74</definedName>
    <definedName name="OSRRefD21_6x_1" localSheetId="73">'405'!$E$56</definedName>
    <definedName name="OSRRefD21_6x_1" localSheetId="75">'411'!$E$49</definedName>
    <definedName name="OSRRefD21_6x_1" localSheetId="79">'415'!$E$57</definedName>
    <definedName name="OSRRefD21_6x_1" localSheetId="80">'418'!$E$53</definedName>
    <definedName name="OSRRefD21_6x_1" localSheetId="86">'430'!$E$49:$E$50</definedName>
    <definedName name="OSRRefD21_6x_1" localSheetId="87">'433'!$E$56</definedName>
    <definedName name="OSRRefD21_6x_1" localSheetId="89">'444'!$E$56</definedName>
    <definedName name="OSRRefD21_6x_1" localSheetId="90">'450'!$E$56</definedName>
    <definedName name="OSRRefD21_6x_1" localSheetId="72">'491'!$E$58</definedName>
    <definedName name="OSRRefD21_6x_1" localSheetId="85">'492'!$E$58</definedName>
    <definedName name="OSRRefD21_6x_1" localSheetId="92">'501'!$E$51</definedName>
    <definedName name="OSRRefD21_6x_1" localSheetId="39">'Div 2'!$E$51</definedName>
    <definedName name="OSRRefD21_6x_1" localSheetId="47">'Div 3'!$E$90:$E$91</definedName>
    <definedName name="OSRRefD21_6x_1" localSheetId="70">'Div 4'!$E$61</definedName>
    <definedName name="OSRRefD21_6x_1" localSheetId="91">'Div 5'!$E$51</definedName>
    <definedName name="OSRRefD21_6x_1" localSheetId="61">'Div 6'!$E$64</definedName>
    <definedName name="OSRRefD21_6x_1" localSheetId="2">Summary!$E$98:$E$99</definedName>
    <definedName name="OSRRefD21_6x_2" localSheetId="41">'201'!$F$48</definedName>
    <definedName name="OSRRefD21_6x_2" localSheetId="42">'202'!$F$48</definedName>
    <definedName name="OSRRefD21_6x_2" localSheetId="43">'203'!$F$49</definedName>
    <definedName name="OSRRefD21_6x_2" localSheetId="44">'204'!$F$52:$F$53</definedName>
    <definedName name="OSRRefD21_6x_2" localSheetId="45">'205'!$F$49:$F$50</definedName>
    <definedName name="OSRRefD21_6x_2" localSheetId="48">'300'!$F$84:$F$85</definedName>
    <definedName name="OSRRefD21_6x_2" localSheetId="49">'300 &amp; 317'!$F$90:$F$91</definedName>
    <definedName name="OSRRefD21_6x_2" localSheetId="50">'301'!$F$51:$F$52</definedName>
    <definedName name="OSRRefD21_6x_2" localSheetId="55">'307'!$F$62</definedName>
    <definedName name="OSRRefD21_6x_2" localSheetId="51">'308'!$F$64:$F$65</definedName>
    <definedName name="OSRRefD21_6x_2" localSheetId="64">'309'!$F$39</definedName>
    <definedName name="OSRRefD21_6x_2" localSheetId="63">'310'!$F$59</definedName>
    <definedName name="OSRRefD21_6x_2" localSheetId="71">'310 &amp; 491'!$F$59</definedName>
    <definedName name="OSRRefD21_6x_2" localSheetId="52">'311'!$F$64:$F$65</definedName>
    <definedName name="OSRRefD21_6x_2" localSheetId="57">'315'!$F$72</definedName>
    <definedName name="OSRRefD21_6x_2" localSheetId="60">'316'!$F$56</definedName>
    <definedName name="OSRRefD21_6x_2" localSheetId="62">'317'!$F$64</definedName>
    <definedName name="OSRRefD21_6x_2" localSheetId="66">'321'!$F$53</definedName>
    <definedName name="OSRRefD21_6x_2" localSheetId="68">'325'!$F$54</definedName>
    <definedName name="OSRRefD21_6x_2" localSheetId="58">'326'!$F$56</definedName>
    <definedName name="OSRRefD21_6x_2" localSheetId="56">'331'!$F$72</definedName>
    <definedName name="OSRRefD21_6x_2" localSheetId="59">'332'!$F$56</definedName>
    <definedName name="OSRRefD21_6x_2" localSheetId="54">'333'!$F$74</definedName>
    <definedName name="OSRRefD21_6x_2" localSheetId="73">'405'!$F$56</definedName>
    <definedName name="OSRRefD21_6x_2" localSheetId="75">'411'!$F$49</definedName>
    <definedName name="OSRRefD21_6x_2" localSheetId="79">'415'!$F$57</definedName>
    <definedName name="OSRRefD21_6x_2" localSheetId="80">'418'!$F$53</definedName>
    <definedName name="OSRRefD21_6x_2" localSheetId="86">'430'!$F$49:$F$50</definedName>
    <definedName name="OSRRefD21_6x_2" localSheetId="87">'433'!$F$56</definedName>
    <definedName name="OSRRefD21_6x_2" localSheetId="89">'444'!$F$56</definedName>
    <definedName name="OSRRefD21_6x_2" localSheetId="90">'450'!$F$56</definedName>
    <definedName name="OSRRefD21_6x_2" localSheetId="72">'491'!$F$58</definedName>
    <definedName name="OSRRefD21_6x_2" localSheetId="85">'492'!$F$58</definedName>
    <definedName name="OSRRefD21_6x_2" localSheetId="92">'501'!$F$51</definedName>
    <definedName name="OSRRefD21_6x_2" localSheetId="39">'Div 2'!$F$51</definedName>
    <definedName name="OSRRefD21_6x_2" localSheetId="47">'Div 3'!$F$90:$F$91</definedName>
    <definedName name="OSRRefD21_6x_2" localSheetId="70">'Div 4'!$F$61</definedName>
    <definedName name="OSRRefD21_6x_2" localSheetId="91">'Div 5'!$F$51</definedName>
    <definedName name="OSRRefD21_6x_2" localSheetId="61">'Div 6'!$F$64</definedName>
    <definedName name="OSRRefD21_6x_2" localSheetId="2">Summary!$F$98:$F$99</definedName>
    <definedName name="OSRRefD21_6x_3" localSheetId="41">'201'!$G$48</definedName>
    <definedName name="OSRRefD21_6x_3" localSheetId="42">'202'!$G$48</definedName>
    <definedName name="OSRRefD21_6x_3" localSheetId="43">'203'!$G$49</definedName>
    <definedName name="OSRRefD21_6x_3" localSheetId="44">'204'!$G$52:$G$53</definedName>
    <definedName name="OSRRefD21_6x_3" localSheetId="45">'205'!$G$49:$G$50</definedName>
    <definedName name="OSRRefD21_6x_3" localSheetId="48">'300'!$G$84:$G$85</definedName>
    <definedName name="OSRRefD21_6x_3" localSheetId="49">'300 &amp; 317'!$G$90:$G$91</definedName>
    <definedName name="OSRRefD21_6x_3" localSheetId="50">'301'!$G$51:$G$52</definedName>
    <definedName name="OSRRefD21_6x_3" localSheetId="55">'307'!$G$62</definedName>
    <definedName name="OSRRefD21_6x_3" localSheetId="51">'308'!$G$64:$G$65</definedName>
    <definedName name="OSRRefD21_6x_3" localSheetId="64">'309'!$G$39</definedName>
    <definedName name="OSRRefD21_6x_3" localSheetId="63">'310'!$G$59</definedName>
    <definedName name="OSRRefD21_6x_3" localSheetId="71">'310 &amp; 491'!$G$59</definedName>
    <definedName name="OSRRefD21_6x_3" localSheetId="52">'311'!$G$64:$G$65</definedName>
    <definedName name="OSRRefD21_6x_3" localSheetId="57">'315'!$G$72</definedName>
    <definedName name="OSRRefD21_6x_3" localSheetId="60">'316'!$G$56</definedName>
    <definedName name="OSRRefD21_6x_3" localSheetId="62">'317'!$G$64</definedName>
    <definedName name="OSRRefD21_6x_3" localSheetId="66">'321'!$G$53</definedName>
    <definedName name="OSRRefD21_6x_3" localSheetId="68">'325'!$G$54</definedName>
    <definedName name="OSRRefD21_6x_3" localSheetId="58">'326'!$G$56</definedName>
    <definedName name="OSRRefD21_6x_3" localSheetId="56">'331'!$G$72</definedName>
    <definedName name="OSRRefD21_6x_3" localSheetId="59">'332'!$G$56</definedName>
    <definedName name="OSRRefD21_6x_3" localSheetId="54">'333'!$G$74</definedName>
    <definedName name="OSRRefD21_6x_3" localSheetId="73">'405'!$G$56</definedName>
    <definedName name="OSRRefD21_6x_3" localSheetId="75">'411'!$G$49</definedName>
    <definedName name="OSRRefD21_6x_3" localSheetId="79">'415'!$G$57</definedName>
    <definedName name="OSRRefD21_6x_3" localSheetId="80">'418'!$G$53</definedName>
    <definedName name="OSRRefD21_6x_3" localSheetId="86">'430'!$G$49:$G$50</definedName>
    <definedName name="OSRRefD21_6x_3" localSheetId="87">'433'!$G$56</definedName>
    <definedName name="OSRRefD21_6x_3" localSheetId="89">'444'!$G$56</definedName>
    <definedName name="OSRRefD21_6x_3" localSheetId="90">'450'!$G$56</definedName>
    <definedName name="OSRRefD21_6x_3" localSheetId="72">'491'!$G$58</definedName>
    <definedName name="OSRRefD21_6x_3" localSheetId="85">'492'!$G$58</definedName>
    <definedName name="OSRRefD21_6x_3" localSheetId="92">'501'!$G$51</definedName>
    <definedName name="OSRRefD21_6x_3" localSheetId="39">'Div 2'!$G$51</definedName>
    <definedName name="OSRRefD21_6x_3" localSheetId="47">'Div 3'!$G$90:$G$91</definedName>
    <definedName name="OSRRefD21_6x_3" localSheetId="70">'Div 4'!$G$61</definedName>
    <definedName name="OSRRefD21_6x_3" localSheetId="91">'Div 5'!$G$51</definedName>
    <definedName name="OSRRefD21_6x_3" localSheetId="61">'Div 6'!$G$64</definedName>
    <definedName name="OSRRefD21_6x_3" localSheetId="2">Summary!$G$98:$G$99</definedName>
    <definedName name="OSRRefD21_6x_4" localSheetId="41">'201'!$H$48</definedName>
    <definedName name="OSRRefD21_6x_4" localSheetId="42">'202'!$H$48</definedName>
    <definedName name="OSRRefD21_6x_4" localSheetId="43">'203'!$H$49</definedName>
    <definedName name="OSRRefD21_6x_4" localSheetId="44">'204'!$H$52:$H$53</definedName>
    <definedName name="OSRRefD21_6x_4" localSheetId="45">'205'!$H$49:$H$50</definedName>
    <definedName name="OSRRefD21_6x_4" localSheetId="48">'300'!$H$84:$H$85</definedName>
    <definedName name="OSRRefD21_6x_4" localSheetId="49">'300 &amp; 317'!$H$90:$H$91</definedName>
    <definedName name="OSRRefD21_6x_4" localSheetId="50">'301'!$H$51:$H$52</definedName>
    <definedName name="OSRRefD21_6x_4" localSheetId="55">'307'!$H$62</definedName>
    <definedName name="OSRRefD21_6x_4" localSheetId="51">'308'!$H$64:$H$65</definedName>
    <definedName name="OSRRefD21_6x_4" localSheetId="64">'309'!$H$39</definedName>
    <definedName name="OSRRefD21_6x_4" localSheetId="63">'310'!$H$59</definedName>
    <definedName name="OSRRefD21_6x_4" localSheetId="71">'310 &amp; 491'!$H$59</definedName>
    <definedName name="OSRRefD21_6x_4" localSheetId="52">'311'!$H$64:$H$65</definedName>
    <definedName name="OSRRefD21_6x_4" localSheetId="57">'315'!$H$72</definedName>
    <definedName name="OSRRefD21_6x_4" localSheetId="60">'316'!$H$56</definedName>
    <definedName name="OSRRefD21_6x_4" localSheetId="62">'317'!$H$64</definedName>
    <definedName name="OSRRefD21_6x_4" localSheetId="66">'321'!$H$53</definedName>
    <definedName name="OSRRefD21_6x_4" localSheetId="68">'325'!$H$54</definedName>
    <definedName name="OSRRefD21_6x_4" localSheetId="58">'326'!$H$56</definedName>
    <definedName name="OSRRefD21_6x_4" localSheetId="56">'331'!$H$72</definedName>
    <definedName name="OSRRefD21_6x_4" localSheetId="59">'332'!$H$56</definedName>
    <definedName name="OSRRefD21_6x_4" localSheetId="54">'333'!$H$74</definedName>
    <definedName name="OSRRefD21_6x_4" localSheetId="73">'405'!$H$56</definedName>
    <definedName name="OSRRefD21_6x_4" localSheetId="75">'411'!$H$49</definedName>
    <definedName name="OSRRefD21_6x_4" localSheetId="79">'415'!$H$57</definedName>
    <definedName name="OSRRefD21_6x_4" localSheetId="80">'418'!$H$53</definedName>
    <definedName name="OSRRefD21_6x_4" localSheetId="86">'430'!$H$49:$H$50</definedName>
    <definedName name="OSRRefD21_6x_4" localSheetId="87">'433'!$H$56</definedName>
    <definedName name="OSRRefD21_6x_4" localSheetId="89">'444'!$H$56</definedName>
    <definedName name="OSRRefD21_6x_4" localSheetId="90">'450'!$H$56</definedName>
    <definedName name="OSRRefD21_6x_4" localSheetId="72">'491'!$H$58</definedName>
    <definedName name="OSRRefD21_6x_4" localSheetId="85">'492'!$H$58</definedName>
    <definedName name="OSRRefD21_6x_4" localSheetId="92">'501'!$H$51</definedName>
    <definedName name="OSRRefD21_6x_4" localSheetId="39">'Div 2'!$H$51</definedName>
    <definedName name="OSRRefD21_6x_4" localSheetId="47">'Div 3'!$H$90:$H$91</definedName>
    <definedName name="OSRRefD21_6x_4" localSheetId="70">'Div 4'!$H$61</definedName>
    <definedName name="OSRRefD21_6x_4" localSheetId="91">'Div 5'!$H$51</definedName>
    <definedName name="OSRRefD21_6x_4" localSheetId="61">'Div 6'!$H$64</definedName>
    <definedName name="OSRRefD21_6x_4" localSheetId="2">Summary!$H$98:$H$99</definedName>
    <definedName name="OSRRefD21_6x_5" localSheetId="41">'201'!$I$48</definedName>
    <definedName name="OSRRefD21_6x_5" localSheetId="42">'202'!$I$48</definedName>
    <definedName name="OSRRefD21_6x_5" localSheetId="43">'203'!$I$49</definedName>
    <definedName name="OSRRefD21_6x_5" localSheetId="44">'204'!$I$52:$I$53</definedName>
    <definedName name="OSRRefD21_6x_5" localSheetId="45">'205'!$I$49:$I$50</definedName>
    <definedName name="OSRRefD21_6x_5" localSheetId="48">'300'!$I$84:$I$85</definedName>
    <definedName name="OSRRefD21_6x_5" localSheetId="49">'300 &amp; 317'!$I$90:$I$91</definedName>
    <definedName name="OSRRefD21_6x_5" localSheetId="50">'301'!$I$51:$I$52</definedName>
    <definedName name="OSRRefD21_6x_5" localSheetId="55">'307'!$I$62</definedName>
    <definedName name="OSRRefD21_6x_5" localSheetId="51">'308'!$I$64:$I$65</definedName>
    <definedName name="OSRRefD21_6x_5" localSheetId="64">'309'!$I$39</definedName>
    <definedName name="OSRRefD21_6x_5" localSheetId="63">'310'!$I$59</definedName>
    <definedName name="OSRRefD21_6x_5" localSheetId="71">'310 &amp; 491'!$I$59</definedName>
    <definedName name="OSRRefD21_6x_5" localSheetId="52">'311'!$I$64:$I$65</definedName>
    <definedName name="OSRRefD21_6x_5" localSheetId="57">'315'!$I$72</definedName>
    <definedName name="OSRRefD21_6x_5" localSheetId="60">'316'!$I$56</definedName>
    <definedName name="OSRRefD21_6x_5" localSheetId="62">'317'!$I$64</definedName>
    <definedName name="OSRRefD21_6x_5" localSheetId="66">'321'!$I$53</definedName>
    <definedName name="OSRRefD21_6x_5" localSheetId="68">'325'!$I$54</definedName>
    <definedName name="OSRRefD21_6x_5" localSheetId="58">'326'!$I$56</definedName>
    <definedName name="OSRRefD21_6x_5" localSheetId="56">'331'!$I$72</definedName>
    <definedName name="OSRRefD21_6x_5" localSheetId="59">'332'!$I$56</definedName>
    <definedName name="OSRRefD21_6x_5" localSheetId="54">'333'!$I$74</definedName>
    <definedName name="OSRRefD21_6x_5" localSheetId="73">'405'!$I$56</definedName>
    <definedName name="OSRRefD21_6x_5" localSheetId="75">'411'!$I$49</definedName>
    <definedName name="OSRRefD21_6x_5" localSheetId="79">'415'!$I$57</definedName>
    <definedName name="OSRRefD21_6x_5" localSheetId="80">'418'!$I$53</definedName>
    <definedName name="OSRRefD21_6x_5" localSheetId="86">'430'!$I$49:$I$50</definedName>
    <definedName name="OSRRefD21_6x_5" localSheetId="87">'433'!$I$56</definedName>
    <definedName name="OSRRefD21_6x_5" localSheetId="89">'444'!$I$56</definedName>
    <definedName name="OSRRefD21_6x_5" localSheetId="90">'450'!$I$56</definedName>
    <definedName name="OSRRefD21_6x_5" localSheetId="72">'491'!$I$58</definedName>
    <definedName name="OSRRefD21_6x_5" localSheetId="85">'492'!$I$58</definedName>
    <definedName name="OSRRefD21_6x_5" localSheetId="92">'501'!$I$51</definedName>
    <definedName name="OSRRefD21_6x_5" localSheetId="39">'Div 2'!$I$51</definedName>
    <definedName name="OSRRefD21_6x_5" localSheetId="47">'Div 3'!$I$90:$I$91</definedName>
    <definedName name="OSRRefD21_6x_5" localSheetId="70">'Div 4'!$I$61</definedName>
    <definedName name="OSRRefD21_6x_5" localSheetId="91">'Div 5'!$I$51</definedName>
    <definedName name="OSRRefD21_6x_5" localSheetId="61">'Div 6'!$I$64</definedName>
    <definedName name="OSRRefD21_6x_5" localSheetId="2">Summary!$I$98:$I$99</definedName>
    <definedName name="OSRRefD21_6x_6" localSheetId="41">'201'!$J$48</definedName>
    <definedName name="OSRRefD21_6x_6" localSheetId="42">'202'!$J$48</definedName>
    <definedName name="OSRRefD21_6x_6" localSheetId="43">'203'!$J$49</definedName>
    <definedName name="OSRRefD21_6x_6" localSheetId="44">'204'!$J$52:$J$53</definedName>
    <definedName name="OSRRefD21_6x_6" localSheetId="45">'205'!$J$49:$J$50</definedName>
    <definedName name="OSRRefD21_6x_6" localSheetId="48">'300'!$J$84:$J$85</definedName>
    <definedName name="OSRRefD21_6x_6" localSheetId="49">'300 &amp; 317'!$J$90:$J$91</definedName>
    <definedName name="OSRRefD21_6x_6" localSheetId="50">'301'!$J$51:$J$52</definedName>
    <definedName name="OSRRefD21_6x_6" localSheetId="55">'307'!$J$62</definedName>
    <definedName name="OSRRefD21_6x_6" localSheetId="51">'308'!$J$64:$J$65</definedName>
    <definedName name="OSRRefD21_6x_6" localSheetId="64">'309'!$J$39</definedName>
    <definedName name="OSRRefD21_6x_6" localSheetId="63">'310'!$J$59</definedName>
    <definedName name="OSRRefD21_6x_6" localSheetId="71">'310 &amp; 491'!$J$59</definedName>
    <definedName name="OSRRefD21_6x_6" localSheetId="52">'311'!$J$64:$J$65</definedName>
    <definedName name="OSRRefD21_6x_6" localSheetId="57">'315'!$J$72</definedName>
    <definedName name="OSRRefD21_6x_6" localSheetId="60">'316'!$J$56</definedName>
    <definedName name="OSRRefD21_6x_6" localSheetId="62">'317'!$J$64</definedName>
    <definedName name="OSRRefD21_6x_6" localSheetId="66">'321'!$J$53</definedName>
    <definedName name="OSRRefD21_6x_6" localSheetId="68">'325'!$J$54</definedName>
    <definedName name="OSRRefD21_6x_6" localSheetId="58">'326'!$J$56</definedName>
    <definedName name="OSRRefD21_6x_6" localSheetId="56">'331'!$J$72</definedName>
    <definedName name="OSRRefD21_6x_6" localSheetId="59">'332'!$J$56</definedName>
    <definedName name="OSRRefD21_6x_6" localSheetId="54">'333'!$J$74</definedName>
    <definedName name="OSRRefD21_6x_6" localSheetId="73">'405'!$J$56</definedName>
    <definedName name="OSRRefD21_6x_6" localSheetId="75">'411'!$J$49</definedName>
    <definedName name="OSRRefD21_6x_6" localSheetId="79">'415'!$J$57</definedName>
    <definedName name="OSRRefD21_6x_6" localSheetId="80">'418'!$J$53</definedName>
    <definedName name="OSRRefD21_6x_6" localSheetId="86">'430'!$J$49:$J$50</definedName>
    <definedName name="OSRRefD21_6x_6" localSheetId="87">'433'!$J$56</definedName>
    <definedName name="OSRRefD21_6x_6" localSheetId="89">'444'!$J$56</definedName>
    <definedName name="OSRRefD21_6x_6" localSheetId="90">'450'!$J$56</definedName>
    <definedName name="OSRRefD21_6x_6" localSheetId="72">'491'!$J$58</definedName>
    <definedName name="OSRRefD21_6x_6" localSheetId="85">'492'!$J$58</definedName>
    <definedName name="OSRRefD21_6x_6" localSheetId="92">'501'!$J$51</definedName>
    <definedName name="OSRRefD21_6x_6" localSheetId="39">'Div 2'!$J$51</definedName>
    <definedName name="OSRRefD21_6x_6" localSheetId="47">'Div 3'!$J$90:$J$91</definedName>
    <definedName name="OSRRefD21_6x_6" localSheetId="70">'Div 4'!$J$61</definedName>
    <definedName name="OSRRefD21_6x_6" localSheetId="91">'Div 5'!$J$51</definedName>
    <definedName name="OSRRefD21_6x_6" localSheetId="61">'Div 6'!$J$64</definedName>
    <definedName name="OSRRefD21_6x_6" localSheetId="2">Summary!$J$98:$J$99</definedName>
    <definedName name="OSRRefD21_6x_7" localSheetId="41">'201'!$K$48</definedName>
    <definedName name="OSRRefD21_6x_7" localSheetId="42">'202'!$K$48</definedName>
    <definedName name="OSRRefD21_6x_7" localSheetId="43">'203'!$K$49</definedName>
    <definedName name="OSRRefD21_6x_7" localSheetId="44">'204'!$K$52:$K$53</definedName>
    <definedName name="OSRRefD21_6x_7" localSheetId="45">'205'!$K$49:$K$50</definedName>
    <definedName name="OSRRefD21_6x_7" localSheetId="48">'300'!$K$84:$K$85</definedName>
    <definedName name="OSRRefD21_6x_7" localSheetId="49">'300 &amp; 317'!$K$90:$K$91</definedName>
    <definedName name="OSRRefD21_6x_7" localSheetId="50">'301'!$K$51:$K$52</definedName>
    <definedName name="OSRRefD21_6x_7" localSheetId="55">'307'!$K$62</definedName>
    <definedName name="OSRRefD21_6x_7" localSheetId="51">'308'!$K$64:$K$65</definedName>
    <definedName name="OSRRefD21_6x_7" localSheetId="64">'309'!$K$39</definedName>
    <definedName name="OSRRefD21_6x_7" localSheetId="63">'310'!$K$59</definedName>
    <definedName name="OSRRefD21_6x_7" localSheetId="71">'310 &amp; 491'!$K$59</definedName>
    <definedName name="OSRRefD21_6x_7" localSheetId="52">'311'!$K$64:$K$65</definedName>
    <definedName name="OSRRefD21_6x_7" localSheetId="57">'315'!$K$72</definedName>
    <definedName name="OSRRefD21_6x_7" localSheetId="60">'316'!$K$56</definedName>
    <definedName name="OSRRefD21_6x_7" localSheetId="62">'317'!$K$64</definedName>
    <definedName name="OSRRefD21_6x_7" localSheetId="66">'321'!$K$53</definedName>
    <definedName name="OSRRefD21_6x_7" localSheetId="68">'325'!$K$54</definedName>
    <definedName name="OSRRefD21_6x_7" localSheetId="58">'326'!$K$56</definedName>
    <definedName name="OSRRefD21_6x_7" localSheetId="56">'331'!$K$72</definedName>
    <definedName name="OSRRefD21_6x_7" localSheetId="59">'332'!$K$56</definedName>
    <definedName name="OSRRefD21_6x_7" localSheetId="54">'333'!$K$74</definedName>
    <definedName name="OSRRefD21_6x_7" localSheetId="73">'405'!$K$56</definedName>
    <definedName name="OSRRefD21_6x_7" localSheetId="75">'411'!$K$49</definedName>
    <definedName name="OSRRefD21_6x_7" localSheetId="79">'415'!$K$57</definedName>
    <definedName name="OSRRefD21_6x_7" localSheetId="80">'418'!$K$53</definedName>
    <definedName name="OSRRefD21_6x_7" localSheetId="86">'430'!$K$49:$K$50</definedName>
    <definedName name="OSRRefD21_6x_7" localSheetId="87">'433'!$K$56</definedName>
    <definedName name="OSRRefD21_6x_7" localSheetId="89">'444'!$K$56</definedName>
    <definedName name="OSRRefD21_6x_7" localSheetId="90">'450'!$K$56</definedName>
    <definedName name="OSRRefD21_6x_7" localSheetId="72">'491'!$K$58</definedName>
    <definedName name="OSRRefD21_6x_7" localSheetId="85">'492'!$K$58</definedName>
    <definedName name="OSRRefD21_6x_7" localSheetId="92">'501'!$K$51</definedName>
    <definedName name="OSRRefD21_6x_7" localSheetId="39">'Div 2'!$K$51</definedName>
    <definedName name="OSRRefD21_6x_7" localSheetId="47">'Div 3'!$K$90:$K$91</definedName>
    <definedName name="OSRRefD21_6x_7" localSheetId="70">'Div 4'!$K$61</definedName>
    <definedName name="OSRRefD21_6x_7" localSheetId="91">'Div 5'!$K$51</definedName>
    <definedName name="OSRRefD21_6x_7" localSheetId="61">'Div 6'!$K$64</definedName>
    <definedName name="OSRRefD21_6x_7" localSheetId="2">Summary!$K$98:$K$99</definedName>
    <definedName name="OSRRefD21_6x_8" localSheetId="41">'201'!$L$48</definedName>
    <definedName name="OSRRefD21_6x_8" localSheetId="42">'202'!$L$48</definedName>
    <definedName name="OSRRefD21_6x_8" localSheetId="43">'203'!$L$49</definedName>
    <definedName name="OSRRefD21_6x_8" localSheetId="44">'204'!$L$52:$L$53</definedName>
    <definedName name="OSRRefD21_6x_8" localSheetId="45">'205'!$L$49:$L$50</definedName>
    <definedName name="OSRRefD21_6x_8" localSheetId="48">'300'!$L$84:$L$85</definedName>
    <definedName name="OSRRefD21_6x_8" localSheetId="49">'300 &amp; 317'!$L$90:$L$91</definedName>
    <definedName name="OSRRefD21_6x_8" localSheetId="50">'301'!$L$51:$L$52</definedName>
    <definedName name="OSRRefD21_6x_8" localSheetId="55">'307'!$L$62</definedName>
    <definedName name="OSRRefD21_6x_8" localSheetId="51">'308'!$L$64:$L$65</definedName>
    <definedName name="OSRRefD21_6x_8" localSheetId="64">'309'!$L$39</definedName>
    <definedName name="OSRRefD21_6x_8" localSheetId="63">'310'!$L$59</definedName>
    <definedName name="OSRRefD21_6x_8" localSheetId="71">'310 &amp; 491'!$L$59</definedName>
    <definedName name="OSRRefD21_6x_8" localSheetId="52">'311'!$L$64:$L$65</definedName>
    <definedName name="OSRRefD21_6x_8" localSheetId="57">'315'!$L$72</definedName>
    <definedName name="OSRRefD21_6x_8" localSheetId="60">'316'!$L$56</definedName>
    <definedName name="OSRRefD21_6x_8" localSheetId="62">'317'!$L$64</definedName>
    <definedName name="OSRRefD21_6x_8" localSheetId="66">'321'!$L$53</definedName>
    <definedName name="OSRRefD21_6x_8" localSheetId="68">'325'!$L$54</definedName>
    <definedName name="OSRRefD21_6x_8" localSheetId="58">'326'!$L$56</definedName>
    <definedName name="OSRRefD21_6x_8" localSheetId="56">'331'!$L$72</definedName>
    <definedName name="OSRRefD21_6x_8" localSheetId="59">'332'!$L$56</definedName>
    <definedName name="OSRRefD21_6x_8" localSheetId="54">'333'!$L$74</definedName>
    <definedName name="OSRRefD21_6x_8" localSheetId="73">'405'!$L$56</definedName>
    <definedName name="OSRRefD21_6x_8" localSheetId="75">'411'!$L$49</definedName>
    <definedName name="OSRRefD21_6x_8" localSheetId="79">'415'!$L$57</definedName>
    <definedName name="OSRRefD21_6x_8" localSheetId="80">'418'!$L$53</definedName>
    <definedName name="OSRRefD21_6x_8" localSheetId="86">'430'!$L$49:$L$50</definedName>
    <definedName name="OSRRefD21_6x_8" localSheetId="87">'433'!$L$56</definedName>
    <definedName name="OSRRefD21_6x_8" localSheetId="89">'444'!$L$56</definedName>
    <definedName name="OSRRefD21_6x_8" localSheetId="90">'450'!$L$56</definedName>
    <definedName name="OSRRefD21_6x_8" localSheetId="72">'491'!$L$58</definedName>
    <definedName name="OSRRefD21_6x_8" localSheetId="85">'492'!$L$58</definedName>
    <definedName name="OSRRefD21_6x_8" localSheetId="92">'501'!$L$51</definedName>
    <definedName name="OSRRefD21_6x_8" localSheetId="39">'Div 2'!$L$51</definedName>
    <definedName name="OSRRefD21_6x_8" localSheetId="47">'Div 3'!$L$90:$L$91</definedName>
    <definedName name="OSRRefD21_6x_8" localSheetId="70">'Div 4'!$L$61</definedName>
    <definedName name="OSRRefD21_6x_8" localSheetId="91">'Div 5'!$L$51</definedName>
    <definedName name="OSRRefD21_6x_8" localSheetId="61">'Div 6'!$L$64</definedName>
    <definedName name="OSRRefD21_6x_8" localSheetId="2">Summary!$L$98:$L$99</definedName>
    <definedName name="OSRRefD21_6x_9" localSheetId="41">'201'!$M$48</definedName>
    <definedName name="OSRRefD21_6x_9" localSheetId="42">'202'!$M$48</definedName>
    <definedName name="OSRRefD21_6x_9" localSheetId="43">'203'!$M$49</definedName>
    <definedName name="OSRRefD21_6x_9" localSheetId="44">'204'!$M$52:$M$53</definedName>
    <definedName name="OSRRefD21_6x_9" localSheetId="45">'205'!$M$49:$M$50</definedName>
    <definedName name="OSRRefD21_6x_9" localSheetId="48">'300'!$M$84:$M$85</definedName>
    <definedName name="OSRRefD21_6x_9" localSheetId="49">'300 &amp; 317'!$M$90:$M$91</definedName>
    <definedName name="OSRRefD21_6x_9" localSheetId="50">'301'!$M$51:$M$52</definedName>
    <definedName name="OSRRefD21_6x_9" localSheetId="55">'307'!$M$62</definedName>
    <definedName name="OSRRefD21_6x_9" localSheetId="51">'308'!$M$64:$M$65</definedName>
    <definedName name="OSRRefD21_6x_9" localSheetId="64">'309'!$M$39</definedName>
    <definedName name="OSRRefD21_6x_9" localSheetId="63">'310'!$M$59</definedName>
    <definedName name="OSRRefD21_6x_9" localSheetId="71">'310 &amp; 491'!$M$59</definedName>
    <definedName name="OSRRefD21_6x_9" localSheetId="52">'311'!$M$64:$M$65</definedName>
    <definedName name="OSRRefD21_6x_9" localSheetId="57">'315'!$M$72</definedName>
    <definedName name="OSRRefD21_6x_9" localSheetId="60">'316'!$M$56</definedName>
    <definedName name="OSRRefD21_6x_9" localSheetId="62">'317'!$M$64</definedName>
    <definedName name="OSRRefD21_6x_9" localSheetId="66">'321'!$M$53</definedName>
    <definedName name="OSRRefD21_6x_9" localSheetId="68">'325'!$M$54</definedName>
    <definedName name="OSRRefD21_6x_9" localSheetId="58">'326'!$M$56</definedName>
    <definedName name="OSRRefD21_6x_9" localSheetId="56">'331'!$M$72</definedName>
    <definedName name="OSRRefD21_6x_9" localSheetId="59">'332'!$M$56</definedName>
    <definedName name="OSRRefD21_6x_9" localSheetId="54">'333'!$M$74</definedName>
    <definedName name="OSRRefD21_6x_9" localSheetId="73">'405'!$M$56</definedName>
    <definedName name="OSRRefD21_6x_9" localSheetId="75">'411'!$M$49</definedName>
    <definedName name="OSRRefD21_6x_9" localSheetId="79">'415'!$M$57</definedName>
    <definedName name="OSRRefD21_6x_9" localSheetId="80">'418'!$M$53</definedName>
    <definedName name="OSRRefD21_6x_9" localSheetId="86">'430'!$M$49:$M$50</definedName>
    <definedName name="OSRRefD21_6x_9" localSheetId="87">'433'!$M$56</definedName>
    <definedName name="OSRRefD21_6x_9" localSheetId="89">'444'!$M$56</definedName>
    <definedName name="OSRRefD21_6x_9" localSheetId="90">'450'!$M$56</definedName>
    <definedName name="OSRRefD21_6x_9" localSheetId="72">'491'!$M$58</definedName>
    <definedName name="OSRRefD21_6x_9" localSheetId="85">'492'!$M$58</definedName>
    <definedName name="OSRRefD21_6x_9" localSheetId="92">'501'!$M$51</definedName>
    <definedName name="OSRRefD21_6x_9" localSheetId="39">'Div 2'!$M$51</definedName>
    <definedName name="OSRRefD21_6x_9" localSheetId="47">'Div 3'!$M$90:$M$91</definedName>
    <definedName name="OSRRefD21_6x_9" localSheetId="70">'Div 4'!$M$61</definedName>
    <definedName name="OSRRefD21_6x_9" localSheetId="91">'Div 5'!$M$51</definedName>
    <definedName name="OSRRefD21_6x_9" localSheetId="61">'Div 6'!$M$64</definedName>
    <definedName name="OSRRefD21_6x_9" localSheetId="2">Summary!$M$98:$M$99</definedName>
    <definedName name="OSRRefD21_7_0x" localSheetId="41">'201'!$D$50:$M$50</definedName>
    <definedName name="OSRRefD21_7_0x" localSheetId="42">'202'!$D$50:$M$50</definedName>
    <definedName name="OSRRefD21_7_0x" localSheetId="43">'203'!$D$51:$M$51</definedName>
    <definedName name="OSRRefD21_7_0x" localSheetId="44">'204'!$D$55:$M$55</definedName>
    <definedName name="OSRRefD21_7_0x" localSheetId="45">'205'!$D$52:$M$52</definedName>
    <definedName name="OSRRefD21_7_0x" localSheetId="48">'300'!$D$87:$M$87</definedName>
    <definedName name="OSRRefD21_7_0x" localSheetId="49">'300 &amp; 317'!$D$93:$M$93</definedName>
    <definedName name="OSRRefD21_7_0x" localSheetId="50">'301'!$D$54:$M$54</definedName>
    <definedName name="OSRRefD21_7_0x" localSheetId="55">'307'!$D$64:$M$64</definedName>
    <definedName name="OSRRefD21_7_0x" localSheetId="51">'308'!$D$67:$M$67</definedName>
    <definedName name="OSRRefD21_7_0x" localSheetId="64">'309'!$D$41:$M$41</definedName>
    <definedName name="OSRRefD21_7_0x" localSheetId="63">'310'!$D$61:$M$61</definedName>
    <definedName name="OSRRefD21_7_0x" localSheetId="71">'310 &amp; 491'!$D$61:$M$61</definedName>
    <definedName name="OSRRefD21_7_0x" localSheetId="52">'311'!$D$67:$M$67</definedName>
    <definedName name="OSRRefD21_7_0x" localSheetId="57">'315'!$D$74:$M$74</definedName>
    <definedName name="OSRRefD21_7_0x" localSheetId="60">'316'!$D$58:$M$58</definedName>
    <definedName name="OSRRefD21_7_0x" localSheetId="62">'317'!$D$66:$M$66</definedName>
    <definedName name="OSRRefD21_7_0x" localSheetId="66">'321'!$D$55:$M$55</definedName>
    <definedName name="OSRRefD21_7_0x" localSheetId="68">'325'!$D$56:$M$56</definedName>
    <definedName name="OSRRefD21_7_0x" localSheetId="58">'326'!$D$58:$M$58</definedName>
    <definedName name="OSRRefD21_7_0x" localSheetId="56">'331'!$D$74:$M$74</definedName>
    <definedName name="OSRRefD21_7_0x" localSheetId="59">'332'!$D$58:$M$58</definedName>
    <definedName name="OSRRefD21_7_0x" localSheetId="54">'333'!$D$76:$M$76</definedName>
    <definedName name="OSRRefD21_7_0x" localSheetId="73">'405'!$D$58:$M$58</definedName>
    <definedName name="OSRRefD21_7_0x" localSheetId="75">'411'!$D$51:$M$51</definedName>
    <definedName name="OSRRefD21_7_0x" localSheetId="79">'415'!$D$59:$M$59</definedName>
    <definedName name="OSRRefD21_7_0x" localSheetId="80">'418'!$D$55:$M$55</definedName>
    <definedName name="OSRRefD21_7_0x" localSheetId="86">'430'!$D$52:$M$52</definedName>
    <definedName name="OSRRefD21_7_0x" localSheetId="87">'433'!$D$58:$M$58</definedName>
    <definedName name="OSRRefD21_7_0x" localSheetId="89">'444'!$D$58:$M$58</definedName>
    <definedName name="OSRRefD21_7_0x" localSheetId="90">'450'!$D$58:$M$58</definedName>
    <definedName name="OSRRefD21_7_0x" localSheetId="72">'491'!$D$60:$M$60</definedName>
    <definedName name="OSRRefD21_7_0x" localSheetId="85">'492'!$D$60:$M$60</definedName>
    <definedName name="OSRRefD21_7_0x" localSheetId="92">'501'!$D$53:$M$53</definedName>
    <definedName name="OSRRefD21_7_0x" localSheetId="39">'Div 2'!$D$53:$M$53</definedName>
    <definedName name="OSRRefD21_7_0x" localSheetId="47">'Div 3'!$D$93:$M$93</definedName>
    <definedName name="OSRRefD21_7_0x" localSheetId="70">'Div 4'!$D$63:$M$63</definedName>
    <definedName name="OSRRefD21_7_0x" localSheetId="91">'Div 5'!$D$53:$M$53</definedName>
    <definedName name="OSRRefD21_7_0x" localSheetId="61">'Div 6'!$D$66:$M$66</definedName>
    <definedName name="OSRRefD21_7_0x" localSheetId="2">Summary!$D$101:$M$101</definedName>
    <definedName name="OSRRefD21_7_1x" localSheetId="42">'202'!$D$51:$M$51</definedName>
    <definedName name="OSRRefD21_7_1x" localSheetId="60">'316'!$D$59:$M$59</definedName>
    <definedName name="OSRRefD21_7_1x" localSheetId="66">'321'!$D$56:$M$56</definedName>
    <definedName name="OSRRefD21_7_1x" localSheetId="59">'332'!$D$59:$M$59</definedName>
    <definedName name="OSRRefD21_7_2x" localSheetId="42">'202'!$D$52:$M$52</definedName>
    <definedName name="OSRRefD21_7x_0" localSheetId="41">'201'!$D$50</definedName>
    <definedName name="OSRRefD21_7x_0" localSheetId="42">'202'!$D$50:$D$52</definedName>
    <definedName name="OSRRefD21_7x_0" localSheetId="43">'203'!$D$51</definedName>
    <definedName name="OSRRefD21_7x_0" localSheetId="44">'204'!$D$55</definedName>
    <definedName name="OSRRefD21_7x_0" localSheetId="45">'205'!$D$52</definedName>
    <definedName name="OSRRefD21_7x_0" localSheetId="48">'300'!$D$87</definedName>
    <definedName name="OSRRefD21_7x_0" localSheetId="49">'300 &amp; 317'!$D$93</definedName>
    <definedName name="OSRRefD21_7x_0" localSheetId="50">'301'!$D$54</definedName>
    <definedName name="OSRRefD21_7x_0" localSheetId="55">'307'!$D$64</definedName>
    <definedName name="OSRRefD21_7x_0" localSheetId="51">'308'!$D$67</definedName>
    <definedName name="OSRRefD21_7x_0" localSheetId="64">'309'!$D$41</definedName>
    <definedName name="OSRRefD21_7x_0" localSheetId="63">'310'!$D$61</definedName>
    <definedName name="OSRRefD21_7x_0" localSheetId="71">'310 &amp; 491'!$D$61</definedName>
    <definedName name="OSRRefD21_7x_0" localSheetId="52">'311'!$D$67</definedName>
    <definedName name="OSRRefD21_7x_0" localSheetId="57">'315'!$D$74</definedName>
    <definedName name="OSRRefD21_7x_0" localSheetId="60">'316'!$D$58:$D$59</definedName>
    <definedName name="OSRRefD21_7x_0" localSheetId="62">'317'!$D$66</definedName>
    <definedName name="OSRRefD21_7x_0" localSheetId="66">'321'!$D$55:$D$56</definedName>
    <definedName name="OSRRefD21_7x_0" localSheetId="68">'325'!$D$56</definedName>
    <definedName name="OSRRefD21_7x_0" localSheetId="58">'326'!$D$58</definedName>
    <definedName name="OSRRefD21_7x_0" localSheetId="56">'331'!$D$74</definedName>
    <definedName name="OSRRefD21_7x_0" localSheetId="59">'332'!$D$58:$D$59</definedName>
    <definedName name="OSRRefD21_7x_0" localSheetId="54">'333'!$D$76</definedName>
    <definedName name="OSRRefD21_7x_0" localSheetId="73">'405'!$D$58</definedName>
    <definedName name="OSRRefD21_7x_0" localSheetId="75">'411'!$D$51</definedName>
    <definedName name="OSRRefD21_7x_0" localSheetId="79">'415'!$D$59</definedName>
    <definedName name="OSRRefD21_7x_0" localSheetId="80">'418'!$D$55</definedName>
    <definedName name="OSRRefD21_7x_0" localSheetId="86">'430'!$D$52</definedName>
    <definedName name="OSRRefD21_7x_0" localSheetId="87">'433'!$D$58</definedName>
    <definedName name="OSRRefD21_7x_0" localSheetId="89">'444'!$D$58</definedName>
    <definedName name="OSRRefD21_7x_0" localSheetId="90">'450'!$D$58</definedName>
    <definedName name="OSRRefD21_7x_0" localSheetId="72">'491'!$D$60</definedName>
    <definedName name="OSRRefD21_7x_0" localSheetId="85">'492'!$D$60</definedName>
    <definedName name="OSRRefD21_7x_0" localSheetId="92">'501'!$D$53</definedName>
    <definedName name="OSRRefD21_7x_0" localSheetId="39">'Div 2'!$D$53</definedName>
    <definedName name="OSRRefD21_7x_0" localSheetId="47">'Div 3'!$D$93</definedName>
    <definedName name="OSRRefD21_7x_0" localSheetId="70">'Div 4'!$D$63</definedName>
    <definedName name="OSRRefD21_7x_0" localSheetId="91">'Div 5'!$D$53</definedName>
    <definedName name="OSRRefD21_7x_0" localSheetId="61">'Div 6'!$D$66</definedName>
    <definedName name="OSRRefD21_7x_0" localSheetId="2">Summary!$D$101</definedName>
    <definedName name="OSRRefD21_7x_1" localSheetId="41">'201'!$E$50</definedName>
    <definedName name="OSRRefD21_7x_1" localSheetId="42">'202'!$E$50:$E$52</definedName>
    <definedName name="OSRRefD21_7x_1" localSheetId="43">'203'!$E$51</definedName>
    <definedName name="OSRRefD21_7x_1" localSheetId="44">'204'!$E$55</definedName>
    <definedName name="OSRRefD21_7x_1" localSheetId="45">'205'!$E$52</definedName>
    <definedName name="OSRRefD21_7x_1" localSheetId="48">'300'!$E$87</definedName>
    <definedName name="OSRRefD21_7x_1" localSheetId="49">'300 &amp; 317'!$E$93</definedName>
    <definedName name="OSRRefD21_7x_1" localSheetId="50">'301'!$E$54</definedName>
    <definedName name="OSRRefD21_7x_1" localSheetId="55">'307'!$E$64</definedName>
    <definedName name="OSRRefD21_7x_1" localSheetId="51">'308'!$E$67</definedName>
    <definedName name="OSRRefD21_7x_1" localSheetId="64">'309'!$E$41</definedName>
    <definedName name="OSRRefD21_7x_1" localSheetId="63">'310'!$E$61</definedName>
    <definedName name="OSRRefD21_7x_1" localSheetId="71">'310 &amp; 491'!$E$61</definedName>
    <definedName name="OSRRefD21_7x_1" localSheetId="52">'311'!$E$67</definedName>
    <definedName name="OSRRefD21_7x_1" localSheetId="57">'315'!$E$74</definedName>
    <definedName name="OSRRefD21_7x_1" localSheetId="60">'316'!$E$58:$E$59</definedName>
    <definedName name="OSRRefD21_7x_1" localSheetId="62">'317'!$E$66</definedName>
    <definedName name="OSRRefD21_7x_1" localSheetId="66">'321'!$E$55:$E$56</definedName>
    <definedName name="OSRRefD21_7x_1" localSheetId="68">'325'!$E$56</definedName>
    <definedName name="OSRRefD21_7x_1" localSheetId="58">'326'!$E$58</definedName>
    <definedName name="OSRRefD21_7x_1" localSheetId="56">'331'!$E$74</definedName>
    <definedName name="OSRRefD21_7x_1" localSheetId="59">'332'!$E$58:$E$59</definedName>
    <definedName name="OSRRefD21_7x_1" localSheetId="54">'333'!$E$76</definedName>
    <definedName name="OSRRefD21_7x_1" localSheetId="73">'405'!$E$58</definedName>
    <definedName name="OSRRefD21_7x_1" localSheetId="75">'411'!$E$51</definedName>
    <definedName name="OSRRefD21_7x_1" localSheetId="79">'415'!$E$59</definedName>
    <definedName name="OSRRefD21_7x_1" localSheetId="80">'418'!$E$55</definedName>
    <definedName name="OSRRefD21_7x_1" localSheetId="86">'430'!$E$52</definedName>
    <definedName name="OSRRefD21_7x_1" localSheetId="87">'433'!$E$58</definedName>
    <definedName name="OSRRefD21_7x_1" localSheetId="89">'444'!$E$58</definedName>
    <definedName name="OSRRefD21_7x_1" localSheetId="90">'450'!$E$58</definedName>
    <definedName name="OSRRefD21_7x_1" localSheetId="72">'491'!$E$60</definedName>
    <definedName name="OSRRefD21_7x_1" localSheetId="85">'492'!$E$60</definedName>
    <definedName name="OSRRefD21_7x_1" localSheetId="92">'501'!$E$53</definedName>
    <definedName name="OSRRefD21_7x_1" localSheetId="39">'Div 2'!$E$53</definedName>
    <definedName name="OSRRefD21_7x_1" localSheetId="47">'Div 3'!$E$93</definedName>
    <definedName name="OSRRefD21_7x_1" localSheetId="70">'Div 4'!$E$63</definedName>
    <definedName name="OSRRefD21_7x_1" localSheetId="91">'Div 5'!$E$53</definedName>
    <definedName name="OSRRefD21_7x_1" localSheetId="61">'Div 6'!$E$66</definedName>
    <definedName name="OSRRefD21_7x_1" localSheetId="2">Summary!$E$101</definedName>
    <definedName name="OSRRefD21_7x_2" localSheetId="41">'201'!$F$50</definedName>
    <definedName name="OSRRefD21_7x_2" localSheetId="42">'202'!$F$50:$F$52</definedName>
    <definedName name="OSRRefD21_7x_2" localSheetId="43">'203'!$F$51</definedName>
    <definedName name="OSRRefD21_7x_2" localSheetId="44">'204'!$F$55</definedName>
    <definedName name="OSRRefD21_7x_2" localSheetId="45">'205'!$F$52</definedName>
    <definedName name="OSRRefD21_7x_2" localSheetId="48">'300'!$F$87</definedName>
    <definedName name="OSRRefD21_7x_2" localSheetId="49">'300 &amp; 317'!$F$93</definedName>
    <definedName name="OSRRefD21_7x_2" localSheetId="50">'301'!$F$54</definedName>
    <definedName name="OSRRefD21_7x_2" localSheetId="55">'307'!$F$64</definedName>
    <definedName name="OSRRefD21_7x_2" localSheetId="51">'308'!$F$67</definedName>
    <definedName name="OSRRefD21_7x_2" localSheetId="64">'309'!$F$41</definedName>
    <definedName name="OSRRefD21_7x_2" localSheetId="63">'310'!$F$61</definedName>
    <definedName name="OSRRefD21_7x_2" localSheetId="71">'310 &amp; 491'!$F$61</definedName>
    <definedName name="OSRRefD21_7x_2" localSheetId="52">'311'!$F$67</definedName>
    <definedName name="OSRRefD21_7x_2" localSheetId="57">'315'!$F$74</definedName>
    <definedName name="OSRRefD21_7x_2" localSheetId="60">'316'!$F$58:$F$59</definedName>
    <definedName name="OSRRefD21_7x_2" localSheetId="62">'317'!$F$66</definedName>
    <definedName name="OSRRefD21_7x_2" localSheetId="66">'321'!$F$55:$F$56</definedName>
    <definedName name="OSRRefD21_7x_2" localSheetId="68">'325'!$F$56</definedName>
    <definedName name="OSRRefD21_7x_2" localSheetId="58">'326'!$F$58</definedName>
    <definedName name="OSRRefD21_7x_2" localSheetId="56">'331'!$F$74</definedName>
    <definedName name="OSRRefD21_7x_2" localSheetId="59">'332'!$F$58:$F$59</definedName>
    <definedName name="OSRRefD21_7x_2" localSheetId="54">'333'!$F$76</definedName>
    <definedName name="OSRRefD21_7x_2" localSheetId="73">'405'!$F$58</definedName>
    <definedName name="OSRRefD21_7x_2" localSheetId="75">'411'!$F$51</definedName>
    <definedName name="OSRRefD21_7x_2" localSheetId="79">'415'!$F$59</definedName>
    <definedName name="OSRRefD21_7x_2" localSheetId="80">'418'!$F$55</definedName>
    <definedName name="OSRRefD21_7x_2" localSheetId="86">'430'!$F$52</definedName>
    <definedName name="OSRRefD21_7x_2" localSheetId="87">'433'!$F$58</definedName>
    <definedName name="OSRRefD21_7x_2" localSheetId="89">'444'!$F$58</definedName>
    <definedName name="OSRRefD21_7x_2" localSheetId="90">'450'!$F$58</definedName>
    <definedName name="OSRRefD21_7x_2" localSheetId="72">'491'!$F$60</definedName>
    <definedName name="OSRRefD21_7x_2" localSheetId="85">'492'!$F$60</definedName>
    <definedName name="OSRRefD21_7x_2" localSheetId="92">'501'!$F$53</definedName>
    <definedName name="OSRRefD21_7x_2" localSheetId="39">'Div 2'!$F$53</definedName>
    <definedName name="OSRRefD21_7x_2" localSheetId="47">'Div 3'!$F$93</definedName>
    <definedName name="OSRRefD21_7x_2" localSheetId="70">'Div 4'!$F$63</definedName>
    <definedName name="OSRRefD21_7x_2" localSheetId="91">'Div 5'!$F$53</definedName>
    <definedName name="OSRRefD21_7x_2" localSheetId="61">'Div 6'!$F$66</definedName>
    <definedName name="OSRRefD21_7x_2" localSheetId="2">Summary!$F$101</definedName>
    <definedName name="OSRRefD21_7x_3" localSheetId="41">'201'!$G$50</definedName>
    <definedName name="OSRRefD21_7x_3" localSheetId="42">'202'!$G$50:$G$52</definedName>
    <definedName name="OSRRefD21_7x_3" localSheetId="43">'203'!$G$51</definedName>
    <definedName name="OSRRefD21_7x_3" localSheetId="44">'204'!$G$55</definedName>
    <definedName name="OSRRefD21_7x_3" localSheetId="45">'205'!$G$52</definedName>
    <definedName name="OSRRefD21_7x_3" localSheetId="48">'300'!$G$87</definedName>
    <definedName name="OSRRefD21_7x_3" localSheetId="49">'300 &amp; 317'!$G$93</definedName>
    <definedName name="OSRRefD21_7x_3" localSheetId="50">'301'!$G$54</definedName>
    <definedName name="OSRRefD21_7x_3" localSheetId="55">'307'!$G$64</definedName>
    <definedName name="OSRRefD21_7x_3" localSheetId="51">'308'!$G$67</definedName>
    <definedName name="OSRRefD21_7x_3" localSheetId="64">'309'!$G$41</definedName>
    <definedName name="OSRRefD21_7x_3" localSheetId="63">'310'!$G$61</definedName>
    <definedName name="OSRRefD21_7x_3" localSheetId="71">'310 &amp; 491'!$G$61</definedName>
    <definedName name="OSRRefD21_7x_3" localSheetId="52">'311'!$G$67</definedName>
    <definedName name="OSRRefD21_7x_3" localSheetId="57">'315'!$G$74</definedName>
    <definedName name="OSRRefD21_7x_3" localSheetId="60">'316'!$G$58:$G$59</definedName>
    <definedName name="OSRRefD21_7x_3" localSheetId="62">'317'!$G$66</definedName>
    <definedName name="OSRRefD21_7x_3" localSheetId="66">'321'!$G$55:$G$56</definedName>
    <definedName name="OSRRefD21_7x_3" localSheetId="68">'325'!$G$56</definedName>
    <definedName name="OSRRefD21_7x_3" localSheetId="58">'326'!$G$58</definedName>
    <definedName name="OSRRefD21_7x_3" localSheetId="56">'331'!$G$74</definedName>
    <definedName name="OSRRefD21_7x_3" localSheetId="59">'332'!$G$58:$G$59</definedName>
    <definedName name="OSRRefD21_7x_3" localSheetId="54">'333'!$G$76</definedName>
    <definedName name="OSRRefD21_7x_3" localSheetId="73">'405'!$G$58</definedName>
    <definedName name="OSRRefD21_7x_3" localSheetId="75">'411'!$G$51</definedName>
    <definedName name="OSRRefD21_7x_3" localSheetId="79">'415'!$G$59</definedName>
    <definedName name="OSRRefD21_7x_3" localSheetId="80">'418'!$G$55</definedName>
    <definedName name="OSRRefD21_7x_3" localSheetId="86">'430'!$G$52</definedName>
    <definedName name="OSRRefD21_7x_3" localSheetId="87">'433'!$G$58</definedName>
    <definedName name="OSRRefD21_7x_3" localSheetId="89">'444'!$G$58</definedName>
    <definedName name="OSRRefD21_7x_3" localSheetId="90">'450'!$G$58</definedName>
    <definedName name="OSRRefD21_7x_3" localSheetId="72">'491'!$G$60</definedName>
    <definedName name="OSRRefD21_7x_3" localSheetId="85">'492'!$G$60</definedName>
    <definedName name="OSRRefD21_7x_3" localSheetId="92">'501'!$G$53</definedName>
    <definedName name="OSRRefD21_7x_3" localSheetId="39">'Div 2'!$G$53</definedName>
    <definedName name="OSRRefD21_7x_3" localSheetId="47">'Div 3'!$G$93</definedName>
    <definedName name="OSRRefD21_7x_3" localSheetId="70">'Div 4'!$G$63</definedName>
    <definedName name="OSRRefD21_7x_3" localSheetId="91">'Div 5'!$G$53</definedName>
    <definedName name="OSRRefD21_7x_3" localSheetId="61">'Div 6'!$G$66</definedName>
    <definedName name="OSRRefD21_7x_3" localSheetId="2">Summary!$G$101</definedName>
    <definedName name="OSRRefD21_7x_4" localSheetId="41">'201'!$H$50</definedName>
    <definedName name="OSRRefD21_7x_4" localSheetId="42">'202'!$H$50:$H$52</definedName>
    <definedName name="OSRRefD21_7x_4" localSheetId="43">'203'!$H$51</definedName>
    <definedName name="OSRRefD21_7x_4" localSheetId="44">'204'!$H$55</definedName>
    <definedName name="OSRRefD21_7x_4" localSheetId="45">'205'!$H$52</definedName>
    <definedName name="OSRRefD21_7x_4" localSheetId="48">'300'!$H$87</definedName>
    <definedName name="OSRRefD21_7x_4" localSheetId="49">'300 &amp; 317'!$H$93</definedName>
    <definedName name="OSRRefD21_7x_4" localSheetId="50">'301'!$H$54</definedName>
    <definedName name="OSRRefD21_7x_4" localSheetId="55">'307'!$H$64</definedName>
    <definedName name="OSRRefD21_7x_4" localSheetId="51">'308'!$H$67</definedName>
    <definedName name="OSRRefD21_7x_4" localSheetId="64">'309'!$H$41</definedName>
    <definedName name="OSRRefD21_7x_4" localSheetId="63">'310'!$H$61</definedName>
    <definedName name="OSRRefD21_7x_4" localSheetId="71">'310 &amp; 491'!$H$61</definedName>
    <definedName name="OSRRefD21_7x_4" localSheetId="52">'311'!$H$67</definedName>
    <definedName name="OSRRefD21_7x_4" localSheetId="57">'315'!$H$74</definedName>
    <definedName name="OSRRefD21_7x_4" localSheetId="60">'316'!$H$58:$H$59</definedName>
    <definedName name="OSRRefD21_7x_4" localSheetId="62">'317'!$H$66</definedName>
    <definedName name="OSRRefD21_7x_4" localSheetId="66">'321'!$H$55:$H$56</definedName>
    <definedName name="OSRRefD21_7x_4" localSheetId="68">'325'!$H$56</definedName>
    <definedName name="OSRRefD21_7x_4" localSheetId="58">'326'!$H$58</definedName>
    <definedName name="OSRRefD21_7x_4" localSheetId="56">'331'!$H$74</definedName>
    <definedName name="OSRRefD21_7x_4" localSheetId="59">'332'!$H$58:$H$59</definedName>
    <definedName name="OSRRefD21_7x_4" localSheetId="54">'333'!$H$76</definedName>
    <definedName name="OSRRefD21_7x_4" localSheetId="73">'405'!$H$58</definedName>
    <definedName name="OSRRefD21_7x_4" localSheetId="75">'411'!$H$51</definedName>
    <definedName name="OSRRefD21_7x_4" localSheetId="79">'415'!$H$59</definedName>
    <definedName name="OSRRefD21_7x_4" localSheetId="80">'418'!$H$55</definedName>
    <definedName name="OSRRefD21_7x_4" localSheetId="86">'430'!$H$52</definedName>
    <definedName name="OSRRefD21_7x_4" localSheetId="87">'433'!$H$58</definedName>
    <definedName name="OSRRefD21_7x_4" localSheetId="89">'444'!$H$58</definedName>
    <definedName name="OSRRefD21_7x_4" localSheetId="90">'450'!$H$58</definedName>
    <definedName name="OSRRefD21_7x_4" localSheetId="72">'491'!$H$60</definedName>
    <definedName name="OSRRefD21_7x_4" localSheetId="85">'492'!$H$60</definedName>
    <definedName name="OSRRefD21_7x_4" localSheetId="92">'501'!$H$53</definedName>
    <definedName name="OSRRefD21_7x_4" localSheetId="39">'Div 2'!$H$53</definedName>
    <definedName name="OSRRefD21_7x_4" localSheetId="47">'Div 3'!$H$93</definedName>
    <definedName name="OSRRefD21_7x_4" localSheetId="70">'Div 4'!$H$63</definedName>
    <definedName name="OSRRefD21_7x_4" localSheetId="91">'Div 5'!$H$53</definedName>
    <definedName name="OSRRefD21_7x_4" localSheetId="61">'Div 6'!$H$66</definedName>
    <definedName name="OSRRefD21_7x_4" localSheetId="2">Summary!$H$101</definedName>
    <definedName name="OSRRefD21_7x_5" localSheetId="41">'201'!$I$50</definedName>
    <definedName name="OSRRefD21_7x_5" localSheetId="42">'202'!$I$50:$I$52</definedName>
    <definedName name="OSRRefD21_7x_5" localSheetId="43">'203'!$I$51</definedName>
    <definedName name="OSRRefD21_7x_5" localSheetId="44">'204'!$I$55</definedName>
    <definedName name="OSRRefD21_7x_5" localSheetId="45">'205'!$I$52</definedName>
    <definedName name="OSRRefD21_7x_5" localSheetId="48">'300'!$I$87</definedName>
    <definedName name="OSRRefD21_7x_5" localSheetId="49">'300 &amp; 317'!$I$93</definedName>
    <definedName name="OSRRefD21_7x_5" localSheetId="50">'301'!$I$54</definedName>
    <definedName name="OSRRefD21_7x_5" localSheetId="55">'307'!$I$64</definedName>
    <definedName name="OSRRefD21_7x_5" localSheetId="51">'308'!$I$67</definedName>
    <definedName name="OSRRefD21_7x_5" localSheetId="64">'309'!$I$41</definedName>
    <definedName name="OSRRefD21_7x_5" localSheetId="63">'310'!$I$61</definedName>
    <definedName name="OSRRefD21_7x_5" localSheetId="71">'310 &amp; 491'!$I$61</definedName>
    <definedName name="OSRRefD21_7x_5" localSheetId="52">'311'!$I$67</definedName>
    <definedName name="OSRRefD21_7x_5" localSheetId="57">'315'!$I$74</definedName>
    <definedName name="OSRRefD21_7x_5" localSheetId="60">'316'!$I$58:$I$59</definedName>
    <definedName name="OSRRefD21_7x_5" localSheetId="62">'317'!$I$66</definedName>
    <definedName name="OSRRefD21_7x_5" localSheetId="66">'321'!$I$55:$I$56</definedName>
    <definedName name="OSRRefD21_7x_5" localSheetId="68">'325'!$I$56</definedName>
    <definedName name="OSRRefD21_7x_5" localSheetId="58">'326'!$I$58</definedName>
    <definedName name="OSRRefD21_7x_5" localSheetId="56">'331'!$I$74</definedName>
    <definedName name="OSRRefD21_7x_5" localSheetId="59">'332'!$I$58:$I$59</definedName>
    <definedName name="OSRRefD21_7x_5" localSheetId="54">'333'!$I$76</definedName>
    <definedName name="OSRRefD21_7x_5" localSheetId="73">'405'!$I$58</definedName>
    <definedName name="OSRRefD21_7x_5" localSheetId="75">'411'!$I$51</definedName>
    <definedName name="OSRRefD21_7x_5" localSheetId="79">'415'!$I$59</definedName>
    <definedName name="OSRRefD21_7x_5" localSheetId="80">'418'!$I$55</definedName>
    <definedName name="OSRRefD21_7x_5" localSheetId="86">'430'!$I$52</definedName>
    <definedName name="OSRRefD21_7x_5" localSheetId="87">'433'!$I$58</definedName>
    <definedName name="OSRRefD21_7x_5" localSheetId="89">'444'!$I$58</definedName>
    <definedName name="OSRRefD21_7x_5" localSheetId="90">'450'!$I$58</definedName>
    <definedName name="OSRRefD21_7x_5" localSheetId="72">'491'!$I$60</definedName>
    <definedName name="OSRRefD21_7x_5" localSheetId="85">'492'!$I$60</definedName>
    <definedName name="OSRRefD21_7x_5" localSheetId="92">'501'!$I$53</definedName>
    <definedName name="OSRRefD21_7x_5" localSheetId="39">'Div 2'!$I$53</definedName>
    <definedName name="OSRRefD21_7x_5" localSheetId="47">'Div 3'!$I$93</definedName>
    <definedName name="OSRRefD21_7x_5" localSheetId="70">'Div 4'!$I$63</definedName>
    <definedName name="OSRRefD21_7x_5" localSheetId="91">'Div 5'!$I$53</definedName>
    <definedName name="OSRRefD21_7x_5" localSheetId="61">'Div 6'!$I$66</definedName>
    <definedName name="OSRRefD21_7x_5" localSheetId="2">Summary!$I$101</definedName>
    <definedName name="OSRRefD21_7x_6" localSheetId="41">'201'!$J$50</definedName>
    <definedName name="OSRRefD21_7x_6" localSheetId="42">'202'!$J$50:$J$52</definedName>
    <definedName name="OSRRefD21_7x_6" localSheetId="43">'203'!$J$51</definedName>
    <definedName name="OSRRefD21_7x_6" localSheetId="44">'204'!$J$55</definedName>
    <definedName name="OSRRefD21_7x_6" localSheetId="45">'205'!$J$52</definedName>
    <definedName name="OSRRefD21_7x_6" localSheetId="48">'300'!$J$87</definedName>
    <definedName name="OSRRefD21_7x_6" localSheetId="49">'300 &amp; 317'!$J$93</definedName>
    <definedName name="OSRRefD21_7x_6" localSheetId="50">'301'!$J$54</definedName>
    <definedName name="OSRRefD21_7x_6" localSheetId="55">'307'!$J$64</definedName>
    <definedName name="OSRRefD21_7x_6" localSheetId="51">'308'!$J$67</definedName>
    <definedName name="OSRRefD21_7x_6" localSheetId="64">'309'!$J$41</definedName>
    <definedName name="OSRRefD21_7x_6" localSheetId="63">'310'!$J$61</definedName>
    <definedName name="OSRRefD21_7x_6" localSheetId="71">'310 &amp; 491'!$J$61</definedName>
    <definedName name="OSRRefD21_7x_6" localSheetId="52">'311'!$J$67</definedName>
    <definedName name="OSRRefD21_7x_6" localSheetId="57">'315'!$J$74</definedName>
    <definedName name="OSRRefD21_7x_6" localSheetId="60">'316'!$J$58:$J$59</definedName>
    <definedName name="OSRRefD21_7x_6" localSheetId="62">'317'!$J$66</definedName>
    <definedName name="OSRRefD21_7x_6" localSheetId="66">'321'!$J$55:$J$56</definedName>
    <definedName name="OSRRefD21_7x_6" localSheetId="68">'325'!$J$56</definedName>
    <definedName name="OSRRefD21_7x_6" localSheetId="58">'326'!$J$58</definedName>
    <definedName name="OSRRefD21_7x_6" localSheetId="56">'331'!$J$74</definedName>
    <definedName name="OSRRefD21_7x_6" localSheetId="59">'332'!$J$58:$J$59</definedName>
    <definedName name="OSRRefD21_7x_6" localSheetId="54">'333'!$J$76</definedName>
    <definedName name="OSRRefD21_7x_6" localSheetId="73">'405'!$J$58</definedName>
    <definedName name="OSRRefD21_7x_6" localSheetId="75">'411'!$J$51</definedName>
    <definedName name="OSRRefD21_7x_6" localSheetId="79">'415'!$J$59</definedName>
    <definedName name="OSRRefD21_7x_6" localSheetId="80">'418'!$J$55</definedName>
    <definedName name="OSRRefD21_7x_6" localSheetId="86">'430'!$J$52</definedName>
    <definedName name="OSRRefD21_7x_6" localSheetId="87">'433'!$J$58</definedName>
    <definedName name="OSRRefD21_7x_6" localSheetId="89">'444'!$J$58</definedName>
    <definedName name="OSRRefD21_7x_6" localSheetId="90">'450'!$J$58</definedName>
    <definedName name="OSRRefD21_7x_6" localSheetId="72">'491'!$J$60</definedName>
    <definedName name="OSRRefD21_7x_6" localSheetId="85">'492'!$J$60</definedName>
    <definedName name="OSRRefD21_7x_6" localSheetId="92">'501'!$J$53</definedName>
    <definedName name="OSRRefD21_7x_6" localSheetId="39">'Div 2'!$J$53</definedName>
    <definedName name="OSRRefD21_7x_6" localSheetId="47">'Div 3'!$J$93</definedName>
    <definedName name="OSRRefD21_7x_6" localSheetId="70">'Div 4'!$J$63</definedName>
    <definedName name="OSRRefD21_7x_6" localSheetId="91">'Div 5'!$J$53</definedName>
    <definedName name="OSRRefD21_7x_6" localSheetId="61">'Div 6'!$J$66</definedName>
    <definedName name="OSRRefD21_7x_6" localSheetId="2">Summary!$J$101</definedName>
    <definedName name="OSRRefD21_7x_7" localSheetId="41">'201'!$K$50</definedName>
    <definedName name="OSRRefD21_7x_7" localSheetId="42">'202'!$K$50:$K$52</definedName>
    <definedName name="OSRRefD21_7x_7" localSheetId="43">'203'!$K$51</definedName>
    <definedName name="OSRRefD21_7x_7" localSheetId="44">'204'!$K$55</definedName>
    <definedName name="OSRRefD21_7x_7" localSheetId="45">'205'!$K$52</definedName>
    <definedName name="OSRRefD21_7x_7" localSheetId="48">'300'!$K$87</definedName>
    <definedName name="OSRRefD21_7x_7" localSheetId="49">'300 &amp; 317'!$K$93</definedName>
    <definedName name="OSRRefD21_7x_7" localSheetId="50">'301'!$K$54</definedName>
    <definedName name="OSRRefD21_7x_7" localSheetId="55">'307'!$K$64</definedName>
    <definedName name="OSRRefD21_7x_7" localSheetId="51">'308'!$K$67</definedName>
    <definedName name="OSRRefD21_7x_7" localSheetId="64">'309'!$K$41</definedName>
    <definedName name="OSRRefD21_7x_7" localSheetId="63">'310'!$K$61</definedName>
    <definedName name="OSRRefD21_7x_7" localSheetId="71">'310 &amp; 491'!$K$61</definedName>
    <definedName name="OSRRefD21_7x_7" localSheetId="52">'311'!$K$67</definedName>
    <definedName name="OSRRefD21_7x_7" localSheetId="57">'315'!$K$74</definedName>
    <definedName name="OSRRefD21_7x_7" localSheetId="60">'316'!$K$58:$K$59</definedName>
    <definedName name="OSRRefD21_7x_7" localSheetId="62">'317'!$K$66</definedName>
    <definedName name="OSRRefD21_7x_7" localSheetId="66">'321'!$K$55:$K$56</definedName>
    <definedName name="OSRRefD21_7x_7" localSheetId="68">'325'!$K$56</definedName>
    <definedName name="OSRRefD21_7x_7" localSheetId="58">'326'!$K$58</definedName>
    <definedName name="OSRRefD21_7x_7" localSheetId="56">'331'!$K$74</definedName>
    <definedName name="OSRRefD21_7x_7" localSheetId="59">'332'!$K$58:$K$59</definedName>
    <definedName name="OSRRefD21_7x_7" localSheetId="54">'333'!$K$76</definedName>
    <definedName name="OSRRefD21_7x_7" localSheetId="73">'405'!$K$58</definedName>
    <definedName name="OSRRefD21_7x_7" localSheetId="75">'411'!$K$51</definedName>
    <definedName name="OSRRefD21_7x_7" localSheetId="79">'415'!$K$59</definedName>
    <definedName name="OSRRefD21_7x_7" localSheetId="80">'418'!$K$55</definedName>
    <definedName name="OSRRefD21_7x_7" localSheetId="86">'430'!$K$52</definedName>
    <definedName name="OSRRefD21_7x_7" localSheetId="87">'433'!$K$58</definedName>
    <definedName name="OSRRefD21_7x_7" localSheetId="89">'444'!$K$58</definedName>
    <definedName name="OSRRefD21_7x_7" localSheetId="90">'450'!$K$58</definedName>
    <definedName name="OSRRefD21_7x_7" localSheetId="72">'491'!$K$60</definedName>
    <definedName name="OSRRefD21_7x_7" localSheetId="85">'492'!$K$60</definedName>
    <definedName name="OSRRefD21_7x_7" localSheetId="92">'501'!$K$53</definedName>
    <definedName name="OSRRefD21_7x_7" localSheetId="39">'Div 2'!$K$53</definedName>
    <definedName name="OSRRefD21_7x_7" localSheetId="47">'Div 3'!$K$93</definedName>
    <definedName name="OSRRefD21_7x_7" localSheetId="70">'Div 4'!$K$63</definedName>
    <definedName name="OSRRefD21_7x_7" localSheetId="91">'Div 5'!$K$53</definedName>
    <definedName name="OSRRefD21_7x_7" localSheetId="61">'Div 6'!$K$66</definedName>
    <definedName name="OSRRefD21_7x_7" localSheetId="2">Summary!$K$101</definedName>
    <definedName name="OSRRefD21_7x_8" localSheetId="41">'201'!$L$50</definedName>
    <definedName name="OSRRefD21_7x_8" localSheetId="42">'202'!$L$50:$L$52</definedName>
    <definedName name="OSRRefD21_7x_8" localSheetId="43">'203'!$L$51</definedName>
    <definedName name="OSRRefD21_7x_8" localSheetId="44">'204'!$L$55</definedName>
    <definedName name="OSRRefD21_7x_8" localSheetId="45">'205'!$L$52</definedName>
    <definedName name="OSRRefD21_7x_8" localSheetId="48">'300'!$L$87</definedName>
    <definedName name="OSRRefD21_7x_8" localSheetId="49">'300 &amp; 317'!$L$93</definedName>
    <definedName name="OSRRefD21_7x_8" localSheetId="50">'301'!$L$54</definedName>
    <definedName name="OSRRefD21_7x_8" localSheetId="55">'307'!$L$64</definedName>
    <definedName name="OSRRefD21_7x_8" localSheetId="51">'308'!$L$67</definedName>
    <definedName name="OSRRefD21_7x_8" localSheetId="64">'309'!$L$41</definedName>
    <definedName name="OSRRefD21_7x_8" localSheetId="63">'310'!$L$61</definedName>
    <definedName name="OSRRefD21_7x_8" localSheetId="71">'310 &amp; 491'!$L$61</definedName>
    <definedName name="OSRRefD21_7x_8" localSheetId="52">'311'!$L$67</definedName>
    <definedName name="OSRRefD21_7x_8" localSheetId="57">'315'!$L$74</definedName>
    <definedName name="OSRRefD21_7x_8" localSheetId="60">'316'!$L$58:$L$59</definedName>
    <definedName name="OSRRefD21_7x_8" localSheetId="62">'317'!$L$66</definedName>
    <definedName name="OSRRefD21_7x_8" localSheetId="66">'321'!$L$55:$L$56</definedName>
    <definedName name="OSRRefD21_7x_8" localSheetId="68">'325'!$L$56</definedName>
    <definedName name="OSRRefD21_7x_8" localSheetId="58">'326'!$L$58</definedName>
    <definedName name="OSRRefD21_7x_8" localSheetId="56">'331'!$L$74</definedName>
    <definedName name="OSRRefD21_7x_8" localSheetId="59">'332'!$L$58:$L$59</definedName>
    <definedName name="OSRRefD21_7x_8" localSheetId="54">'333'!$L$76</definedName>
    <definedName name="OSRRefD21_7x_8" localSheetId="73">'405'!$L$58</definedName>
    <definedName name="OSRRefD21_7x_8" localSheetId="75">'411'!$L$51</definedName>
    <definedName name="OSRRefD21_7x_8" localSheetId="79">'415'!$L$59</definedName>
    <definedName name="OSRRefD21_7x_8" localSheetId="80">'418'!$L$55</definedName>
    <definedName name="OSRRefD21_7x_8" localSheetId="86">'430'!$L$52</definedName>
    <definedName name="OSRRefD21_7x_8" localSheetId="87">'433'!$L$58</definedName>
    <definedName name="OSRRefD21_7x_8" localSheetId="89">'444'!$L$58</definedName>
    <definedName name="OSRRefD21_7x_8" localSheetId="90">'450'!$L$58</definedName>
    <definedName name="OSRRefD21_7x_8" localSheetId="72">'491'!$L$60</definedName>
    <definedName name="OSRRefD21_7x_8" localSheetId="85">'492'!$L$60</definedName>
    <definedName name="OSRRefD21_7x_8" localSheetId="92">'501'!$L$53</definedName>
    <definedName name="OSRRefD21_7x_8" localSheetId="39">'Div 2'!$L$53</definedName>
    <definedName name="OSRRefD21_7x_8" localSheetId="47">'Div 3'!$L$93</definedName>
    <definedName name="OSRRefD21_7x_8" localSheetId="70">'Div 4'!$L$63</definedName>
    <definedName name="OSRRefD21_7x_8" localSheetId="91">'Div 5'!$L$53</definedName>
    <definedName name="OSRRefD21_7x_8" localSheetId="61">'Div 6'!$L$66</definedName>
    <definedName name="OSRRefD21_7x_8" localSheetId="2">Summary!$L$101</definedName>
    <definedName name="OSRRefD21_7x_9" localSheetId="41">'201'!$M$50</definedName>
    <definedName name="OSRRefD21_7x_9" localSheetId="42">'202'!$M$50:$M$52</definedName>
    <definedName name="OSRRefD21_7x_9" localSheetId="43">'203'!$M$51</definedName>
    <definedName name="OSRRefD21_7x_9" localSheetId="44">'204'!$M$55</definedName>
    <definedName name="OSRRefD21_7x_9" localSheetId="45">'205'!$M$52</definedName>
    <definedName name="OSRRefD21_7x_9" localSheetId="48">'300'!$M$87</definedName>
    <definedName name="OSRRefD21_7x_9" localSheetId="49">'300 &amp; 317'!$M$93</definedName>
    <definedName name="OSRRefD21_7x_9" localSheetId="50">'301'!$M$54</definedName>
    <definedName name="OSRRefD21_7x_9" localSheetId="55">'307'!$M$64</definedName>
    <definedName name="OSRRefD21_7x_9" localSheetId="51">'308'!$M$67</definedName>
    <definedName name="OSRRefD21_7x_9" localSheetId="64">'309'!$M$41</definedName>
    <definedName name="OSRRefD21_7x_9" localSheetId="63">'310'!$M$61</definedName>
    <definedName name="OSRRefD21_7x_9" localSheetId="71">'310 &amp; 491'!$M$61</definedName>
    <definedName name="OSRRefD21_7x_9" localSheetId="52">'311'!$M$67</definedName>
    <definedName name="OSRRefD21_7x_9" localSheetId="57">'315'!$M$74</definedName>
    <definedName name="OSRRefD21_7x_9" localSheetId="60">'316'!$M$58:$M$59</definedName>
    <definedName name="OSRRefD21_7x_9" localSheetId="62">'317'!$M$66</definedName>
    <definedName name="OSRRefD21_7x_9" localSheetId="66">'321'!$M$55:$M$56</definedName>
    <definedName name="OSRRefD21_7x_9" localSheetId="68">'325'!$M$56</definedName>
    <definedName name="OSRRefD21_7x_9" localSheetId="58">'326'!$M$58</definedName>
    <definedName name="OSRRefD21_7x_9" localSheetId="56">'331'!$M$74</definedName>
    <definedName name="OSRRefD21_7x_9" localSheetId="59">'332'!$M$58:$M$59</definedName>
    <definedName name="OSRRefD21_7x_9" localSheetId="54">'333'!$M$76</definedName>
    <definedName name="OSRRefD21_7x_9" localSheetId="73">'405'!$M$58</definedName>
    <definedName name="OSRRefD21_7x_9" localSheetId="75">'411'!$M$51</definedName>
    <definedName name="OSRRefD21_7x_9" localSheetId="79">'415'!$M$59</definedName>
    <definedName name="OSRRefD21_7x_9" localSheetId="80">'418'!$M$55</definedName>
    <definedName name="OSRRefD21_7x_9" localSheetId="86">'430'!$M$52</definedName>
    <definedName name="OSRRefD21_7x_9" localSheetId="87">'433'!$M$58</definedName>
    <definedName name="OSRRefD21_7x_9" localSheetId="89">'444'!$M$58</definedName>
    <definedName name="OSRRefD21_7x_9" localSheetId="90">'450'!$M$58</definedName>
    <definedName name="OSRRefD21_7x_9" localSheetId="72">'491'!$M$60</definedName>
    <definedName name="OSRRefD21_7x_9" localSheetId="85">'492'!$M$60</definedName>
    <definedName name="OSRRefD21_7x_9" localSheetId="92">'501'!$M$53</definedName>
    <definedName name="OSRRefD21_7x_9" localSheetId="39">'Div 2'!$M$53</definedName>
    <definedName name="OSRRefD21_7x_9" localSheetId="47">'Div 3'!$M$93</definedName>
    <definedName name="OSRRefD21_7x_9" localSheetId="70">'Div 4'!$M$63</definedName>
    <definedName name="OSRRefD21_7x_9" localSheetId="91">'Div 5'!$M$53</definedName>
    <definedName name="OSRRefD21_7x_9" localSheetId="61">'Div 6'!$M$66</definedName>
    <definedName name="OSRRefD21_7x_9" localSheetId="2">Summary!$M$101</definedName>
    <definedName name="OSRRefD21_8_0x" localSheetId="41">'201'!$D$52:$M$52</definedName>
    <definedName name="OSRRefD21_8_0x" localSheetId="42">'202'!$D$54:$M$54</definedName>
    <definedName name="OSRRefD21_8_0x" localSheetId="43">'203'!$D$53:$M$53</definedName>
    <definedName name="OSRRefD21_8_0x" localSheetId="44">'204'!$D$57:$M$57</definedName>
    <definedName name="OSRRefD21_8_0x" localSheetId="48">'300'!$D$89:$M$89</definedName>
    <definedName name="OSRRefD21_8_0x" localSheetId="49">'300 &amp; 317'!$D$95:$M$95</definedName>
    <definedName name="OSRRefD21_8_0x" localSheetId="50">'301'!$D$56:$M$56</definedName>
    <definedName name="OSRRefD21_8_0x" localSheetId="55">'307'!$D$66:$M$66</definedName>
    <definedName name="OSRRefD21_8_0x" localSheetId="51">'308'!$D$69:$M$69</definedName>
    <definedName name="OSRRefD21_8_0x" localSheetId="64">'309'!$D$43:$M$43</definedName>
    <definedName name="OSRRefD21_8_0x" localSheetId="63">'310'!$D$63:$M$63</definedName>
    <definedName name="OSRRefD21_8_0x" localSheetId="71">'310 &amp; 491'!$D$63:$M$63</definedName>
    <definedName name="OSRRefD21_8_0x" localSheetId="52">'311'!$D$69:$M$69</definedName>
    <definedName name="OSRRefD21_8_0x" localSheetId="57">'315'!$D$76:$M$76</definedName>
    <definedName name="OSRRefD21_8_0x" localSheetId="60">'316'!$D$61:$M$61</definedName>
    <definedName name="OSRRefD21_8_0x" localSheetId="62">'317'!$D$68:$M$68</definedName>
    <definedName name="OSRRefD21_8_0x" localSheetId="66">'321'!$D$58:$M$58</definedName>
    <definedName name="OSRRefD21_8_0x" localSheetId="68">'325'!$D$58:$M$58</definedName>
    <definedName name="OSRRefD21_8_0x" localSheetId="58">'326'!$D$60:$M$60</definedName>
    <definedName name="OSRRefD21_8_0x" localSheetId="56">'331'!$D$76:$M$76</definedName>
    <definedName name="OSRRefD21_8_0x" localSheetId="59">'332'!$D$61:$M$61</definedName>
    <definedName name="OSRRefD21_8_0x" localSheetId="54">'333'!$D$78:$M$78</definedName>
    <definedName name="OSRRefD21_8_0x" localSheetId="73">'405'!$D$60:$M$60</definedName>
    <definedName name="OSRRefD21_8_0x" localSheetId="75">'411'!$D$53:$M$53</definedName>
    <definedName name="OSRRefD21_8_0x" localSheetId="79">'415'!$D$61:$M$61</definedName>
    <definedName name="OSRRefD21_8_0x" localSheetId="80">'418'!$D$57:$M$57</definedName>
    <definedName name="OSRRefD21_8_0x" localSheetId="86">'430'!$D$54:$M$54</definedName>
    <definedName name="OSRRefD21_8_0x" localSheetId="87">'433'!$D$60:$M$60</definedName>
    <definedName name="OSRRefD21_8_0x" localSheetId="89">'444'!$D$60:$M$60</definedName>
    <definedName name="OSRRefD21_8_0x" localSheetId="90">'450'!$D$60:$M$60</definedName>
    <definedName name="OSRRefD21_8_0x" localSheetId="72">'491'!$D$62:$M$62</definedName>
    <definedName name="OSRRefD21_8_0x" localSheetId="85">'492'!$D$62:$M$62</definedName>
    <definedName name="OSRRefD21_8_0x" localSheetId="92">'501'!$D$55:$M$55</definedName>
    <definedName name="OSRRefD21_8_0x" localSheetId="39">'Div 2'!$D$55:$M$55</definedName>
    <definedName name="OSRRefD21_8_0x" localSheetId="47">'Div 3'!$D$95:$M$95</definedName>
    <definedName name="OSRRefD21_8_0x" localSheetId="70">'Div 4'!$D$65:$M$65</definedName>
    <definedName name="OSRRefD21_8_0x" localSheetId="91">'Div 5'!$D$55:$M$55</definedName>
    <definedName name="OSRRefD21_8_0x" localSheetId="61">'Div 6'!$D$68:$M$68</definedName>
    <definedName name="OSRRefD21_8_0x" localSheetId="2">Summary!$D$103:$M$103</definedName>
    <definedName name="OSRRefD21_8_1x" localSheetId="43">'203'!$D$54:$M$54</definedName>
    <definedName name="OSRRefD21_8_1x" localSheetId="64">'309'!$D$44:$M$44</definedName>
    <definedName name="OSRRefD21_8_1x" localSheetId="57">'315'!$D$77:$M$77</definedName>
    <definedName name="OSRRefD21_8_1x" localSheetId="66">'321'!$D$59:$M$59</definedName>
    <definedName name="OSRRefD21_8_1x" localSheetId="56">'331'!$D$77:$M$77</definedName>
    <definedName name="OSRRefD21_8_1x" localSheetId="54">'333'!$D$79:$M$79</definedName>
    <definedName name="OSRRefD21_8_1x" localSheetId="75">'411'!$D$54:$M$54</definedName>
    <definedName name="OSRRefD21_8_1x" localSheetId="80">'418'!$D$58:$M$58</definedName>
    <definedName name="OSRRefD21_8_2x" localSheetId="43">'203'!$D$55:$M$55</definedName>
    <definedName name="OSRRefD21_8_2x" localSheetId="75">'411'!$D$55:$M$55</definedName>
    <definedName name="OSRRefD21_8x_0" localSheetId="41">'201'!$D$52</definedName>
    <definedName name="OSRRefD21_8x_0" localSheetId="42">'202'!$D$54</definedName>
    <definedName name="OSRRefD21_8x_0" localSheetId="43">'203'!$D$53:$D$55</definedName>
    <definedName name="OSRRefD21_8x_0" localSheetId="44">'204'!$D$57</definedName>
    <definedName name="OSRRefD21_8x_0" localSheetId="48">'300'!$D$89</definedName>
    <definedName name="OSRRefD21_8x_0" localSheetId="49">'300 &amp; 317'!$D$95</definedName>
    <definedName name="OSRRefD21_8x_0" localSheetId="50">'301'!$D$56</definedName>
    <definedName name="OSRRefD21_8x_0" localSheetId="55">'307'!$D$66</definedName>
    <definedName name="OSRRefD21_8x_0" localSheetId="51">'308'!$D$69</definedName>
    <definedName name="OSRRefD21_8x_0" localSheetId="64">'309'!$D$43:$D$44</definedName>
    <definedName name="OSRRefD21_8x_0" localSheetId="63">'310'!$D$63</definedName>
    <definedName name="OSRRefD21_8x_0" localSheetId="71">'310 &amp; 491'!$D$63</definedName>
    <definedName name="OSRRefD21_8x_0" localSheetId="52">'311'!$D$69</definedName>
    <definedName name="OSRRefD21_8x_0" localSheetId="57">'315'!$D$76:$D$77</definedName>
    <definedName name="OSRRefD21_8x_0" localSheetId="60">'316'!$D$61</definedName>
    <definedName name="OSRRefD21_8x_0" localSheetId="62">'317'!$D$68</definedName>
    <definedName name="OSRRefD21_8x_0" localSheetId="66">'321'!$D$58:$D$59</definedName>
    <definedName name="OSRRefD21_8x_0" localSheetId="68">'325'!$D$58</definedName>
    <definedName name="OSRRefD21_8x_0" localSheetId="58">'326'!$D$60</definedName>
    <definedName name="OSRRefD21_8x_0" localSheetId="56">'331'!$D$76:$D$77</definedName>
    <definedName name="OSRRefD21_8x_0" localSheetId="59">'332'!$D$61</definedName>
    <definedName name="OSRRefD21_8x_0" localSheetId="54">'333'!$D$78:$D$79</definedName>
    <definedName name="OSRRefD21_8x_0" localSheetId="73">'405'!$D$60</definedName>
    <definedName name="OSRRefD21_8x_0" localSheetId="75">'411'!$D$53:$D$55</definedName>
    <definedName name="OSRRefD21_8x_0" localSheetId="79">'415'!$D$61</definedName>
    <definedName name="OSRRefD21_8x_0" localSheetId="80">'418'!$D$57:$D$58</definedName>
    <definedName name="OSRRefD21_8x_0" localSheetId="86">'430'!$D$54</definedName>
    <definedName name="OSRRefD21_8x_0" localSheetId="87">'433'!$D$60</definedName>
    <definedName name="OSRRefD21_8x_0" localSheetId="89">'444'!$D$60</definedName>
    <definedName name="OSRRefD21_8x_0" localSheetId="90">'450'!$D$60</definedName>
    <definedName name="OSRRefD21_8x_0" localSheetId="72">'491'!$D$62</definedName>
    <definedName name="OSRRefD21_8x_0" localSheetId="85">'492'!$D$62</definedName>
    <definedName name="OSRRefD21_8x_0" localSheetId="92">'501'!$D$55</definedName>
    <definedName name="OSRRefD21_8x_0" localSheetId="39">'Div 2'!$D$55</definedName>
    <definedName name="OSRRefD21_8x_0" localSheetId="47">'Div 3'!$D$95</definedName>
    <definedName name="OSRRefD21_8x_0" localSheetId="70">'Div 4'!$D$65</definedName>
    <definedName name="OSRRefD21_8x_0" localSheetId="91">'Div 5'!$D$55</definedName>
    <definedName name="OSRRefD21_8x_0" localSheetId="61">'Div 6'!$D$68</definedName>
    <definedName name="OSRRefD21_8x_0" localSheetId="2">Summary!$D$103</definedName>
    <definedName name="OSRRefD21_8x_1" localSheetId="41">'201'!$E$52</definedName>
    <definedName name="OSRRefD21_8x_1" localSheetId="42">'202'!$E$54</definedName>
    <definedName name="OSRRefD21_8x_1" localSheetId="43">'203'!$E$53:$E$55</definedName>
    <definedName name="OSRRefD21_8x_1" localSheetId="44">'204'!$E$57</definedName>
    <definedName name="OSRRefD21_8x_1" localSheetId="48">'300'!$E$89</definedName>
    <definedName name="OSRRefD21_8x_1" localSheetId="49">'300 &amp; 317'!$E$95</definedName>
    <definedName name="OSRRefD21_8x_1" localSheetId="50">'301'!$E$56</definedName>
    <definedName name="OSRRefD21_8x_1" localSheetId="55">'307'!$E$66</definedName>
    <definedName name="OSRRefD21_8x_1" localSheetId="51">'308'!$E$69</definedName>
    <definedName name="OSRRefD21_8x_1" localSheetId="64">'309'!$E$43:$E$44</definedName>
    <definedName name="OSRRefD21_8x_1" localSheetId="63">'310'!$E$63</definedName>
    <definedName name="OSRRefD21_8x_1" localSheetId="71">'310 &amp; 491'!$E$63</definedName>
    <definedName name="OSRRefD21_8x_1" localSheetId="52">'311'!$E$69</definedName>
    <definedName name="OSRRefD21_8x_1" localSheetId="57">'315'!$E$76:$E$77</definedName>
    <definedName name="OSRRefD21_8x_1" localSheetId="60">'316'!$E$61</definedName>
    <definedName name="OSRRefD21_8x_1" localSheetId="62">'317'!$E$68</definedName>
    <definedName name="OSRRefD21_8x_1" localSheetId="66">'321'!$E$58:$E$59</definedName>
    <definedName name="OSRRefD21_8x_1" localSheetId="68">'325'!$E$58</definedName>
    <definedName name="OSRRefD21_8x_1" localSheetId="58">'326'!$E$60</definedName>
    <definedName name="OSRRefD21_8x_1" localSheetId="56">'331'!$E$76:$E$77</definedName>
    <definedName name="OSRRefD21_8x_1" localSheetId="59">'332'!$E$61</definedName>
    <definedName name="OSRRefD21_8x_1" localSheetId="54">'333'!$E$78:$E$79</definedName>
    <definedName name="OSRRefD21_8x_1" localSheetId="73">'405'!$E$60</definedName>
    <definedName name="OSRRefD21_8x_1" localSheetId="75">'411'!$E$53:$E$55</definedName>
    <definedName name="OSRRefD21_8x_1" localSheetId="79">'415'!$E$61</definedName>
    <definedName name="OSRRefD21_8x_1" localSheetId="80">'418'!$E$57:$E$58</definedName>
    <definedName name="OSRRefD21_8x_1" localSheetId="86">'430'!$E$54</definedName>
    <definedName name="OSRRefD21_8x_1" localSheetId="87">'433'!$E$60</definedName>
    <definedName name="OSRRefD21_8x_1" localSheetId="89">'444'!$E$60</definedName>
    <definedName name="OSRRefD21_8x_1" localSheetId="90">'450'!$E$60</definedName>
    <definedName name="OSRRefD21_8x_1" localSheetId="72">'491'!$E$62</definedName>
    <definedName name="OSRRefD21_8x_1" localSheetId="85">'492'!$E$62</definedName>
    <definedName name="OSRRefD21_8x_1" localSheetId="92">'501'!$E$55</definedName>
    <definedName name="OSRRefD21_8x_1" localSheetId="39">'Div 2'!$E$55</definedName>
    <definedName name="OSRRefD21_8x_1" localSheetId="47">'Div 3'!$E$95</definedName>
    <definedName name="OSRRefD21_8x_1" localSheetId="70">'Div 4'!$E$65</definedName>
    <definedName name="OSRRefD21_8x_1" localSheetId="91">'Div 5'!$E$55</definedName>
    <definedName name="OSRRefD21_8x_1" localSheetId="61">'Div 6'!$E$68</definedName>
    <definedName name="OSRRefD21_8x_1" localSheetId="2">Summary!$E$103</definedName>
    <definedName name="OSRRefD21_8x_2" localSheetId="41">'201'!$F$52</definedName>
    <definedName name="OSRRefD21_8x_2" localSheetId="42">'202'!$F$54</definedName>
    <definedName name="OSRRefD21_8x_2" localSheetId="43">'203'!$F$53:$F$55</definedName>
    <definedName name="OSRRefD21_8x_2" localSheetId="44">'204'!$F$57</definedName>
    <definedName name="OSRRefD21_8x_2" localSheetId="48">'300'!$F$89</definedName>
    <definedName name="OSRRefD21_8x_2" localSheetId="49">'300 &amp; 317'!$F$95</definedName>
    <definedName name="OSRRefD21_8x_2" localSheetId="50">'301'!$F$56</definedName>
    <definedName name="OSRRefD21_8x_2" localSheetId="55">'307'!$F$66</definedName>
    <definedName name="OSRRefD21_8x_2" localSheetId="51">'308'!$F$69</definedName>
    <definedName name="OSRRefD21_8x_2" localSheetId="64">'309'!$F$43:$F$44</definedName>
    <definedName name="OSRRefD21_8x_2" localSheetId="63">'310'!$F$63</definedName>
    <definedName name="OSRRefD21_8x_2" localSheetId="71">'310 &amp; 491'!$F$63</definedName>
    <definedName name="OSRRefD21_8x_2" localSheetId="52">'311'!$F$69</definedName>
    <definedName name="OSRRefD21_8x_2" localSheetId="57">'315'!$F$76:$F$77</definedName>
    <definedName name="OSRRefD21_8x_2" localSheetId="60">'316'!$F$61</definedName>
    <definedName name="OSRRefD21_8x_2" localSheetId="62">'317'!$F$68</definedName>
    <definedName name="OSRRefD21_8x_2" localSheetId="66">'321'!$F$58:$F$59</definedName>
    <definedName name="OSRRefD21_8x_2" localSheetId="68">'325'!$F$58</definedName>
    <definedName name="OSRRefD21_8x_2" localSheetId="58">'326'!$F$60</definedName>
    <definedName name="OSRRefD21_8x_2" localSheetId="56">'331'!$F$76:$F$77</definedName>
    <definedName name="OSRRefD21_8x_2" localSheetId="59">'332'!$F$61</definedName>
    <definedName name="OSRRefD21_8x_2" localSheetId="54">'333'!$F$78:$F$79</definedName>
    <definedName name="OSRRefD21_8x_2" localSheetId="73">'405'!$F$60</definedName>
    <definedName name="OSRRefD21_8x_2" localSheetId="75">'411'!$F$53:$F$55</definedName>
    <definedName name="OSRRefD21_8x_2" localSheetId="79">'415'!$F$61</definedName>
    <definedName name="OSRRefD21_8x_2" localSheetId="80">'418'!$F$57:$F$58</definedName>
    <definedName name="OSRRefD21_8x_2" localSheetId="86">'430'!$F$54</definedName>
    <definedName name="OSRRefD21_8x_2" localSheetId="87">'433'!$F$60</definedName>
    <definedName name="OSRRefD21_8x_2" localSheetId="89">'444'!$F$60</definedName>
    <definedName name="OSRRefD21_8x_2" localSheetId="90">'450'!$F$60</definedName>
    <definedName name="OSRRefD21_8x_2" localSheetId="72">'491'!$F$62</definedName>
    <definedName name="OSRRefD21_8x_2" localSheetId="85">'492'!$F$62</definedName>
    <definedName name="OSRRefD21_8x_2" localSheetId="92">'501'!$F$55</definedName>
    <definedName name="OSRRefD21_8x_2" localSheetId="39">'Div 2'!$F$55</definedName>
    <definedName name="OSRRefD21_8x_2" localSheetId="47">'Div 3'!$F$95</definedName>
    <definedName name="OSRRefD21_8x_2" localSheetId="70">'Div 4'!$F$65</definedName>
    <definedName name="OSRRefD21_8x_2" localSheetId="91">'Div 5'!$F$55</definedName>
    <definedName name="OSRRefD21_8x_2" localSheetId="61">'Div 6'!$F$68</definedName>
    <definedName name="OSRRefD21_8x_2" localSheetId="2">Summary!$F$103</definedName>
    <definedName name="OSRRefD21_8x_3" localSheetId="41">'201'!$G$52</definedName>
    <definedName name="OSRRefD21_8x_3" localSheetId="42">'202'!$G$54</definedName>
    <definedName name="OSRRefD21_8x_3" localSheetId="43">'203'!$G$53:$G$55</definedName>
    <definedName name="OSRRefD21_8x_3" localSheetId="44">'204'!$G$57</definedName>
    <definedName name="OSRRefD21_8x_3" localSheetId="48">'300'!$G$89</definedName>
    <definedName name="OSRRefD21_8x_3" localSheetId="49">'300 &amp; 317'!$G$95</definedName>
    <definedName name="OSRRefD21_8x_3" localSheetId="50">'301'!$G$56</definedName>
    <definedName name="OSRRefD21_8x_3" localSheetId="55">'307'!$G$66</definedName>
    <definedName name="OSRRefD21_8x_3" localSheetId="51">'308'!$G$69</definedName>
    <definedName name="OSRRefD21_8x_3" localSheetId="64">'309'!$G$43:$G$44</definedName>
    <definedName name="OSRRefD21_8x_3" localSheetId="63">'310'!$G$63</definedName>
    <definedName name="OSRRefD21_8x_3" localSheetId="71">'310 &amp; 491'!$G$63</definedName>
    <definedName name="OSRRefD21_8x_3" localSheetId="52">'311'!$G$69</definedName>
    <definedName name="OSRRefD21_8x_3" localSheetId="57">'315'!$G$76:$G$77</definedName>
    <definedName name="OSRRefD21_8x_3" localSheetId="60">'316'!$G$61</definedName>
    <definedName name="OSRRefD21_8x_3" localSheetId="62">'317'!$G$68</definedName>
    <definedName name="OSRRefD21_8x_3" localSheetId="66">'321'!$G$58:$G$59</definedName>
    <definedName name="OSRRefD21_8x_3" localSheetId="68">'325'!$G$58</definedName>
    <definedName name="OSRRefD21_8x_3" localSheetId="58">'326'!$G$60</definedName>
    <definedName name="OSRRefD21_8x_3" localSheetId="56">'331'!$G$76:$G$77</definedName>
    <definedName name="OSRRefD21_8x_3" localSheetId="59">'332'!$G$61</definedName>
    <definedName name="OSRRefD21_8x_3" localSheetId="54">'333'!$G$78:$G$79</definedName>
    <definedName name="OSRRefD21_8x_3" localSheetId="73">'405'!$G$60</definedName>
    <definedName name="OSRRefD21_8x_3" localSheetId="75">'411'!$G$53:$G$55</definedName>
    <definedName name="OSRRefD21_8x_3" localSheetId="79">'415'!$G$61</definedName>
    <definedName name="OSRRefD21_8x_3" localSheetId="80">'418'!$G$57:$G$58</definedName>
    <definedName name="OSRRefD21_8x_3" localSheetId="86">'430'!$G$54</definedName>
    <definedName name="OSRRefD21_8x_3" localSheetId="87">'433'!$G$60</definedName>
    <definedName name="OSRRefD21_8x_3" localSheetId="89">'444'!$G$60</definedName>
    <definedName name="OSRRefD21_8x_3" localSheetId="90">'450'!$G$60</definedName>
    <definedName name="OSRRefD21_8x_3" localSheetId="72">'491'!$G$62</definedName>
    <definedName name="OSRRefD21_8x_3" localSheetId="85">'492'!$G$62</definedName>
    <definedName name="OSRRefD21_8x_3" localSheetId="92">'501'!$G$55</definedName>
    <definedName name="OSRRefD21_8x_3" localSheetId="39">'Div 2'!$G$55</definedName>
    <definedName name="OSRRefD21_8x_3" localSheetId="47">'Div 3'!$G$95</definedName>
    <definedName name="OSRRefD21_8x_3" localSheetId="70">'Div 4'!$G$65</definedName>
    <definedName name="OSRRefD21_8x_3" localSheetId="91">'Div 5'!$G$55</definedName>
    <definedName name="OSRRefD21_8x_3" localSheetId="61">'Div 6'!$G$68</definedName>
    <definedName name="OSRRefD21_8x_3" localSheetId="2">Summary!$G$103</definedName>
    <definedName name="OSRRefD21_8x_4" localSheetId="41">'201'!$H$52</definedName>
    <definedName name="OSRRefD21_8x_4" localSheetId="42">'202'!$H$54</definedName>
    <definedName name="OSRRefD21_8x_4" localSheetId="43">'203'!$H$53:$H$55</definedName>
    <definedName name="OSRRefD21_8x_4" localSheetId="44">'204'!$H$57</definedName>
    <definedName name="OSRRefD21_8x_4" localSheetId="48">'300'!$H$89</definedName>
    <definedName name="OSRRefD21_8x_4" localSheetId="49">'300 &amp; 317'!$H$95</definedName>
    <definedName name="OSRRefD21_8x_4" localSheetId="50">'301'!$H$56</definedName>
    <definedName name="OSRRefD21_8x_4" localSheetId="55">'307'!$H$66</definedName>
    <definedName name="OSRRefD21_8x_4" localSheetId="51">'308'!$H$69</definedName>
    <definedName name="OSRRefD21_8x_4" localSheetId="64">'309'!$H$43:$H$44</definedName>
    <definedName name="OSRRefD21_8x_4" localSheetId="63">'310'!$H$63</definedName>
    <definedName name="OSRRefD21_8x_4" localSheetId="71">'310 &amp; 491'!$H$63</definedName>
    <definedName name="OSRRefD21_8x_4" localSheetId="52">'311'!$H$69</definedName>
    <definedName name="OSRRefD21_8x_4" localSheetId="57">'315'!$H$76:$H$77</definedName>
    <definedName name="OSRRefD21_8x_4" localSheetId="60">'316'!$H$61</definedName>
    <definedName name="OSRRefD21_8x_4" localSheetId="62">'317'!$H$68</definedName>
    <definedName name="OSRRefD21_8x_4" localSheetId="66">'321'!$H$58:$H$59</definedName>
    <definedName name="OSRRefD21_8x_4" localSheetId="68">'325'!$H$58</definedName>
    <definedName name="OSRRefD21_8x_4" localSheetId="58">'326'!$H$60</definedName>
    <definedName name="OSRRefD21_8x_4" localSheetId="56">'331'!$H$76:$H$77</definedName>
    <definedName name="OSRRefD21_8x_4" localSheetId="59">'332'!$H$61</definedName>
    <definedName name="OSRRefD21_8x_4" localSheetId="54">'333'!$H$78:$H$79</definedName>
    <definedName name="OSRRefD21_8x_4" localSheetId="73">'405'!$H$60</definedName>
    <definedName name="OSRRefD21_8x_4" localSheetId="75">'411'!$H$53:$H$55</definedName>
    <definedName name="OSRRefD21_8x_4" localSheetId="79">'415'!$H$61</definedName>
    <definedName name="OSRRefD21_8x_4" localSheetId="80">'418'!$H$57:$H$58</definedName>
    <definedName name="OSRRefD21_8x_4" localSheetId="86">'430'!$H$54</definedName>
    <definedName name="OSRRefD21_8x_4" localSheetId="87">'433'!$H$60</definedName>
    <definedName name="OSRRefD21_8x_4" localSheetId="89">'444'!$H$60</definedName>
    <definedName name="OSRRefD21_8x_4" localSheetId="90">'450'!$H$60</definedName>
    <definedName name="OSRRefD21_8x_4" localSheetId="72">'491'!$H$62</definedName>
    <definedName name="OSRRefD21_8x_4" localSheetId="85">'492'!$H$62</definedName>
    <definedName name="OSRRefD21_8x_4" localSheetId="92">'501'!$H$55</definedName>
    <definedName name="OSRRefD21_8x_4" localSheetId="39">'Div 2'!$H$55</definedName>
    <definedName name="OSRRefD21_8x_4" localSheetId="47">'Div 3'!$H$95</definedName>
    <definedName name="OSRRefD21_8x_4" localSheetId="70">'Div 4'!$H$65</definedName>
    <definedName name="OSRRefD21_8x_4" localSheetId="91">'Div 5'!$H$55</definedName>
    <definedName name="OSRRefD21_8x_4" localSheetId="61">'Div 6'!$H$68</definedName>
    <definedName name="OSRRefD21_8x_4" localSheetId="2">Summary!$H$103</definedName>
    <definedName name="OSRRefD21_8x_5" localSheetId="41">'201'!$I$52</definedName>
    <definedName name="OSRRefD21_8x_5" localSheetId="42">'202'!$I$54</definedName>
    <definedName name="OSRRefD21_8x_5" localSheetId="43">'203'!$I$53:$I$55</definedName>
    <definedName name="OSRRefD21_8x_5" localSheetId="44">'204'!$I$57</definedName>
    <definedName name="OSRRefD21_8x_5" localSheetId="48">'300'!$I$89</definedName>
    <definedName name="OSRRefD21_8x_5" localSheetId="49">'300 &amp; 317'!$I$95</definedName>
    <definedName name="OSRRefD21_8x_5" localSheetId="50">'301'!$I$56</definedName>
    <definedName name="OSRRefD21_8x_5" localSheetId="55">'307'!$I$66</definedName>
    <definedName name="OSRRefD21_8x_5" localSheetId="51">'308'!$I$69</definedName>
    <definedName name="OSRRefD21_8x_5" localSheetId="64">'309'!$I$43:$I$44</definedName>
    <definedName name="OSRRefD21_8x_5" localSheetId="63">'310'!$I$63</definedName>
    <definedName name="OSRRefD21_8x_5" localSheetId="71">'310 &amp; 491'!$I$63</definedName>
    <definedName name="OSRRefD21_8x_5" localSheetId="52">'311'!$I$69</definedName>
    <definedName name="OSRRefD21_8x_5" localSheetId="57">'315'!$I$76:$I$77</definedName>
    <definedName name="OSRRefD21_8x_5" localSheetId="60">'316'!$I$61</definedName>
    <definedName name="OSRRefD21_8x_5" localSheetId="62">'317'!$I$68</definedName>
    <definedName name="OSRRefD21_8x_5" localSheetId="66">'321'!$I$58:$I$59</definedName>
    <definedName name="OSRRefD21_8x_5" localSheetId="68">'325'!$I$58</definedName>
    <definedName name="OSRRefD21_8x_5" localSheetId="58">'326'!$I$60</definedName>
    <definedName name="OSRRefD21_8x_5" localSheetId="56">'331'!$I$76:$I$77</definedName>
    <definedName name="OSRRefD21_8x_5" localSheetId="59">'332'!$I$61</definedName>
    <definedName name="OSRRefD21_8x_5" localSheetId="54">'333'!$I$78:$I$79</definedName>
    <definedName name="OSRRefD21_8x_5" localSheetId="73">'405'!$I$60</definedName>
    <definedName name="OSRRefD21_8x_5" localSheetId="75">'411'!$I$53:$I$55</definedName>
    <definedName name="OSRRefD21_8x_5" localSheetId="79">'415'!$I$61</definedName>
    <definedName name="OSRRefD21_8x_5" localSheetId="80">'418'!$I$57:$I$58</definedName>
    <definedName name="OSRRefD21_8x_5" localSheetId="86">'430'!$I$54</definedName>
    <definedName name="OSRRefD21_8x_5" localSheetId="87">'433'!$I$60</definedName>
    <definedName name="OSRRefD21_8x_5" localSheetId="89">'444'!$I$60</definedName>
    <definedName name="OSRRefD21_8x_5" localSheetId="90">'450'!$I$60</definedName>
    <definedName name="OSRRefD21_8x_5" localSheetId="72">'491'!$I$62</definedName>
    <definedName name="OSRRefD21_8x_5" localSheetId="85">'492'!$I$62</definedName>
    <definedName name="OSRRefD21_8x_5" localSheetId="92">'501'!$I$55</definedName>
    <definedName name="OSRRefD21_8x_5" localSheetId="39">'Div 2'!$I$55</definedName>
    <definedName name="OSRRefD21_8x_5" localSheetId="47">'Div 3'!$I$95</definedName>
    <definedName name="OSRRefD21_8x_5" localSheetId="70">'Div 4'!$I$65</definedName>
    <definedName name="OSRRefD21_8x_5" localSheetId="91">'Div 5'!$I$55</definedName>
    <definedName name="OSRRefD21_8x_5" localSheetId="61">'Div 6'!$I$68</definedName>
    <definedName name="OSRRefD21_8x_5" localSheetId="2">Summary!$I$103</definedName>
    <definedName name="OSRRefD21_8x_6" localSheetId="41">'201'!$J$52</definedName>
    <definedName name="OSRRefD21_8x_6" localSheetId="42">'202'!$J$54</definedName>
    <definedName name="OSRRefD21_8x_6" localSheetId="43">'203'!$J$53:$J$55</definedName>
    <definedName name="OSRRefD21_8x_6" localSheetId="44">'204'!$J$57</definedName>
    <definedName name="OSRRefD21_8x_6" localSheetId="48">'300'!$J$89</definedName>
    <definedName name="OSRRefD21_8x_6" localSheetId="49">'300 &amp; 317'!$J$95</definedName>
    <definedName name="OSRRefD21_8x_6" localSheetId="50">'301'!$J$56</definedName>
    <definedName name="OSRRefD21_8x_6" localSheetId="55">'307'!$J$66</definedName>
    <definedName name="OSRRefD21_8x_6" localSheetId="51">'308'!$J$69</definedName>
    <definedName name="OSRRefD21_8x_6" localSheetId="64">'309'!$J$43:$J$44</definedName>
    <definedName name="OSRRefD21_8x_6" localSheetId="63">'310'!$J$63</definedName>
    <definedName name="OSRRefD21_8x_6" localSheetId="71">'310 &amp; 491'!$J$63</definedName>
    <definedName name="OSRRefD21_8x_6" localSheetId="52">'311'!$J$69</definedName>
    <definedName name="OSRRefD21_8x_6" localSheetId="57">'315'!$J$76:$J$77</definedName>
    <definedName name="OSRRefD21_8x_6" localSheetId="60">'316'!$J$61</definedName>
    <definedName name="OSRRefD21_8x_6" localSheetId="62">'317'!$J$68</definedName>
    <definedName name="OSRRefD21_8x_6" localSheetId="66">'321'!$J$58:$J$59</definedName>
    <definedName name="OSRRefD21_8x_6" localSheetId="68">'325'!$J$58</definedName>
    <definedName name="OSRRefD21_8x_6" localSheetId="58">'326'!$J$60</definedName>
    <definedName name="OSRRefD21_8x_6" localSheetId="56">'331'!$J$76:$J$77</definedName>
    <definedName name="OSRRefD21_8x_6" localSheetId="59">'332'!$J$61</definedName>
    <definedName name="OSRRefD21_8x_6" localSheetId="54">'333'!$J$78:$J$79</definedName>
    <definedName name="OSRRefD21_8x_6" localSheetId="73">'405'!$J$60</definedName>
    <definedName name="OSRRefD21_8x_6" localSheetId="75">'411'!$J$53:$J$55</definedName>
    <definedName name="OSRRefD21_8x_6" localSheetId="79">'415'!$J$61</definedName>
    <definedName name="OSRRefD21_8x_6" localSheetId="80">'418'!$J$57:$J$58</definedName>
    <definedName name="OSRRefD21_8x_6" localSheetId="86">'430'!$J$54</definedName>
    <definedName name="OSRRefD21_8x_6" localSheetId="87">'433'!$J$60</definedName>
    <definedName name="OSRRefD21_8x_6" localSheetId="89">'444'!$J$60</definedName>
    <definedName name="OSRRefD21_8x_6" localSheetId="90">'450'!$J$60</definedName>
    <definedName name="OSRRefD21_8x_6" localSheetId="72">'491'!$J$62</definedName>
    <definedName name="OSRRefD21_8x_6" localSheetId="85">'492'!$J$62</definedName>
    <definedName name="OSRRefD21_8x_6" localSheetId="92">'501'!$J$55</definedName>
    <definedName name="OSRRefD21_8x_6" localSheetId="39">'Div 2'!$J$55</definedName>
    <definedName name="OSRRefD21_8x_6" localSheetId="47">'Div 3'!$J$95</definedName>
    <definedName name="OSRRefD21_8x_6" localSheetId="70">'Div 4'!$J$65</definedName>
    <definedName name="OSRRefD21_8x_6" localSheetId="91">'Div 5'!$J$55</definedName>
    <definedName name="OSRRefD21_8x_6" localSheetId="61">'Div 6'!$J$68</definedName>
    <definedName name="OSRRefD21_8x_6" localSheetId="2">Summary!$J$103</definedName>
    <definedName name="OSRRefD21_8x_7" localSheetId="41">'201'!$K$52</definedName>
    <definedName name="OSRRefD21_8x_7" localSheetId="42">'202'!$K$54</definedName>
    <definedName name="OSRRefD21_8x_7" localSheetId="43">'203'!$K$53:$K$55</definedName>
    <definedName name="OSRRefD21_8x_7" localSheetId="44">'204'!$K$57</definedName>
    <definedName name="OSRRefD21_8x_7" localSheetId="48">'300'!$K$89</definedName>
    <definedName name="OSRRefD21_8x_7" localSheetId="49">'300 &amp; 317'!$K$95</definedName>
    <definedName name="OSRRefD21_8x_7" localSheetId="50">'301'!$K$56</definedName>
    <definedName name="OSRRefD21_8x_7" localSheetId="55">'307'!$K$66</definedName>
    <definedName name="OSRRefD21_8x_7" localSheetId="51">'308'!$K$69</definedName>
    <definedName name="OSRRefD21_8x_7" localSheetId="64">'309'!$K$43:$K$44</definedName>
    <definedName name="OSRRefD21_8x_7" localSheetId="63">'310'!$K$63</definedName>
    <definedName name="OSRRefD21_8x_7" localSheetId="71">'310 &amp; 491'!$K$63</definedName>
    <definedName name="OSRRefD21_8x_7" localSheetId="52">'311'!$K$69</definedName>
    <definedName name="OSRRefD21_8x_7" localSheetId="57">'315'!$K$76:$K$77</definedName>
    <definedName name="OSRRefD21_8x_7" localSheetId="60">'316'!$K$61</definedName>
    <definedName name="OSRRefD21_8x_7" localSheetId="62">'317'!$K$68</definedName>
    <definedName name="OSRRefD21_8x_7" localSheetId="66">'321'!$K$58:$K$59</definedName>
    <definedName name="OSRRefD21_8x_7" localSheetId="68">'325'!$K$58</definedName>
    <definedName name="OSRRefD21_8x_7" localSheetId="58">'326'!$K$60</definedName>
    <definedName name="OSRRefD21_8x_7" localSheetId="56">'331'!$K$76:$K$77</definedName>
    <definedName name="OSRRefD21_8x_7" localSheetId="59">'332'!$K$61</definedName>
    <definedName name="OSRRefD21_8x_7" localSheetId="54">'333'!$K$78:$K$79</definedName>
    <definedName name="OSRRefD21_8x_7" localSheetId="73">'405'!$K$60</definedName>
    <definedName name="OSRRefD21_8x_7" localSheetId="75">'411'!$K$53:$K$55</definedName>
    <definedName name="OSRRefD21_8x_7" localSheetId="79">'415'!$K$61</definedName>
    <definedName name="OSRRefD21_8x_7" localSheetId="80">'418'!$K$57:$K$58</definedName>
    <definedName name="OSRRefD21_8x_7" localSheetId="86">'430'!$K$54</definedName>
    <definedName name="OSRRefD21_8x_7" localSheetId="87">'433'!$K$60</definedName>
    <definedName name="OSRRefD21_8x_7" localSheetId="89">'444'!$K$60</definedName>
    <definedName name="OSRRefD21_8x_7" localSheetId="90">'450'!$K$60</definedName>
    <definedName name="OSRRefD21_8x_7" localSheetId="72">'491'!$K$62</definedName>
    <definedName name="OSRRefD21_8x_7" localSheetId="85">'492'!$K$62</definedName>
    <definedName name="OSRRefD21_8x_7" localSheetId="92">'501'!$K$55</definedName>
    <definedName name="OSRRefD21_8x_7" localSheetId="39">'Div 2'!$K$55</definedName>
    <definedName name="OSRRefD21_8x_7" localSheetId="47">'Div 3'!$K$95</definedName>
    <definedName name="OSRRefD21_8x_7" localSheetId="70">'Div 4'!$K$65</definedName>
    <definedName name="OSRRefD21_8x_7" localSheetId="91">'Div 5'!$K$55</definedName>
    <definedName name="OSRRefD21_8x_7" localSheetId="61">'Div 6'!$K$68</definedName>
    <definedName name="OSRRefD21_8x_7" localSheetId="2">Summary!$K$103</definedName>
    <definedName name="OSRRefD21_8x_8" localSheetId="41">'201'!$L$52</definedName>
    <definedName name="OSRRefD21_8x_8" localSheetId="42">'202'!$L$54</definedName>
    <definedName name="OSRRefD21_8x_8" localSheetId="43">'203'!$L$53:$L$55</definedName>
    <definedName name="OSRRefD21_8x_8" localSheetId="44">'204'!$L$57</definedName>
    <definedName name="OSRRefD21_8x_8" localSheetId="48">'300'!$L$89</definedName>
    <definedName name="OSRRefD21_8x_8" localSheetId="49">'300 &amp; 317'!$L$95</definedName>
    <definedName name="OSRRefD21_8x_8" localSheetId="50">'301'!$L$56</definedName>
    <definedName name="OSRRefD21_8x_8" localSheetId="55">'307'!$L$66</definedName>
    <definedName name="OSRRefD21_8x_8" localSheetId="51">'308'!$L$69</definedName>
    <definedName name="OSRRefD21_8x_8" localSheetId="64">'309'!$L$43:$L$44</definedName>
    <definedName name="OSRRefD21_8x_8" localSheetId="63">'310'!$L$63</definedName>
    <definedName name="OSRRefD21_8x_8" localSheetId="71">'310 &amp; 491'!$L$63</definedName>
    <definedName name="OSRRefD21_8x_8" localSheetId="52">'311'!$L$69</definedName>
    <definedName name="OSRRefD21_8x_8" localSheetId="57">'315'!$L$76:$L$77</definedName>
    <definedName name="OSRRefD21_8x_8" localSheetId="60">'316'!$L$61</definedName>
    <definedName name="OSRRefD21_8x_8" localSheetId="62">'317'!$L$68</definedName>
    <definedName name="OSRRefD21_8x_8" localSheetId="66">'321'!$L$58:$L$59</definedName>
    <definedName name="OSRRefD21_8x_8" localSheetId="68">'325'!$L$58</definedName>
    <definedName name="OSRRefD21_8x_8" localSheetId="58">'326'!$L$60</definedName>
    <definedName name="OSRRefD21_8x_8" localSheetId="56">'331'!$L$76:$L$77</definedName>
    <definedName name="OSRRefD21_8x_8" localSheetId="59">'332'!$L$61</definedName>
    <definedName name="OSRRefD21_8x_8" localSheetId="54">'333'!$L$78:$L$79</definedName>
    <definedName name="OSRRefD21_8x_8" localSheetId="73">'405'!$L$60</definedName>
    <definedName name="OSRRefD21_8x_8" localSheetId="75">'411'!$L$53:$L$55</definedName>
    <definedName name="OSRRefD21_8x_8" localSheetId="79">'415'!$L$61</definedName>
    <definedName name="OSRRefD21_8x_8" localSheetId="80">'418'!$L$57:$L$58</definedName>
    <definedName name="OSRRefD21_8x_8" localSheetId="86">'430'!$L$54</definedName>
    <definedName name="OSRRefD21_8x_8" localSheetId="87">'433'!$L$60</definedName>
    <definedName name="OSRRefD21_8x_8" localSheetId="89">'444'!$L$60</definedName>
    <definedName name="OSRRefD21_8x_8" localSheetId="90">'450'!$L$60</definedName>
    <definedName name="OSRRefD21_8x_8" localSheetId="72">'491'!$L$62</definedName>
    <definedName name="OSRRefD21_8x_8" localSheetId="85">'492'!$L$62</definedName>
    <definedName name="OSRRefD21_8x_8" localSheetId="92">'501'!$L$55</definedName>
    <definedName name="OSRRefD21_8x_8" localSheetId="39">'Div 2'!$L$55</definedName>
    <definedName name="OSRRefD21_8x_8" localSheetId="47">'Div 3'!$L$95</definedName>
    <definedName name="OSRRefD21_8x_8" localSheetId="70">'Div 4'!$L$65</definedName>
    <definedName name="OSRRefD21_8x_8" localSheetId="91">'Div 5'!$L$55</definedName>
    <definedName name="OSRRefD21_8x_8" localSheetId="61">'Div 6'!$L$68</definedName>
    <definedName name="OSRRefD21_8x_8" localSheetId="2">Summary!$L$103</definedName>
    <definedName name="OSRRefD21_8x_9" localSheetId="41">'201'!$M$52</definedName>
    <definedName name="OSRRefD21_8x_9" localSheetId="42">'202'!$M$54</definedName>
    <definedName name="OSRRefD21_8x_9" localSheetId="43">'203'!$M$53:$M$55</definedName>
    <definedName name="OSRRefD21_8x_9" localSheetId="44">'204'!$M$57</definedName>
    <definedName name="OSRRefD21_8x_9" localSheetId="48">'300'!$M$89</definedName>
    <definedName name="OSRRefD21_8x_9" localSheetId="49">'300 &amp; 317'!$M$95</definedName>
    <definedName name="OSRRefD21_8x_9" localSheetId="50">'301'!$M$56</definedName>
    <definedName name="OSRRefD21_8x_9" localSheetId="55">'307'!$M$66</definedName>
    <definedName name="OSRRefD21_8x_9" localSheetId="51">'308'!$M$69</definedName>
    <definedName name="OSRRefD21_8x_9" localSheetId="64">'309'!$M$43:$M$44</definedName>
    <definedName name="OSRRefD21_8x_9" localSheetId="63">'310'!$M$63</definedName>
    <definedName name="OSRRefD21_8x_9" localSheetId="71">'310 &amp; 491'!$M$63</definedName>
    <definedName name="OSRRefD21_8x_9" localSheetId="52">'311'!$M$69</definedName>
    <definedName name="OSRRefD21_8x_9" localSheetId="57">'315'!$M$76:$M$77</definedName>
    <definedName name="OSRRefD21_8x_9" localSheetId="60">'316'!$M$61</definedName>
    <definedName name="OSRRefD21_8x_9" localSheetId="62">'317'!$M$68</definedName>
    <definedName name="OSRRefD21_8x_9" localSheetId="66">'321'!$M$58:$M$59</definedName>
    <definedName name="OSRRefD21_8x_9" localSheetId="68">'325'!$M$58</definedName>
    <definedName name="OSRRefD21_8x_9" localSheetId="58">'326'!$M$60</definedName>
    <definedName name="OSRRefD21_8x_9" localSheetId="56">'331'!$M$76:$M$77</definedName>
    <definedName name="OSRRefD21_8x_9" localSheetId="59">'332'!$M$61</definedName>
    <definedName name="OSRRefD21_8x_9" localSheetId="54">'333'!$M$78:$M$79</definedName>
    <definedName name="OSRRefD21_8x_9" localSheetId="73">'405'!$M$60</definedName>
    <definedName name="OSRRefD21_8x_9" localSheetId="75">'411'!$M$53:$M$55</definedName>
    <definedName name="OSRRefD21_8x_9" localSheetId="79">'415'!$M$61</definedName>
    <definedName name="OSRRefD21_8x_9" localSheetId="80">'418'!$M$57:$M$58</definedName>
    <definedName name="OSRRefD21_8x_9" localSheetId="86">'430'!$M$54</definedName>
    <definedName name="OSRRefD21_8x_9" localSheetId="87">'433'!$M$60</definedName>
    <definedName name="OSRRefD21_8x_9" localSheetId="89">'444'!$M$60</definedName>
    <definedName name="OSRRefD21_8x_9" localSheetId="90">'450'!$M$60</definedName>
    <definedName name="OSRRefD21_8x_9" localSheetId="72">'491'!$M$62</definedName>
    <definedName name="OSRRefD21_8x_9" localSheetId="85">'492'!$M$62</definedName>
    <definedName name="OSRRefD21_8x_9" localSheetId="92">'501'!$M$55</definedName>
    <definedName name="OSRRefD21_8x_9" localSheetId="39">'Div 2'!$M$55</definedName>
    <definedName name="OSRRefD21_8x_9" localSheetId="47">'Div 3'!$M$95</definedName>
    <definedName name="OSRRefD21_8x_9" localSheetId="70">'Div 4'!$M$65</definedName>
    <definedName name="OSRRefD21_8x_9" localSheetId="91">'Div 5'!$M$55</definedName>
    <definedName name="OSRRefD21_8x_9" localSheetId="61">'Div 6'!$M$68</definedName>
    <definedName name="OSRRefD21_8x_9" localSheetId="2">Summary!$M$103</definedName>
    <definedName name="OSRRefD21_9_0x" localSheetId="41">'201'!$D$54:$M$54</definedName>
    <definedName name="OSRRefD21_9_0x" localSheetId="42">'202'!$D$56:$M$56</definedName>
    <definedName name="OSRRefD21_9_0x" localSheetId="43">'203'!$D$57:$M$57</definedName>
    <definedName name="OSRRefD21_9_0x" localSheetId="48">'300'!$D$91:$M$91</definedName>
    <definedName name="OSRRefD21_9_0x" localSheetId="49">'300 &amp; 317'!$D$97:$M$97</definedName>
    <definedName name="OSRRefD21_9_0x" localSheetId="50">'301'!$D$58:$M$58</definedName>
    <definedName name="OSRRefD21_9_0x" localSheetId="55">'307'!$D$68:$M$68</definedName>
    <definedName name="OSRRefD21_9_0x" localSheetId="51">'308'!$D$71:$M$71</definedName>
    <definedName name="OSRRefD21_9_0x" localSheetId="64">'309'!$D$46:$M$46</definedName>
    <definedName name="OSRRefD21_9_0x" localSheetId="63">'310'!$D$65:$M$65</definedName>
    <definedName name="OSRRefD21_9_0x" localSheetId="71">'310 &amp; 491'!$D$65:$M$65</definedName>
    <definedName name="OSRRefD21_9_0x" localSheetId="52">'311'!$D$71:$M$71</definedName>
    <definedName name="OSRRefD21_9_0x" localSheetId="57">'315'!$D$79:$M$79</definedName>
    <definedName name="OSRRefD21_9_0x" localSheetId="60">'316'!$D$63:$M$63</definedName>
    <definedName name="OSRRefD21_9_0x" localSheetId="62">'317'!$D$70:$M$70</definedName>
    <definedName name="OSRRefD21_9_0x" localSheetId="66">'321'!$D$61:$M$61</definedName>
    <definedName name="OSRRefD21_9_0x" localSheetId="68">'325'!$D$60:$M$60</definedName>
    <definedName name="OSRRefD21_9_0x" localSheetId="58">'326'!$D$62:$M$62</definedName>
    <definedName name="OSRRefD21_9_0x" localSheetId="56">'331'!$D$79:$M$79</definedName>
    <definedName name="OSRRefD21_9_0x" localSheetId="59">'332'!$D$63:$M$63</definedName>
    <definedName name="OSRRefD21_9_0x" localSheetId="54">'333'!$D$81:$M$81</definedName>
    <definedName name="OSRRefD21_9_0x" localSheetId="73">'405'!$D$62:$M$62</definedName>
    <definedName name="OSRRefD21_9_0x" localSheetId="75">'411'!$D$57:$M$57</definedName>
    <definedName name="OSRRefD21_9_0x" localSheetId="79">'415'!$D$63:$M$63</definedName>
    <definedName name="OSRRefD21_9_0x" localSheetId="80">'418'!$D$60:$M$60</definedName>
    <definedName name="OSRRefD21_9_0x" localSheetId="87">'433'!$D$62:$M$62</definedName>
    <definedName name="OSRRefD21_9_0x" localSheetId="89">'444'!$D$62:$M$62</definedName>
    <definedName name="OSRRefD21_9_0x" localSheetId="90">'450'!$D$62:$M$62</definedName>
    <definedName name="OSRRefD21_9_0x" localSheetId="72">'491'!$D$64:$M$64</definedName>
    <definedName name="OSRRefD21_9_0x" localSheetId="85">'492'!$D$64:$M$64</definedName>
    <definedName name="OSRRefD21_9_0x" localSheetId="92">'501'!$D$57:$M$57</definedName>
    <definedName name="OSRRefD21_9_0x" localSheetId="39">'Div 2'!$D$57:$M$57</definedName>
    <definedName name="OSRRefD21_9_0x" localSheetId="47">'Div 3'!$D$97:$M$97</definedName>
    <definedName name="OSRRefD21_9_0x" localSheetId="70">'Div 4'!$D$67:$M$67</definedName>
    <definedName name="OSRRefD21_9_0x" localSheetId="91">'Div 5'!$D$57:$M$57</definedName>
    <definedName name="OSRRefD21_9_0x" localSheetId="61">'Div 6'!$D$70:$M$70</definedName>
    <definedName name="OSRRefD21_9_0x" localSheetId="2">Summary!$D$105:$M$105</definedName>
    <definedName name="OSRRefD21_9_1x" localSheetId="41">'201'!$D$55:$M$55</definedName>
    <definedName name="OSRRefD21_9_1x" localSheetId="42">'202'!$D$57:$M$57</definedName>
    <definedName name="OSRRefD21_9_1x" localSheetId="43">'203'!$D$58:$M$58</definedName>
    <definedName name="OSRRefD21_9_1x" localSheetId="55">'307'!$D$69:$M$69</definedName>
    <definedName name="OSRRefD21_9_1x" localSheetId="51">'308'!$D$72:$M$72</definedName>
    <definedName name="OSRRefD21_9_1x" localSheetId="64">'309'!$D$47:$M$47</definedName>
    <definedName name="OSRRefD21_9_1x" localSheetId="52">'311'!$D$72:$M$72</definedName>
    <definedName name="OSRRefD21_9_1x" localSheetId="62">'317'!$D$71:$M$71</definedName>
    <definedName name="OSRRefD21_9_1x" localSheetId="66">'321'!$D$62:$M$62</definedName>
    <definedName name="OSRRefD21_9_1x" localSheetId="73">'405'!$D$63:$M$63</definedName>
    <definedName name="OSRRefD21_9_1x" localSheetId="75">'411'!$D$58:$M$58</definedName>
    <definedName name="OSRRefD21_9_1x" localSheetId="80">'418'!$D$61:$M$61</definedName>
    <definedName name="OSRRefD21_9_1x" localSheetId="92">'501'!$D$58:$M$58</definedName>
    <definedName name="OSRRefD21_9_1x" localSheetId="91">'Div 5'!$D$58:$M$58</definedName>
    <definedName name="OSRRefD21_9_1x" localSheetId="61">'Div 6'!$D$71:$M$71</definedName>
    <definedName name="OSRRefD21_9_2x" localSheetId="41">'201'!$D$56:$M$56</definedName>
    <definedName name="OSRRefD21_9_2x" localSheetId="51">'308'!$D$73:$M$73</definedName>
    <definedName name="OSRRefD21_9_2x" localSheetId="52">'311'!$D$73:$M$73</definedName>
    <definedName name="OSRRefD21_9_2x" localSheetId="66">'321'!$D$63:$M$63</definedName>
    <definedName name="OSRRefD21_9_2x" localSheetId="80">'418'!$D$62:$M$62</definedName>
    <definedName name="OSRRefD21_9_2x" localSheetId="92">'501'!$D$59:$M$59</definedName>
    <definedName name="OSRRefD21_9_2x" localSheetId="91">'Div 5'!$D$59:$M$59</definedName>
    <definedName name="OSRRefD21_9x_0" localSheetId="41">'201'!$D$54:$D$56</definedName>
    <definedName name="OSRRefD21_9x_0" localSheetId="42">'202'!$D$56:$D$57</definedName>
    <definedName name="OSRRefD21_9x_0" localSheetId="43">'203'!$D$57:$D$58</definedName>
    <definedName name="OSRRefD21_9x_0" localSheetId="48">'300'!$D$91</definedName>
    <definedName name="OSRRefD21_9x_0" localSheetId="49">'300 &amp; 317'!$D$97</definedName>
    <definedName name="OSRRefD21_9x_0" localSheetId="50">'301'!$D$58</definedName>
    <definedName name="OSRRefD21_9x_0" localSheetId="55">'307'!$D$68:$D$69</definedName>
    <definedName name="OSRRefD21_9x_0" localSheetId="51">'308'!$D$71:$D$73</definedName>
    <definedName name="OSRRefD21_9x_0" localSheetId="64">'309'!$D$46:$D$47</definedName>
    <definedName name="OSRRefD21_9x_0" localSheetId="63">'310'!$D$65</definedName>
    <definedName name="OSRRefD21_9x_0" localSheetId="71">'310 &amp; 491'!$D$65</definedName>
    <definedName name="OSRRefD21_9x_0" localSheetId="52">'311'!$D$71:$D$73</definedName>
    <definedName name="OSRRefD21_9x_0" localSheetId="57">'315'!$D$79</definedName>
    <definedName name="OSRRefD21_9x_0" localSheetId="60">'316'!$D$63</definedName>
    <definedName name="OSRRefD21_9x_0" localSheetId="62">'317'!$D$70:$D$71</definedName>
    <definedName name="OSRRefD21_9x_0" localSheetId="66">'321'!$D$61:$D$63</definedName>
    <definedName name="OSRRefD21_9x_0" localSheetId="68">'325'!$D$60</definedName>
    <definedName name="OSRRefD21_9x_0" localSheetId="58">'326'!$D$62</definedName>
    <definedName name="OSRRefD21_9x_0" localSheetId="56">'331'!$D$79</definedName>
    <definedName name="OSRRefD21_9x_0" localSheetId="59">'332'!$D$63</definedName>
    <definedName name="OSRRefD21_9x_0" localSheetId="54">'333'!$D$81</definedName>
    <definedName name="OSRRefD21_9x_0" localSheetId="73">'405'!$D$62:$D$63</definedName>
    <definedName name="OSRRefD21_9x_0" localSheetId="75">'411'!$D$57:$D$58</definedName>
    <definedName name="OSRRefD21_9x_0" localSheetId="79">'415'!$D$63</definedName>
    <definedName name="OSRRefD21_9x_0" localSheetId="80">'418'!$D$60:$D$62</definedName>
    <definedName name="OSRRefD21_9x_0" localSheetId="87">'433'!$D$62</definedName>
    <definedName name="OSRRefD21_9x_0" localSheetId="89">'444'!$D$62</definedName>
    <definedName name="OSRRefD21_9x_0" localSheetId="90">'450'!$D$62</definedName>
    <definedName name="OSRRefD21_9x_0" localSheetId="72">'491'!$D$64</definedName>
    <definedName name="OSRRefD21_9x_0" localSheetId="85">'492'!$D$64</definedName>
    <definedName name="OSRRefD21_9x_0" localSheetId="92">'501'!$D$57:$D$59</definedName>
    <definedName name="OSRRefD21_9x_0" localSheetId="39">'Div 2'!$D$57</definedName>
    <definedName name="OSRRefD21_9x_0" localSheetId="47">'Div 3'!$D$97</definedName>
    <definedName name="OSRRefD21_9x_0" localSheetId="70">'Div 4'!$D$67</definedName>
    <definedName name="OSRRefD21_9x_0" localSheetId="91">'Div 5'!$D$57:$D$59</definedName>
    <definedName name="OSRRefD21_9x_0" localSheetId="61">'Div 6'!$D$70:$D$71</definedName>
    <definedName name="OSRRefD21_9x_0" localSheetId="2">Summary!$D$105</definedName>
    <definedName name="OSRRefD21_9x_1" localSheetId="41">'201'!$E$54:$E$56</definedName>
    <definedName name="OSRRefD21_9x_1" localSheetId="42">'202'!$E$56:$E$57</definedName>
    <definedName name="OSRRefD21_9x_1" localSheetId="43">'203'!$E$57:$E$58</definedName>
    <definedName name="OSRRefD21_9x_1" localSheetId="48">'300'!$E$91</definedName>
    <definedName name="OSRRefD21_9x_1" localSheetId="49">'300 &amp; 317'!$E$97</definedName>
    <definedName name="OSRRefD21_9x_1" localSheetId="50">'301'!$E$58</definedName>
    <definedName name="OSRRefD21_9x_1" localSheetId="55">'307'!$E$68:$E$69</definedName>
    <definedName name="OSRRefD21_9x_1" localSheetId="51">'308'!$E$71:$E$73</definedName>
    <definedName name="OSRRefD21_9x_1" localSheetId="64">'309'!$E$46:$E$47</definedName>
    <definedName name="OSRRefD21_9x_1" localSheetId="63">'310'!$E$65</definedName>
    <definedName name="OSRRefD21_9x_1" localSheetId="71">'310 &amp; 491'!$E$65</definedName>
    <definedName name="OSRRefD21_9x_1" localSheetId="52">'311'!$E$71:$E$73</definedName>
    <definedName name="OSRRefD21_9x_1" localSheetId="57">'315'!$E$79</definedName>
    <definedName name="OSRRefD21_9x_1" localSheetId="60">'316'!$E$63</definedName>
    <definedName name="OSRRefD21_9x_1" localSheetId="62">'317'!$E$70:$E$71</definedName>
    <definedName name="OSRRefD21_9x_1" localSheetId="66">'321'!$E$61:$E$63</definedName>
    <definedName name="OSRRefD21_9x_1" localSheetId="68">'325'!$E$60</definedName>
    <definedName name="OSRRefD21_9x_1" localSheetId="58">'326'!$E$62</definedName>
    <definedName name="OSRRefD21_9x_1" localSheetId="56">'331'!$E$79</definedName>
    <definedName name="OSRRefD21_9x_1" localSheetId="59">'332'!$E$63</definedName>
    <definedName name="OSRRefD21_9x_1" localSheetId="54">'333'!$E$81</definedName>
    <definedName name="OSRRefD21_9x_1" localSheetId="73">'405'!$E$62:$E$63</definedName>
    <definedName name="OSRRefD21_9x_1" localSheetId="75">'411'!$E$57:$E$58</definedName>
    <definedName name="OSRRefD21_9x_1" localSheetId="79">'415'!$E$63</definedName>
    <definedName name="OSRRefD21_9x_1" localSheetId="80">'418'!$E$60:$E$62</definedName>
    <definedName name="OSRRefD21_9x_1" localSheetId="87">'433'!$E$62</definedName>
    <definedName name="OSRRefD21_9x_1" localSheetId="89">'444'!$E$62</definedName>
    <definedName name="OSRRefD21_9x_1" localSheetId="90">'450'!$E$62</definedName>
    <definedName name="OSRRefD21_9x_1" localSheetId="72">'491'!$E$64</definedName>
    <definedName name="OSRRefD21_9x_1" localSheetId="85">'492'!$E$64</definedName>
    <definedName name="OSRRefD21_9x_1" localSheetId="92">'501'!$E$57:$E$59</definedName>
    <definedName name="OSRRefD21_9x_1" localSheetId="39">'Div 2'!$E$57</definedName>
    <definedName name="OSRRefD21_9x_1" localSheetId="47">'Div 3'!$E$97</definedName>
    <definedName name="OSRRefD21_9x_1" localSheetId="70">'Div 4'!$E$67</definedName>
    <definedName name="OSRRefD21_9x_1" localSheetId="91">'Div 5'!$E$57:$E$59</definedName>
    <definedName name="OSRRefD21_9x_1" localSheetId="61">'Div 6'!$E$70:$E$71</definedName>
    <definedName name="OSRRefD21_9x_1" localSheetId="2">Summary!$E$105</definedName>
    <definedName name="OSRRefD21_9x_2" localSheetId="41">'201'!$F$54:$F$56</definedName>
    <definedName name="OSRRefD21_9x_2" localSheetId="42">'202'!$F$56:$F$57</definedName>
    <definedName name="OSRRefD21_9x_2" localSheetId="43">'203'!$F$57:$F$58</definedName>
    <definedName name="OSRRefD21_9x_2" localSheetId="48">'300'!$F$91</definedName>
    <definedName name="OSRRefD21_9x_2" localSheetId="49">'300 &amp; 317'!$F$97</definedName>
    <definedName name="OSRRefD21_9x_2" localSheetId="50">'301'!$F$58</definedName>
    <definedName name="OSRRefD21_9x_2" localSheetId="55">'307'!$F$68:$F$69</definedName>
    <definedName name="OSRRefD21_9x_2" localSheetId="51">'308'!$F$71:$F$73</definedName>
    <definedName name="OSRRefD21_9x_2" localSheetId="64">'309'!$F$46:$F$47</definedName>
    <definedName name="OSRRefD21_9x_2" localSheetId="63">'310'!$F$65</definedName>
    <definedName name="OSRRefD21_9x_2" localSheetId="71">'310 &amp; 491'!$F$65</definedName>
    <definedName name="OSRRefD21_9x_2" localSheetId="52">'311'!$F$71:$F$73</definedName>
    <definedName name="OSRRefD21_9x_2" localSheetId="57">'315'!$F$79</definedName>
    <definedName name="OSRRefD21_9x_2" localSheetId="60">'316'!$F$63</definedName>
    <definedName name="OSRRefD21_9x_2" localSheetId="62">'317'!$F$70:$F$71</definedName>
    <definedName name="OSRRefD21_9x_2" localSheetId="66">'321'!$F$61:$F$63</definedName>
    <definedName name="OSRRefD21_9x_2" localSheetId="68">'325'!$F$60</definedName>
    <definedName name="OSRRefD21_9x_2" localSheetId="58">'326'!$F$62</definedName>
    <definedName name="OSRRefD21_9x_2" localSheetId="56">'331'!$F$79</definedName>
    <definedName name="OSRRefD21_9x_2" localSheetId="59">'332'!$F$63</definedName>
    <definedName name="OSRRefD21_9x_2" localSheetId="54">'333'!$F$81</definedName>
    <definedName name="OSRRefD21_9x_2" localSheetId="73">'405'!$F$62:$F$63</definedName>
    <definedName name="OSRRefD21_9x_2" localSheetId="75">'411'!$F$57:$F$58</definedName>
    <definedName name="OSRRefD21_9x_2" localSheetId="79">'415'!$F$63</definedName>
    <definedName name="OSRRefD21_9x_2" localSheetId="80">'418'!$F$60:$F$62</definedName>
    <definedName name="OSRRefD21_9x_2" localSheetId="87">'433'!$F$62</definedName>
    <definedName name="OSRRefD21_9x_2" localSheetId="89">'444'!$F$62</definedName>
    <definedName name="OSRRefD21_9x_2" localSheetId="90">'450'!$F$62</definedName>
    <definedName name="OSRRefD21_9x_2" localSheetId="72">'491'!$F$64</definedName>
    <definedName name="OSRRefD21_9x_2" localSheetId="85">'492'!$F$64</definedName>
    <definedName name="OSRRefD21_9x_2" localSheetId="92">'501'!$F$57:$F$59</definedName>
    <definedName name="OSRRefD21_9x_2" localSheetId="39">'Div 2'!$F$57</definedName>
    <definedName name="OSRRefD21_9x_2" localSheetId="47">'Div 3'!$F$97</definedName>
    <definedName name="OSRRefD21_9x_2" localSheetId="70">'Div 4'!$F$67</definedName>
    <definedName name="OSRRefD21_9x_2" localSheetId="91">'Div 5'!$F$57:$F$59</definedName>
    <definedName name="OSRRefD21_9x_2" localSheetId="61">'Div 6'!$F$70:$F$71</definedName>
    <definedName name="OSRRefD21_9x_2" localSheetId="2">Summary!$F$105</definedName>
    <definedName name="OSRRefD21_9x_3" localSheetId="41">'201'!$G$54:$G$56</definedName>
    <definedName name="OSRRefD21_9x_3" localSheetId="42">'202'!$G$56:$G$57</definedName>
    <definedName name="OSRRefD21_9x_3" localSheetId="43">'203'!$G$57:$G$58</definedName>
    <definedName name="OSRRefD21_9x_3" localSheetId="48">'300'!$G$91</definedName>
    <definedName name="OSRRefD21_9x_3" localSheetId="49">'300 &amp; 317'!$G$97</definedName>
    <definedName name="OSRRefD21_9x_3" localSheetId="50">'301'!$G$58</definedName>
    <definedName name="OSRRefD21_9x_3" localSheetId="55">'307'!$G$68:$G$69</definedName>
    <definedName name="OSRRefD21_9x_3" localSheetId="51">'308'!$G$71:$G$73</definedName>
    <definedName name="OSRRefD21_9x_3" localSheetId="64">'309'!$G$46:$G$47</definedName>
    <definedName name="OSRRefD21_9x_3" localSheetId="63">'310'!$G$65</definedName>
    <definedName name="OSRRefD21_9x_3" localSheetId="71">'310 &amp; 491'!$G$65</definedName>
    <definedName name="OSRRefD21_9x_3" localSheetId="52">'311'!$G$71:$G$73</definedName>
    <definedName name="OSRRefD21_9x_3" localSheetId="57">'315'!$G$79</definedName>
    <definedName name="OSRRefD21_9x_3" localSheetId="60">'316'!$G$63</definedName>
    <definedName name="OSRRefD21_9x_3" localSheetId="62">'317'!$G$70:$G$71</definedName>
    <definedName name="OSRRefD21_9x_3" localSheetId="66">'321'!$G$61:$G$63</definedName>
    <definedName name="OSRRefD21_9x_3" localSheetId="68">'325'!$G$60</definedName>
    <definedName name="OSRRefD21_9x_3" localSheetId="58">'326'!$G$62</definedName>
    <definedName name="OSRRefD21_9x_3" localSheetId="56">'331'!$G$79</definedName>
    <definedName name="OSRRefD21_9x_3" localSheetId="59">'332'!$G$63</definedName>
    <definedName name="OSRRefD21_9x_3" localSheetId="54">'333'!$G$81</definedName>
    <definedName name="OSRRefD21_9x_3" localSheetId="73">'405'!$G$62:$G$63</definedName>
    <definedName name="OSRRefD21_9x_3" localSheetId="75">'411'!$G$57:$G$58</definedName>
    <definedName name="OSRRefD21_9x_3" localSheetId="79">'415'!$G$63</definedName>
    <definedName name="OSRRefD21_9x_3" localSheetId="80">'418'!$G$60:$G$62</definedName>
    <definedName name="OSRRefD21_9x_3" localSheetId="87">'433'!$G$62</definedName>
    <definedName name="OSRRefD21_9x_3" localSheetId="89">'444'!$G$62</definedName>
    <definedName name="OSRRefD21_9x_3" localSheetId="90">'450'!$G$62</definedName>
    <definedName name="OSRRefD21_9x_3" localSheetId="72">'491'!$G$64</definedName>
    <definedName name="OSRRefD21_9x_3" localSheetId="85">'492'!$G$64</definedName>
    <definedName name="OSRRefD21_9x_3" localSheetId="92">'501'!$G$57:$G$59</definedName>
    <definedName name="OSRRefD21_9x_3" localSheetId="39">'Div 2'!$G$57</definedName>
    <definedName name="OSRRefD21_9x_3" localSheetId="47">'Div 3'!$G$97</definedName>
    <definedName name="OSRRefD21_9x_3" localSheetId="70">'Div 4'!$G$67</definedName>
    <definedName name="OSRRefD21_9x_3" localSheetId="91">'Div 5'!$G$57:$G$59</definedName>
    <definedName name="OSRRefD21_9x_3" localSheetId="61">'Div 6'!$G$70:$G$71</definedName>
    <definedName name="OSRRefD21_9x_3" localSheetId="2">Summary!$G$105</definedName>
    <definedName name="OSRRefD21_9x_4" localSheetId="41">'201'!$H$54:$H$56</definedName>
    <definedName name="OSRRefD21_9x_4" localSheetId="42">'202'!$H$56:$H$57</definedName>
    <definedName name="OSRRefD21_9x_4" localSheetId="43">'203'!$H$57:$H$58</definedName>
    <definedName name="OSRRefD21_9x_4" localSheetId="48">'300'!$H$91</definedName>
    <definedName name="OSRRefD21_9x_4" localSheetId="49">'300 &amp; 317'!$H$97</definedName>
    <definedName name="OSRRefD21_9x_4" localSheetId="50">'301'!$H$58</definedName>
    <definedName name="OSRRefD21_9x_4" localSheetId="55">'307'!$H$68:$H$69</definedName>
    <definedName name="OSRRefD21_9x_4" localSheetId="51">'308'!$H$71:$H$73</definedName>
    <definedName name="OSRRefD21_9x_4" localSheetId="64">'309'!$H$46:$H$47</definedName>
    <definedName name="OSRRefD21_9x_4" localSheetId="63">'310'!$H$65</definedName>
    <definedName name="OSRRefD21_9x_4" localSheetId="71">'310 &amp; 491'!$H$65</definedName>
    <definedName name="OSRRefD21_9x_4" localSheetId="52">'311'!$H$71:$H$73</definedName>
    <definedName name="OSRRefD21_9x_4" localSheetId="57">'315'!$H$79</definedName>
    <definedName name="OSRRefD21_9x_4" localSheetId="60">'316'!$H$63</definedName>
    <definedName name="OSRRefD21_9x_4" localSheetId="62">'317'!$H$70:$H$71</definedName>
    <definedName name="OSRRefD21_9x_4" localSheetId="66">'321'!$H$61:$H$63</definedName>
    <definedName name="OSRRefD21_9x_4" localSheetId="68">'325'!$H$60</definedName>
    <definedName name="OSRRefD21_9x_4" localSheetId="58">'326'!$H$62</definedName>
    <definedName name="OSRRefD21_9x_4" localSheetId="56">'331'!$H$79</definedName>
    <definedName name="OSRRefD21_9x_4" localSheetId="59">'332'!$H$63</definedName>
    <definedName name="OSRRefD21_9x_4" localSheetId="54">'333'!$H$81</definedName>
    <definedName name="OSRRefD21_9x_4" localSheetId="73">'405'!$H$62:$H$63</definedName>
    <definedName name="OSRRefD21_9x_4" localSheetId="75">'411'!$H$57:$H$58</definedName>
    <definedName name="OSRRefD21_9x_4" localSheetId="79">'415'!$H$63</definedName>
    <definedName name="OSRRefD21_9x_4" localSheetId="80">'418'!$H$60:$H$62</definedName>
    <definedName name="OSRRefD21_9x_4" localSheetId="87">'433'!$H$62</definedName>
    <definedName name="OSRRefD21_9x_4" localSheetId="89">'444'!$H$62</definedName>
    <definedName name="OSRRefD21_9x_4" localSheetId="90">'450'!$H$62</definedName>
    <definedName name="OSRRefD21_9x_4" localSheetId="72">'491'!$H$64</definedName>
    <definedName name="OSRRefD21_9x_4" localSheetId="85">'492'!$H$64</definedName>
    <definedName name="OSRRefD21_9x_4" localSheetId="92">'501'!$H$57:$H$59</definedName>
    <definedName name="OSRRefD21_9x_4" localSheetId="39">'Div 2'!$H$57</definedName>
    <definedName name="OSRRefD21_9x_4" localSheetId="47">'Div 3'!$H$97</definedName>
    <definedName name="OSRRefD21_9x_4" localSheetId="70">'Div 4'!$H$67</definedName>
    <definedName name="OSRRefD21_9x_4" localSheetId="91">'Div 5'!$H$57:$H$59</definedName>
    <definedName name="OSRRefD21_9x_4" localSheetId="61">'Div 6'!$H$70:$H$71</definedName>
    <definedName name="OSRRefD21_9x_4" localSheetId="2">Summary!$H$105</definedName>
    <definedName name="OSRRefD21_9x_5" localSheetId="41">'201'!$I$54:$I$56</definedName>
    <definedName name="OSRRefD21_9x_5" localSheetId="42">'202'!$I$56:$I$57</definedName>
    <definedName name="OSRRefD21_9x_5" localSheetId="43">'203'!$I$57:$I$58</definedName>
    <definedName name="OSRRefD21_9x_5" localSheetId="48">'300'!$I$91</definedName>
    <definedName name="OSRRefD21_9x_5" localSheetId="49">'300 &amp; 317'!$I$97</definedName>
    <definedName name="OSRRefD21_9x_5" localSheetId="50">'301'!$I$58</definedName>
    <definedName name="OSRRefD21_9x_5" localSheetId="55">'307'!$I$68:$I$69</definedName>
    <definedName name="OSRRefD21_9x_5" localSheetId="51">'308'!$I$71:$I$73</definedName>
    <definedName name="OSRRefD21_9x_5" localSheetId="64">'309'!$I$46:$I$47</definedName>
    <definedName name="OSRRefD21_9x_5" localSheetId="63">'310'!$I$65</definedName>
    <definedName name="OSRRefD21_9x_5" localSheetId="71">'310 &amp; 491'!$I$65</definedName>
    <definedName name="OSRRefD21_9x_5" localSheetId="52">'311'!$I$71:$I$73</definedName>
    <definedName name="OSRRefD21_9x_5" localSheetId="57">'315'!$I$79</definedName>
    <definedName name="OSRRefD21_9x_5" localSheetId="60">'316'!$I$63</definedName>
    <definedName name="OSRRefD21_9x_5" localSheetId="62">'317'!$I$70:$I$71</definedName>
    <definedName name="OSRRefD21_9x_5" localSheetId="66">'321'!$I$61:$I$63</definedName>
    <definedName name="OSRRefD21_9x_5" localSheetId="68">'325'!$I$60</definedName>
    <definedName name="OSRRefD21_9x_5" localSheetId="58">'326'!$I$62</definedName>
    <definedName name="OSRRefD21_9x_5" localSheetId="56">'331'!$I$79</definedName>
    <definedName name="OSRRefD21_9x_5" localSheetId="59">'332'!$I$63</definedName>
    <definedName name="OSRRefD21_9x_5" localSheetId="54">'333'!$I$81</definedName>
    <definedName name="OSRRefD21_9x_5" localSheetId="73">'405'!$I$62:$I$63</definedName>
    <definedName name="OSRRefD21_9x_5" localSheetId="75">'411'!$I$57:$I$58</definedName>
    <definedName name="OSRRefD21_9x_5" localSheetId="79">'415'!$I$63</definedName>
    <definedName name="OSRRefD21_9x_5" localSheetId="80">'418'!$I$60:$I$62</definedName>
    <definedName name="OSRRefD21_9x_5" localSheetId="87">'433'!$I$62</definedName>
    <definedName name="OSRRefD21_9x_5" localSheetId="89">'444'!$I$62</definedName>
    <definedName name="OSRRefD21_9x_5" localSheetId="90">'450'!$I$62</definedName>
    <definedName name="OSRRefD21_9x_5" localSheetId="72">'491'!$I$64</definedName>
    <definedName name="OSRRefD21_9x_5" localSheetId="85">'492'!$I$64</definedName>
    <definedName name="OSRRefD21_9x_5" localSheetId="92">'501'!$I$57:$I$59</definedName>
    <definedName name="OSRRefD21_9x_5" localSheetId="39">'Div 2'!$I$57</definedName>
    <definedName name="OSRRefD21_9x_5" localSheetId="47">'Div 3'!$I$97</definedName>
    <definedName name="OSRRefD21_9x_5" localSheetId="70">'Div 4'!$I$67</definedName>
    <definedName name="OSRRefD21_9x_5" localSheetId="91">'Div 5'!$I$57:$I$59</definedName>
    <definedName name="OSRRefD21_9x_5" localSheetId="61">'Div 6'!$I$70:$I$71</definedName>
    <definedName name="OSRRefD21_9x_5" localSheetId="2">Summary!$I$105</definedName>
    <definedName name="OSRRefD21_9x_6" localSheetId="41">'201'!$J$54:$J$56</definedName>
    <definedName name="OSRRefD21_9x_6" localSheetId="42">'202'!$J$56:$J$57</definedName>
    <definedName name="OSRRefD21_9x_6" localSheetId="43">'203'!$J$57:$J$58</definedName>
    <definedName name="OSRRefD21_9x_6" localSheetId="48">'300'!$J$91</definedName>
    <definedName name="OSRRefD21_9x_6" localSheetId="49">'300 &amp; 317'!$J$97</definedName>
    <definedName name="OSRRefD21_9x_6" localSheetId="50">'301'!$J$58</definedName>
    <definedName name="OSRRefD21_9x_6" localSheetId="55">'307'!$J$68:$J$69</definedName>
    <definedName name="OSRRefD21_9x_6" localSheetId="51">'308'!$J$71:$J$73</definedName>
    <definedName name="OSRRefD21_9x_6" localSheetId="64">'309'!$J$46:$J$47</definedName>
    <definedName name="OSRRefD21_9x_6" localSheetId="63">'310'!$J$65</definedName>
    <definedName name="OSRRefD21_9x_6" localSheetId="71">'310 &amp; 491'!$J$65</definedName>
    <definedName name="OSRRefD21_9x_6" localSheetId="52">'311'!$J$71:$J$73</definedName>
    <definedName name="OSRRefD21_9x_6" localSheetId="57">'315'!$J$79</definedName>
    <definedName name="OSRRefD21_9x_6" localSheetId="60">'316'!$J$63</definedName>
    <definedName name="OSRRefD21_9x_6" localSheetId="62">'317'!$J$70:$J$71</definedName>
    <definedName name="OSRRefD21_9x_6" localSheetId="66">'321'!$J$61:$J$63</definedName>
    <definedName name="OSRRefD21_9x_6" localSheetId="68">'325'!$J$60</definedName>
    <definedName name="OSRRefD21_9x_6" localSheetId="58">'326'!$J$62</definedName>
    <definedName name="OSRRefD21_9x_6" localSheetId="56">'331'!$J$79</definedName>
    <definedName name="OSRRefD21_9x_6" localSheetId="59">'332'!$J$63</definedName>
    <definedName name="OSRRefD21_9x_6" localSheetId="54">'333'!$J$81</definedName>
    <definedName name="OSRRefD21_9x_6" localSheetId="73">'405'!$J$62:$J$63</definedName>
    <definedName name="OSRRefD21_9x_6" localSheetId="75">'411'!$J$57:$J$58</definedName>
    <definedName name="OSRRefD21_9x_6" localSheetId="79">'415'!$J$63</definedName>
    <definedName name="OSRRefD21_9x_6" localSheetId="80">'418'!$J$60:$J$62</definedName>
    <definedName name="OSRRefD21_9x_6" localSheetId="87">'433'!$J$62</definedName>
    <definedName name="OSRRefD21_9x_6" localSheetId="89">'444'!$J$62</definedName>
    <definedName name="OSRRefD21_9x_6" localSheetId="90">'450'!$J$62</definedName>
    <definedName name="OSRRefD21_9x_6" localSheetId="72">'491'!$J$64</definedName>
    <definedName name="OSRRefD21_9x_6" localSheetId="85">'492'!$J$64</definedName>
    <definedName name="OSRRefD21_9x_6" localSheetId="92">'501'!$J$57:$J$59</definedName>
    <definedName name="OSRRefD21_9x_6" localSheetId="39">'Div 2'!$J$57</definedName>
    <definedName name="OSRRefD21_9x_6" localSheetId="47">'Div 3'!$J$97</definedName>
    <definedName name="OSRRefD21_9x_6" localSheetId="70">'Div 4'!$J$67</definedName>
    <definedName name="OSRRefD21_9x_6" localSheetId="91">'Div 5'!$J$57:$J$59</definedName>
    <definedName name="OSRRefD21_9x_6" localSheetId="61">'Div 6'!$J$70:$J$71</definedName>
    <definedName name="OSRRefD21_9x_6" localSheetId="2">Summary!$J$105</definedName>
    <definedName name="OSRRefD21_9x_7" localSheetId="41">'201'!$K$54:$K$56</definedName>
    <definedName name="OSRRefD21_9x_7" localSheetId="42">'202'!$K$56:$K$57</definedName>
    <definedName name="OSRRefD21_9x_7" localSheetId="43">'203'!$K$57:$K$58</definedName>
    <definedName name="OSRRefD21_9x_7" localSheetId="48">'300'!$K$91</definedName>
    <definedName name="OSRRefD21_9x_7" localSheetId="49">'300 &amp; 317'!$K$97</definedName>
    <definedName name="OSRRefD21_9x_7" localSheetId="50">'301'!$K$58</definedName>
    <definedName name="OSRRefD21_9x_7" localSheetId="55">'307'!$K$68:$K$69</definedName>
    <definedName name="OSRRefD21_9x_7" localSheetId="51">'308'!$K$71:$K$73</definedName>
    <definedName name="OSRRefD21_9x_7" localSheetId="64">'309'!$K$46:$K$47</definedName>
    <definedName name="OSRRefD21_9x_7" localSheetId="63">'310'!$K$65</definedName>
    <definedName name="OSRRefD21_9x_7" localSheetId="71">'310 &amp; 491'!$K$65</definedName>
    <definedName name="OSRRefD21_9x_7" localSheetId="52">'311'!$K$71:$K$73</definedName>
    <definedName name="OSRRefD21_9x_7" localSheetId="57">'315'!$K$79</definedName>
    <definedName name="OSRRefD21_9x_7" localSheetId="60">'316'!$K$63</definedName>
    <definedName name="OSRRefD21_9x_7" localSheetId="62">'317'!$K$70:$K$71</definedName>
    <definedName name="OSRRefD21_9x_7" localSheetId="66">'321'!$K$61:$K$63</definedName>
    <definedName name="OSRRefD21_9x_7" localSheetId="68">'325'!$K$60</definedName>
    <definedName name="OSRRefD21_9x_7" localSheetId="58">'326'!$K$62</definedName>
    <definedName name="OSRRefD21_9x_7" localSheetId="56">'331'!$K$79</definedName>
    <definedName name="OSRRefD21_9x_7" localSheetId="59">'332'!$K$63</definedName>
    <definedName name="OSRRefD21_9x_7" localSheetId="54">'333'!$K$81</definedName>
    <definedName name="OSRRefD21_9x_7" localSheetId="73">'405'!$K$62:$K$63</definedName>
    <definedName name="OSRRefD21_9x_7" localSheetId="75">'411'!$K$57:$K$58</definedName>
    <definedName name="OSRRefD21_9x_7" localSheetId="79">'415'!$K$63</definedName>
    <definedName name="OSRRefD21_9x_7" localSheetId="80">'418'!$K$60:$K$62</definedName>
    <definedName name="OSRRefD21_9x_7" localSheetId="87">'433'!$K$62</definedName>
    <definedName name="OSRRefD21_9x_7" localSheetId="89">'444'!$K$62</definedName>
    <definedName name="OSRRefD21_9x_7" localSheetId="90">'450'!$K$62</definedName>
    <definedName name="OSRRefD21_9x_7" localSheetId="72">'491'!$K$64</definedName>
    <definedName name="OSRRefD21_9x_7" localSheetId="85">'492'!$K$64</definedName>
    <definedName name="OSRRefD21_9x_7" localSheetId="92">'501'!$K$57:$K$59</definedName>
    <definedName name="OSRRefD21_9x_7" localSheetId="39">'Div 2'!$K$57</definedName>
    <definedName name="OSRRefD21_9x_7" localSheetId="47">'Div 3'!$K$97</definedName>
    <definedName name="OSRRefD21_9x_7" localSheetId="70">'Div 4'!$K$67</definedName>
    <definedName name="OSRRefD21_9x_7" localSheetId="91">'Div 5'!$K$57:$K$59</definedName>
    <definedName name="OSRRefD21_9x_7" localSheetId="61">'Div 6'!$K$70:$K$71</definedName>
    <definedName name="OSRRefD21_9x_7" localSheetId="2">Summary!$K$105</definedName>
    <definedName name="OSRRefD21_9x_8" localSheetId="41">'201'!$L$54:$L$56</definedName>
    <definedName name="OSRRefD21_9x_8" localSheetId="42">'202'!$L$56:$L$57</definedName>
    <definedName name="OSRRefD21_9x_8" localSheetId="43">'203'!$L$57:$L$58</definedName>
    <definedName name="OSRRefD21_9x_8" localSheetId="48">'300'!$L$91</definedName>
    <definedName name="OSRRefD21_9x_8" localSheetId="49">'300 &amp; 317'!$L$97</definedName>
    <definedName name="OSRRefD21_9x_8" localSheetId="50">'301'!$L$58</definedName>
    <definedName name="OSRRefD21_9x_8" localSheetId="55">'307'!$L$68:$L$69</definedName>
    <definedName name="OSRRefD21_9x_8" localSheetId="51">'308'!$L$71:$L$73</definedName>
    <definedName name="OSRRefD21_9x_8" localSheetId="64">'309'!$L$46:$L$47</definedName>
    <definedName name="OSRRefD21_9x_8" localSheetId="63">'310'!$L$65</definedName>
    <definedName name="OSRRefD21_9x_8" localSheetId="71">'310 &amp; 491'!$L$65</definedName>
    <definedName name="OSRRefD21_9x_8" localSheetId="52">'311'!$L$71:$L$73</definedName>
    <definedName name="OSRRefD21_9x_8" localSheetId="57">'315'!$L$79</definedName>
    <definedName name="OSRRefD21_9x_8" localSheetId="60">'316'!$L$63</definedName>
    <definedName name="OSRRefD21_9x_8" localSheetId="62">'317'!$L$70:$L$71</definedName>
    <definedName name="OSRRefD21_9x_8" localSheetId="66">'321'!$L$61:$L$63</definedName>
    <definedName name="OSRRefD21_9x_8" localSheetId="68">'325'!$L$60</definedName>
    <definedName name="OSRRefD21_9x_8" localSheetId="58">'326'!$L$62</definedName>
    <definedName name="OSRRefD21_9x_8" localSheetId="56">'331'!$L$79</definedName>
    <definedName name="OSRRefD21_9x_8" localSheetId="59">'332'!$L$63</definedName>
    <definedName name="OSRRefD21_9x_8" localSheetId="54">'333'!$L$81</definedName>
    <definedName name="OSRRefD21_9x_8" localSheetId="73">'405'!$L$62:$L$63</definedName>
    <definedName name="OSRRefD21_9x_8" localSheetId="75">'411'!$L$57:$L$58</definedName>
    <definedName name="OSRRefD21_9x_8" localSheetId="79">'415'!$L$63</definedName>
    <definedName name="OSRRefD21_9x_8" localSheetId="80">'418'!$L$60:$L$62</definedName>
    <definedName name="OSRRefD21_9x_8" localSheetId="87">'433'!$L$62</definedName>
    <definedName name="OSRRefD21_9x_8" localSheetId="89">'444'!$L$62</definedName>
    <definedName name="OSRRefD21_9x_8" localSheetId="90">'450'!$L$62</definedName>
    <definedName name="OSRRefD21_9x_8" localSheetId="72">'491'!$L$64</definedName>
    <definedName name="OSRRefD21_9x_8" localSheetId="85">'492'!$L$64</definedName>
    <definedName name="OSRRefD21_9x_8" localSheetId="92">'501'!$L$57:$L$59</definedName>
    <definedName name="OSRRefD21_9x_8" localSheetId="39">'Div 2'!$L$57</definedName>
    <definedName name="OSRRefD21_9x_8" localSheetId="47">'Div 3'!$L$97</definedName>
    <definedName name="OSRRefD21_9x_8" localSheetId="70">'Div 4'!$L$67</definedName>
    <definedName name="OSRRefD21_9x_8" localSheetId="91">'Div 5'!$L$57:$L$59</definedName>
    <definedName name="OSRRefD21_9x_8" localSheetId="61">'Div 6'!$L$70:$L$71</definedName>
    <definedName name="OSRRefD21_9x_8" localSheetId="2">Summary!$L$105</definedName>
    <definedName name="OSRRefD21_9x_9" localSheetId="41">'201'!$M$54:$M$56</definedName>
    <definedName name="OSRRefD21_9x_9" localSheetId="42">'202'!$M$56:$M$57</definedName>
    <definedName name="OSRRefD21_9x_9" localSheetId="43">'203'!$M$57:$M$58</definedName>
    <definedName name="OSRRefD21_9x_9" localSheetId="48">'300'!$M$91</definedName>
    <definedName name="OSRRefD21_9x_9" localSheetId="49">'300 &amp; 317'!$M$97</definedName>
    <definedName name="OSRRefD21_9x_9" localSheetId="50">'301'!$M$58</definedName>
    <definedName name="OSRRefD21_9x_9" localSheetId="55">'307'!$M$68:$M$69</definedName>
    <definedName name="OSRRefD21_9x_9" localSheetId="51">'308'!$M$71:$M$73</definedName>
    <definedName name="OSRRefD21_9x_9" localSheetId="64">'309'!$M$46:$M$47</definedName>
    <definedName name="OSRRefD21_9x_9" localSheetId="63">'310'!$M$65</definedName>
    <definedName name="OSRRefD21_9x_9" localSheetId="71">'310 &amp; 491'!$M$65</definedName>
    <definedName name="OSRRefD21_9x_9" localSheetId="52">'311'!$M$71:$M$73</definedName>
    <definedName name="OSRRefD21_9x_9" localSheetId="57">'315'!$M$79</definedName>
    <definedName name="OSRRefD21_9x_9" localSheetId="60">'316'!$M$63</definedName>
    <definedName name="OSRRefD21_9x_9" localSheetId="62">'317'!$M$70:$M$71</definedName>
    <definedName name="OSRRefD21_9x_9" localSheetId="66">'321'!$M$61:$M$63</definedName>
    <definedName name="OSRRefD21_9x_9" localSheetId="68">'325'!$M$60</definedName>
    <definedName name="OSRRefD21_9x_9" localSheetId="58">'326'!$M$62</definedName>
    <definedName name="OSRRefD21_9x_9" localSheetId="56">'331'!$M$79</definedName>
    <definedName name="OSRRefD21_9x_9" localSheetId="59">'332'!$M$63</definedName>
    <definedName name="OSRRefD21_9x_9" localSheetId="54">'333'!$M$81</definedName>
    <definedName name="OSRRefD21_9x_9" localSheetId="73">'405'!$M$62:$M$63</definedName>
    <definedName name="OSRRefD21_9x_9" localSheetId="75">'411'!$M$57:$M$58</definedName>
    <definedName name="OSRRefD21_9x_9" localSheetId="79">'415'!$M$63</definedName>
    <definedName name="OSRRefD21_9x_9" localSheetId="80">'418'!$M$60:$M$62</definedName>
    <definedName name="OSRRefD21_9x_9" localSheetId="87">'433'!$M$62</definedName>
    <definedName name="OSRRefD21_9x_9" localSheetId="89">'444'!$M$62</definedName>
    <definedName name="OSRRefD21_9x_9" localSheetId="90">'450'!$M$62</definedName>
    <definedName name="OSRRefD21_9x_9" localSheetId="72">'491'!$M$64</definedName>
    <definedName name="OSRRefD21_9x_9" localSheetId="85">'492'!$M$64</definedName>
    <definedName name="OSRRefD21_9x_9" localSheetId="92">'501'!$M$57:$M$59</definedName>
    <definedName name="OSRRefD21_9x_9" localSheetId="39">'Div 2'!$M$57</definedName>
    <definedName name="OSRRefD21_9x_9" localSheetId="47">'Div 3'!$M$97</definedName>
    <definedName name="OSRRefD21_9x_9" localSheetId="70">'Div 4'!$M$67</definedName>
    <definedName name="OSRRefD21_9x_9" localSheetId="91">'Div 5'!$M$57:$M$59</definedName>
    <definedName name="OSRRefD21_9x_9" localSheetId="61">'Div 6'!$M$70:$M$71</definedName>
    <definedName name="OSRRefD21_9x_9" localSheetId="2">Summary!$M$105</definedName>
    <definedName name="OSRRefD23_0x" localSheetId="38">'100'!$D$19:$M$19</definedName>
    <definedName name="OSRRefD23_0x" localSheetId="40">'200'!$D$27:$M$27</definedName>
    <definedName name="OSRRefD23_0x" localSheetId="41">'201'!$D$70:$M$70</definedName>
    <definedName name="OSRRefD23_0x" localSheetId="42">'202'!$D$65:$M$65</definedName>
    <definedName name="OSRRefD23_0x" localSheetId="43">'203'!$D$72:$M$72</definedName>
    <definedName name="OSRRefD23_0x" localSheetId="44">'204'!$D$59:$M$59</definedName>
    <definedName name="OSRRefD23_0x" localSheetId="45">'205'!$D$54:$M$54</definedName>
    <definedName name="OSRRefD23_0x" localSheetId="46">'206'!$D$50:$M$50</definedName>
    <definedName name="OSRRefD23_0x" localSheetId="48">'300'!$D$142:$M$142</definedName>
    <definedName name="OSRRefD23_0x" localSheetId="49">'300 &amp; 317'!$D$148:$M$148</definedName>
    <definedName name="OSRRefD23_0x" localSheetId="50">'301'!$D$96:$M$96</definedName>
    <definedName name="OSRRefD23_0x" localSheetId="55">'307'!$D$83:$M$83</definedName>
    <definedName name="OSRRefD23_0x" localSheetId="51">'308'!$D$86:$M$86</definedName>
    <definedName name="OSRRefD23_0x" localSheetId="64">'309'!$D$56:$M$56</definedName>
    <definedName name="OSRRefD23_0x" localSheetId="63">'310'!$D$93:$M$93</definedName>
    <definedName name="OSRRefD23_0x" localSheetId="71">'310 &amp; 491'!$D$106:$M$106</definedName>
    <definedName name="OSRRefD23_0x" localSheetId="52">'311'!$D$86:$M$86</definedName>
    <definedName name="OSRRefD23_0x" localSheetId="65">'313'!$D$25:$M$25</definedName>
    <definedName name="OSRRefD23_0x" localSheetId="57">'315'!$D$106:$M$106</definedName>
    <definedName name="OSRRefD23_0x" localSheetId="60">'316'!$D$73:$M$73</definedName>
    <definedName name="OSRRefD23_0x" localSheetId="62">'317'!$D$75:$M$75</definedName>
    <definedName name="OSRRefD23_0x" localSheetId="66">'321'!$D$74:$M$74</definedName>
    <definedName name="OSRRefD23_0x" localSheetId="67">'322'!$D$21:$M$21</definedName>
    <definedName name="OSRRefD23_0x" localSheetId="53">'324'!$D$22:$M$22</definedName>
    <definedName name="OSRRefD23_0x" localSheetId="68">'325'!$D$85:$M$85</definedName>
    <definedName name="OSRRefD23_0x" localSheetId="58">'326'!$D$86:$M$86</definedName>
    <definedName name="OSRRefD23_0x" localSheetId="69">'327'!$D$29:$M$29</definedName>
    <definedName name="OSRRefD23_0x" localSheetId="56">'331'!$D$117:$M$117</definedName>
    <definedName name="OSRRefD23_0x" localSheetId="59">'332'!$D$73:$M$73</definedName>
    <definedName name="OSRRefD23_0x" localSheetId="54">'333'!$D$121:$M$121</definedName>
    <definedName name="OSRRefD23_0x" localSheetId="73">'405'!$D$87:$M$87</definedName>
    <definedName name="OSRRefD23_0x" localSheetId="74">'406'!$D$21:$M$21</definedName>
    <definedName name="OSRRefD23_0x" localSheetId="75">'411'!$D$72:$M$72</definedName>
    <definedName name="OSRRefD23_0x" localSheetId="76">'412'!$D$27:$M$27</definedName>
    <definedName name="OSRRefD23_0x" localSheetId="77">'413'!$D$23:$M$23</definedName>
    <definedName name="OSRRefD23_0x" localSheetId="78">'414'!$D$23:$M$23</definedName>
    <definedName name="OSRRefD23_0x" localSheetId="79">'415'!$D$91:$M$91</definedName>
    <definedName name="OSRRefD23_0x" localSheetId="80">'418'!$D$80:$M$80</definedName>
    <definedName name="OSRRefD23_0x" localSheetId="81">'423'!$D$45:$M$45</definedName>
    <definedName name="OSRRefD23_0x" localSheetId="82">'424'!$D$23:$M$23</definedName>
    <definedName name="OSRRefD23_0x" localSheetId="83">'425'!$D$31:$M$31</definedName>
    <definedName name="OSRRefD23_0x" localSheetId="86">'430'!$D$56:$M$56</definedName>
    <definedName name="OSRRefD23_0x" localSheetId="87">'433'!$D$88:$M$88</definedName>
    <definedName name="OSRRefD23_0x" localSheetId="88">'435'!$D$33:$M$33</definedName>
    <definedName name="OSRRefD23_0x" localSheetId="89">'444'!$D$88:$M$88</definedName>
    <definedName name="OSRRefD23_0x" localSheetId="90">'450'!$D$88:$M$88</definedName>
    <definedName name="OSRRefD23_0x" localSheetId="84">'455'!$D$19:$M$19</definedName>
    <definedName name="OSRRefD23_0x" localSheetId="72">'491'!$D$104:$M$104</definedName>
    <definedName name="OSRRefD23_0x" localSheetId="85">'492'!$D$97:$M$97</definedName>
    <definedName name="OSRRefD23_0x" localSheetId="92">'501'!$D$71:$M$71</definedName>
    <definedName name="OSRRefD23_0x" localSheetId="5">'Div 1'!$D$19:$M$19</definedName>
    <definedName name="OSRRefD23_0x" localSheetId="39">'Div 2'!$D$93:$M$93</definedName>
    <definedName name="OSRRefD23_0x" localSheetId="47">'Div 3'!$D$151:$M$151</definedName>
    <definedName name="OSRRefD23_0x" localSheetId="70">'Div 4'!$D$112:$M$112</definedName>
    <definedName name="OSRRefD23_0x" localSheetId="91">'Div 5'!$D$71:$M$71</definedName>
    <definedName name="OSRRefD23_0x" localSheetId="61">'Div 6'!$D$75:$M$75</definedName>
    <definedName name="OSRRefD23_0x" localSheetId="2">Summary!$D$165:$M$165</definedName>
    <definedName name="OSRRefD28_0x" localSheetId="38">'100'!$D$24:$M$24</definedName>
    <definedName name="OSRRefD28_0x" localSheetId="40">'200'!$D$32:$M$32</definedName>
    <definedName name="OSRRefD28_0x" localSheetId="41">'201'!$D$75:$M$75</definedName>
    <definedName name="OSRRefD28_0x" localSheetId="42">'202'!$D$70:$M$70</definedName>
    <definedName name="OSRRefD28_0x" localSheetId="43">'203'!$D$77:$M$77</definedName>
    <definedName name="OSRRefD28_0x" localSheetId="44">'204'!$D$64:$M$64</definedName>
    <definedName name="OSRRefD28_0x" localSheetId="45">'205'!$D$59:$M$59</definedName>
    <definedName name="OSRRefD28_0x" localSheetId="46">'206'!$D$55:$M$55</definedName>
    <definedName name="OSRRefD28_0x" localSheetId="48">'300'!$D$147:$M$147</definedName>
    <definedName name="OSRRefD28_0x" localSheetId="49">'300 &amp; 317'!$D$153:$M$153</definedName>
    <definedName name="OSRRefD28_0x" localSheetId="50">'301'!$D$101:$M$101</definedName>
    <definedName name="OSRRefD28_0x" localSheetId="55">'307'!$D$88:$M$88</definedName>
    <definedName name="OSRRefD28_0x" localSheetId="51">'308'!$D$91:$M$91</definedName>
    <definedName name="OSRRefD28_0x" localSheetId="64">'309'!$D$61:$M$61</definedName>
    <definedName name="OSRRefD28_0x" localSheetId="63">'310'!$D$98:$M$98</definedName>
    <definedName name="OSRRefD28_0x" localSheetId="71">'310 &amp; 491'!$D$111:$M$111</definedName>
    <definedName name="OSRRefD28_0x" localSheetId="52">'311'!$D$91:$M$91</definedName>
    <definedName name="OSRRefD28_0x" localSheetId="65">'313'!$D$30:$M$30</definedName>
    <definedName name="OSRRefD28_0x" localSheetId="57">'315'!$D$111:$M$111</definedName>
    <definedName name="OSRRefD28_0x" localSheetId="60">'316'!$D$78:$M$78</definedName>
    <definedName name="OSRRefD28_0x" localSheetId="62">'317'!$D$80:$M$80</definedName>
    <definedName name="OSRRefD28_0x" localSheetId="66">'321'!$D$79:$M$79</definedName>
    <definedName name="OSRRefD28_0x" localSheetId="67">'322'!$D$26:$M$26</definedName>
    <definedName name="OSRRefD28_0x" localSheetId="53">'324'!$D$27:$M$27</definedName>
    <definedName name="OSRRefD28_0x" localSheetId="68">'325'!$D$90:$M$90</definedName>
    <definedName name="OSRRefD28_0x" localSheetId="58">'326'!$D$91:$M$91</definedName>
    <definedName name="OSRRefD28_0x" localSheetId="69">'327'!$D$34:$M$34</definedName>
    <definedName name="OSRRefD28_0x" localSheetId="56">'331'!$D$122:$M$122</definedName>
    <definedName name="OSRRefD28_0x" localSheetId="59">'332'!$D$78:$M$78</definedName>
    <definedName name="OSRRefD28_0x" localSheetId="54">'333'!$D$126:$M$126</definedName>
    <definedName name="OSRRefD28_0x" localSheetId="73">'405'!$D$92:$M$92</definedName>
    <definedName name="OSRRefD28_0x" localSheetId="74">'406'!$D$26:$M$26</definedName>
    <definedName name="OSRRefD28_0x" localSheetId="75">'411'!$D$77:$M$77</definedName>
    <definedName name="OSRRefD28_0x" localSheetId="76">'412'!$D$32:$M$32</definedName>
    <definedName name="OSRRefD28_0x" localSheetId="77">'413'!$D$28:$M$28</definedName>
    <definedName name="OSRRefD28_0x" localSheetId="78">'414'!$D$28:$M$28</definedName>
    <definedName name="OSRRefD28_0x" localSheetId="79">'415'!$D$96:$M$96</definedName>
    <definedName name="OSRRefD28_0x" localSheetId="80">'418'!$D$85:$M$85</definedName>
    <definedName name="OSRRefD28_0x" localSheetId="81">'423'!$D$50:$M$50</definedName>
    <definedName name="OSRRefD28_0x" localSheetId="82">'424'!$D$28:$M$28</definedName>
    <definedName name="OSRRefD28_0x" localSheetId="83">'425'!$D$36:$M$36</definedName>
    <definedName name="OSRRefD28_0x" localSheetId="86">'430'!$D$61:$M$61</definedName>
    <definedName name="OSRRefD28_0x" localSheetId="87">'433'!$D$93:$M$93</definedName>
    <definedName name="OSRRefD28_0x" localSheetId="88">'435'!$D$38:$M$38</definedName>
    <definedName name="OSRRefD28_0x" localSheetId="89">'444'!$D$93:$M$93</definedName>
    <definedName name="OSRRefD28_0x" localSheetId="90">'450'!$D$93:$M$93</definedName>
    <definedName name="OSRRefD28_0x" localSheetId="84">'455'!$D$24:$M$24</definedName>
    <definedName name="OSRRefD28_0x" localSheetId="72">'491'!$D$109:$M$109</definedName>
    <definedName name="OSRRefD28_0x" localSheetId="85">'492'!$D$102:$M$102</definedName>
    <definedName name="OSRRefD28_0x" localSheetId="92">'501'!$D$76:$M$76</definedName>
    <definedName name="OSRRefD28_0x" localSheetId="47">'Div 3'!$D$156:$M$156</definedName>
    <definedName name="OSRRefD28_0x" localSheetId="70">'Div 4'!$D$117:$M$117</definedName>
    <definedName name="OSRRefD28_0x" localSheetId="91">'Div 5'!$D$76:$M$76</definedName>
    <definedName name="OSRRefD28_0x" localSheetId="61">'Div 6'!$D$80:$M$80</definedName>
    <definedName name="OSRRefD28_0x" localSheetId="2">Summary!$D$170:$M$170</definedName>
    <definedName name="OSRRefD33_0x" localSheetId="38">'100'!$D$29:$M$29</definedName>
    <definedName name="OSRRefD33_0x" localSheetId="5">'Div 1'!$D$28:$M$28</definedName>
    <definedName name="OSRRefD33_0x" localSheetId="2">Summary!$D$175:$M$175</definedName>
    <definedName name="OSRRefD34_0x" localSheetId="38">'100'!$D$30:$M$30</definedName>
    <definedName name="OSRRefD34_0x" localSheetId="5">'Div 1'!$D$29:$M$29</definedName>
    <definedName name="OSRRefD34_0x" localSheetId="2">Summary!$D$176:$M$176</definedName>
    <definedName name="OSRRefE11_0x" localSheetId="48">'300'!$N$11:$O$11</definedName>
    <definedName name="OSRRefE11_0x" localSheetId="49">'300 &amp; 317'!$N$11:$O$11</definedName>
    <definedName name="OSRRefE11_0x" localSheetId="55">'307'!$N$11:$O$11</definedName>
    <definedName name="OSRRefE11_0x" localSheetId="51">'308'!$N$11:$O$11</definedName>
    <definedName name="OSRRefE11_0x" localSheetId="64">'309'!$N$11:$O$11</definedName>
    <definedName name="OSRRefE11_0x" localSheetId="63">'310'!$N$11:$O$11</definedName>
    <definedName name="OSRRefE11_0x" localSheetId="71">'310 &amp; 491'!$N$11:$O$11</definedName>
    <definedName name="OSRRefE11_0x" localSheetId="52">'311'!$N$11:$O$11</definedName>
    <definedName name="OSRRefE11_0x" localSheetId="57">'315'!$N$11:$O$11</definedName>
    <definedName name="OSRRefE11_0x" localSheetId="60">'316'!$N$11:$O$11</definedName>
    <definedName name="OSRRefE11_0x" localSheetId="62">'317'!$N$11:$O$11</definedName>
    <definedName name="OSRRefE11_0x" localSheetId="66">'321'!$N$11:$O$11</definedName>
    <definedName name="OSRRefE11_0x" localSheetId="53">'324'!$N$11:$O$11</definedName>
    <definedName name="OSRRefE11_0x" localSheetId="68">'325'!$N$11:$O$11</definedName>
    <definedName name="OSRRefE11_0x" localSheetId="58">'326'!$N$11:$O$11</definedName>
    <definedName name="OSRRefE11_0x" localSheetId="69">'327'!$N$11:$O$11</definedName>
    <definedName name="OSRRefE11_0x" localSheetId="56">'331'!$N$11:$O$11</definedName>
    <definedName name="OSRRefE11_0x" localSheetId="59">'332'!$N$11:$O$11</definedName>
    <definedName name="OSRRefE11_0x" localSheetId="54">'333'!$N$11:$O$11</definedName>
    <definedName name="OSRRefE11_0x" localSheetId="73">'405'!$N$11:$O$11</definedName>
    <definedName name="OSRRefE11_0x" localSheetId="79">'415'!$N$11:$O$11</definedName>
    <definedName name="OSRRefE11_0x" localSheetId="80">'418'!$N$11:$O$11</definedName>
    <definedName name="OSRRefE11_0x" localSheetId="83">'425'!$N$11:$O$11</definedName>
    <definedName name="OSRRefE11_0x" localSheetId="87">'433'!$N$11:$O$11</definedName>
    <definedName name="OSRRefE11_0x" localSheetId="88">'435'!$N$11:$O$11</definedName>
    <definedName name="OSRRefE11_0x" localSheetId="89">'444'!$N$11:$O$11</definedName>
    <definedName name="OSRRefE11_0x" localSheetId="90">'450'!$N$11:$O$11</definedName>
    <definedName name="OSRRefE11_0x" localSheetId="72">'491'!$N$11:$O$11</definedName>
    <definedName name="OSRRefE11_0x" localSheetId="85">'492'!$N$11:$O$11</definedName>
    <definedName name="OSRRefE11_0x" localSheetId="92">'501'!$N$11:$O$11</definedName>
    <definedName name="OSRRefE11_0x" localSheetId="47">'Div 3'!$N$11:$O$11</definedName>
    <definedName name="OSRRefE11_0x" localSheetId="70">'Div 4'!$N$11:$O$11</definedName>
    <definedName name="OSRRefE11_0x" localSheetId="91">'Div 5'!$N$11:$O$11</definedName>
    <definedName name="OSRRefE11_0x" localSheetId="61">'Div 6'!$N$11:$O$11</definedName>
    <definedName name="OSRRefE11_0x" localSheetId="2">Summary!$N$11:$O$11</definedName>
    <definedName name="OSRRefE11_10x" localSheetId="47">'Div 3'!$N$21:$O$21</definedName>
    <definedName name="OSRRefE11_10x" localSheetId="2">Summary!$N$21:$O$21</definedName>
    <definedName name="OSRRefE11_11x" localSheetId="2">Summary!$N$22:$O$22</definedName>
    <definedName name="OSRRefE11_12x" localSheetId="2">Summary!$N$23:$O$23</definedName>
    <definedName name="OSRRefE11_1x" localSheetId="48">'300'!$N$12:$O$12</definedName>
    <definedName name="OSRRefE11_1x" localSheetId="49">'300 &amp; 317'!$N$12:$O$12</definedName>
    <definedName name="OSRRefE11_1x" localSheetId="55">'307'!$N$12:$O$12</definedName>
    <definedName name="OSRRefE11_1x" localSheetId="51">'308'!$N$12:$O$12</definedName>
    <definedName name="OSRRefE11_1x" localSheetId="64">'309'!$N$12:$O$12</definedName>
    <definedName name="OSRRefE11_1x" localSheetId="63">'310'!$N$12:$O$12</definedName>
    <definedName name="OSRRefE11_1x" localSheetId="71">'310 &amp; 491'!$N$12:$O$12</definedName>
    <definedName name="OSRRefE11_1x" localSheetId="52">'311'!$N$12:$O$12</definedName>
    <definedName name="OSRRefE11_1x" localSheetId="57">'315'!$N$12:$O$12</definedName>
    <definedName name="OSRRefE11_1x" localSheetId="60">'316'!$N$12:$O$12</definedName>
    <definedName name="OSRRefE11_1x" localSheetId="62">'317'!$N$12:$O$12</definedName>
    <definedName name="OSRRefE11_1x" localSheetId="66">'321'!$N$12:$O$12</definedName>
    <definedName name="OSRRefE11_1x" localSheetId="53">'324'!$N$12:$O$12</definedName>
    <definedName name="OSRRefE11_1x" localSheetId="68">'325'!$N$12:$O$12</definedName>
    <definedName name="OSRRefE11_1x" localSheetId="58">'326'!$N$12:$O$12</definedName>
    <definedName name="OSRRefE11_1x" localSheetId="69">'327'!$N$12:$O$12</definedName>
    <definedName name="OSRRefE11_1x" localSheetId="56">'331'!$N$12:$O$12</definedName>
    <definedName name="OSRRefE11_1x" localSheetId="59">'332'!$N$12:$O$12</definedName>
    <definedName name="OSRRefE11_1x" localSheetId="54">'333'!$N$12:$O$12</definedName>
    <definedName name="OSRRefE11_1x" localSheetId="73">'405'!$N$12:$O$12</definedName>
    <definedName name="OSRRefE11_1x" localSheetId="79">'415'!$N$12:$O$12</definedName>
    <definedName name="OSRRefE11_1x" localSheetId="80">'418'!$N$12:$O$12</definedName>
    <definedName name="OSRRefE11_1x" localSheetId="87">'433'!$N$12:$O$12</definedName>
    <definedName name="OSRRefE11_1x" localSheetId="88">'435'!$N$12:$O$12</definedName>
    <definedName name="OSRRefE11_1x" localSheetId="89">'444'!$N$12:$O$12</definedName>
    <definedName name="OSRRefE11_1x" localSheetId="90">'450'!$N$12:$O$12</definedName>
    <definedName name="OSRRefE11_1x" localSheetId="72">'491'!$N$12:$O$12</definedName>
    <definedName name="OSRRefE11_1x" localSheetId="85">'492'!$N$12:$O$12</definedName>
    <definedName name="OSRRefE11_1x" localSheetId="47">'Div 3'!$N$12:$O$12</definedName>
    <definedName name="OSRRefE11_1x" localSheetId="70">'Div 4'!$N$12:$O$12</definedName>
    <definedName name="OSRRefE11_1x" localSheetId="61">'Div 6'!$N$12:$O$12</definedName>
    <definedName name="OSRRefE11_1x" localSheetId="2">Summary!$N$12:$O$12</definedName>
    <definedName name="OSRRefE11_2x" localSheetId="48">'300'!$N$13:$O$13</definedName>
    <definedName name="OSRRefE11_2x" localSheetId="49">'300 &amp; 317'!$N$13:$O$13</definedName>
    <definedName name="OSRRefE11_2x" localSheetId="55">'307'!$N$13:$O$13</definedName>
    <definedName name="OSRRefE11_2x" localSheetId="51">'308'!$N$13:$O$13</definedName>
    <definedName name="OSRRefE11_2x" localSheetId="64">'309'!$N$13:$O$13</definedName>
    <definedName name="OSRRefE11_2x" localSheetId="63">'310'!$N$13:$O$13</definedName>
    <definedName name="OSRRefE11_2x" localSheetId="71">'310 &amp; 491'!$N$13:$O$13</definedName>
    <definedName name="OSRRefE11_2x" localSheetId="52">'311'!$N$13:$O$13</definedName>
    <definedName name="OSRRefE11_2x" localSheetId="57">'315'!$N$13:$O$13</definedName>
    <definedName name="OSRRefE11_2x" localSheetId="60">'316'!$N$13:$O$13</definedName>
    <definedName name="OSRRefE11_2x" localSheetId="62">'317'!$N$13:$O$13</definedName>
    <definedName name="OSRRefE11_2x" localSheetId="58">'326'!$N$13:$O$13</definedName>
    <definedName name="OSRRefE11_2x" localSheetId="69">'327'!$N$13:$O$13</definedName>
    <definedName name="OSRRefE11_2x" localSheetId="56">'331'!$N$13:$O$13</definedName>
    <definedName name="OSRRefE11_2x" localSheetId="59">'332'!$N$13:$O$13</definedName>
    <definedName name="OSRRefE11_2x" localSheetId="54">'333'!$N$13:$O$13</definedName>
    <definedName name="OSRRefE11_2x" localSheetId="73">'405'!$N$13:$O$13</definedName>
    <definedName name="OSRRefE11_2x" localSheetId="79">'415'!$N$13:$O$13</definedName>
    <definedName name="OSRRefE11_2x" localSheetId="87">'433'!$N$13:$O$13</definedName>
    <definedName name="OSRRefE11_2x" localSheetId="89">'444'!$N$13:$O$13</definedName>
    <definedName name="OSRRefE11_2x" localSheetId="90">'450'!$N$13:$O$13</definedName>
    <definedName name="OSRRefE11_2x" localSheetId="72">'491'!$N$13:$O$13</definedName>
    <definedName name="OSRRefE11_2x" localSheetId="85">'492'!$N$13:$O$13</definedName>
    <definedName name="OSRRefE11_2x" localSheetId="47">'Div 3'!$N$13:$O$13</definedName>
    <definedName name="OSRRefE11_2x" localSheetId="70">'Div 4'!$N$13:$O$13</definedName>
    <definedName name="OSRRefE11_2x" localSheetId="61">'Div 6'!$N$13:$O$13</definedName>
    <definedName name="OSRRefE11_2x" localSheetId="2">Summary!$N$13:$O$13</definedName>
    <definedName name="OSRRefE11_3x" localSheetId="48">'300'!$N$14:$O$14</definedName>
    <definedName name="OSRRefE11_3x" localSheetId="49">'300 &amp; 317'!$N$14:$O$14</definedName>
    <definedName name="OSRRefE11_3x" localSheetId="55">'307'!$N$14:$O$14</definedName>
    <definedName name="OSRRefE11_3x" localSheetId="51">'308'!$N$14:$O$14</definedName>
    <definedName name="OSRRefE11_3x" localSheetId="64">'309'!$N$14:$O$14</definedName>
    <definedName name="OSRRefE11_3x" localSheetId="63">'310'!$N$14:$O$14</definedName>
    <definedName name="OSRRefE11_3x" localSheetId="71">'310 &amp; 491'!$N$14:$O$14</definedName>
    <definedName name="OSRRefE11_3x" localSheetId="52">'311'!$N$14:$O$14</definedName>
    <definedName name="OSRRefE11_3x" localSheetId="57">'315'!$N$14:$O$14</definedName>
    <definedName name="OSRRefE11_3x" localSheetId="60">'316'!$N$14:$O$14</definedName>
    <definedName name="OSRRefE11_3x" localSheetId="62">'317'!$N$14:$O$14</definedName>
    <definedName name="OSRRefE11_3x" localSheetId="58">'326'!$N$14:$O$14</definedName>
    <definedName name="OSRRefE11_3x" localSheetId="56">'331'!$N$14:$O$14</definedName>
    <definedName name="OSRRefE11_3x" localSheetId="59">'332'!$N$14:$O$14</definedName>
    <definedName name="OSRRefE11_3x" localSheetId="54">'333'!$N$14:$O$14</definedName>
    <definedName name="OSRRefE11_3x" localSheetId="73">'405'!$N$14:$O$14</definedName>
    <definedName name="OSRRefE11_3x" localSheetId="79">'415'!$N$14:$O$14</definedName>
    <definedName name="OSRRefE11_3x" localSheetId="87">'433'!$N$14:$O$14</definedName>
    <definedName name="OSRRefE11_3x" localSheetId="89">'444'!$N$14:$O$14</definedName>
    <definedName name="OSRRefE11_3x" localSheetId="90">'450'!$N$14:$O$14</definedName>
    <definedName name="OSRRefE11_3x" localSheetId="72">'491'!$N$14:$O$14</definedName>
    <definedName name="OSRRefE11_3x" localSheetId="85">'492'!$N$14:$O$14</definedName>
    <definedName name="OSRRefE11_3x" localSheetId="47">'Div 3'!$N$14:$O$14</definedName>
    <definedName name="OSRRefE11_3x" localSheetId="70">'Div 4'!$N$14:$O$14</definedName>
    <definedName name="OSRRefE11_3x" localSheetId="61">'Div 6'!$N$14:$O$14</definedName>
    <definedName name="OSRRefE11_3x" localSheetId="2">Summary!$N$14:$O$14</definedName>
    <definedName name="OSRRefE11_4x" localSheetId="48">'300'!$N$15:$O$15</definedName>
    <definedName name="OSRRefE11_4x" localSheetId="49">'300 &amp; 317'!$N$15:$O$15</definedName>
    <definedName name="OSRRefE11_4x" localSheetId="51">'308'!$N$15:$O$15</definedName>
    <definedName name="OSRRefE11_4x" localSheetId="63">'310'!$N$15:$O$15</definedName>
    <definedName name="OSRRefE11_4x" localSheetId="71">'310 &amp; 491'!$N$15:$O$15</definedName>
    <definedName name="OSRRefE11_4x" localSheetId="52">'311'!$N$15:$O$15</definedName>
    <definedName name="OSRRefE11_4x" localSheetId="57">'315'!$N$15:$O$15</definedName>
    <definedName name="OSRRefE11_4x" localSheetId="60">'316'!$N$15:$O$15</definedName>
    <definedName name="OSRRefE11_4x" localSheetId="62">'317'!$N$15:$O$15</definedName>
    <definedName name="OSRRefE11_4x" localSheetId="56">'331'!$N$15:$O$15</definedName>
    <definedName name="OSRRefE11_4x" localSheetId="59">'332'!$N$15:$O$15</definedName>
    <definedName name="OSRRefE11_4x" localSheetId="54">'333'!$N$15:$O$15</definedName>
    <definedName name="OSRRefE11_4x" localSheetId="72">'491'!$N$15:$O$15</definedName>
    <definedName name="OSRRefE11_4x" localSheetId="85">'492'!$N$15:$O$15</definedName>
    <definedName name="OSRRefE11_4x" localSheetId="47">'Div 3'!$N$15:$O$15</definedName>
    <definedName name="OSRRefE11_4x" localSheetId="70">'Div 4'!$N$15:$O$15</definedName>
    <definedName name="OSRRefE11_4x" localSheetId="61">'Div 6'!$N$15:$O$15</definedName>
    <definedName name="OSRRefE11_4x" localSheetId="2">Summary!$N$15:$O$15</definedName>
    <definedName name="OSRRefE11_5x" localSheetId="48">'300'!$N$16:$O$16</definedName>
    <definedName name="OSRRefE11_5x" localSheetId="49">'300 &amp; 317'!$N$16:$O$16</definedName>
    <definedName name="OSRRefE11_5x" localSheetId="63">'310'!$N$16:$O$16</definedName>
    <definedName name="OSRRefE11_5x" localSheetId="71">'310 &amp; 491'!$N$16:$O$16</definedName>
    <definedName name="OSRRefE11_5x" localSheetId="85">'492'!$N$16:$O$16</definedName>
    <definedName name="OSRRefE11_5x" localSheetId="47">'Div 3'!$N$16:$O$16</definedName>
    <definedName name="OSRRefE11_5x" localSheetId="70">'Div 4'!$N$16:$O$16</definedName>
    <definedName name="OSRRefE11_5x" localSheetId="2">Summary!$N$16:$O$16</definedName>
    <definedName name="OSRRefE11_6x" localSheetId="48">'300'!$N$17:$O$17</definedName>
    <definedName name="OSRRefE11_6x" localSheetId="49">'300 &amp; 317'!$N$17:$O$17</definedName>
    <definedName name="OSRRefE11_6x" localSheetId="47">'Div 3'!$N$17:$O$17</definedName>
    <definedName name="OSRRefE11_6x" localSheetId="70">'Div 4'!$N$17:$O$17</definedName>
    <definedName name="OSRRefE11_6x" localSheetId="2">Summary!$N$17:$O$17</definedName>
    <definedName name="OSRRefE11_7x" localSheetId="47">'Div 3'!$N$18:$O$18</definedName>
    <definedName name="OSRRefE11_7x" localSheetId="70">'Div 4'!$N$18:$O$18</definedName>
    <definedName name="OSRRefE11_7x" localSheetId="2">Summary!$N$18:$O$18</definedName>
    <definedName name="OSRRefE11_8x" localSheetId="47">'Div 3'!$N$19:$O$19</definedName>
    <definedName name="OSRRefE11_8x" localSheetId="2">Summary!$N$19:$O$19</definedName>
    <definedName name="OSRRefE11_9x" localSheetId="47">'Div 3'!$N$20:$O$20</definedName>
    <definedName name="OSRRefE11_9x" localSheetId="2">Summary!$N$20:$O$20</definedName>
    <definedName name="OSRRefE11x_0" localSheetId="48">'300'!$N$11:$N$17</definedName>
    <definedName name="OSRRefE11x_0" localSheetId="49">'300 &amp; 317'!$N$11:$N$17</definedName>
    <definedName name="OSRRefE11x_0" localSheetId="55">'307'!$N$11:$N$14</definedName>
    <definedName name="OSRRefE11x_0" localSheetId="51">'308'!$N$11:$N$15</definedName>
    <definedName name="OSRRefE11x_0" localSheetId="64">'309'!$N$11:$N$14</definedName>
    <definedName name="OSRRefE11x_0" localSheetId="63">'310'!$N$11:$N$16</definedName>
    <definedName name="OSRRefE11x_0" localSheetId="71">'310 &amp; 491'!$N$11:$N$16</definedName>
    <definedName name="OSRRefE11x_0" localSheetId="52">'311'!$N$11:$N$15</definedName>
    <definedName name="OSRRefE11x_0" localSheetId="57">'315'!$N$11:$N$15</definedName>
    <definedName name="OSRRefE11x_0" localSheetId="60">'316'!$N$11:$N$15</definedName>
    <definedName name="OSRRefE11x_0" localSheetId="62">'317'!$N$11:$N$15</definedName>
    <definedName name="OSRRefE11x_0" localSheetId="66">'321'!$N$11:$N$12</definedName>
    <definedName name="OSRRefE11x_0" localSheetId="53">'324'!$N$11:$N$12</definedName>
    <definedName name="OSRRefE11x_0" localSheetId="68">'325'!$N$11:$N$12</definedName>
    <definedName name="OSRRefE11x_0" localSheetId="58">'326'!$N$11:$N$14</definedName>
    <definedName name="OSRRefE11x_0" localSheetId="69">'327'!$N$11:$N$13</definedName>
    <definedName name="OSRRefE11x_0" localSheetId="56">'331'!$N$11:$N$15</definedName>
    <definedName name="OSRRefE11x_0" localSheetId="59">'332'!$N$11:$N$15</definedName>
    <definedName name="OSRRefE11x_0" localSheetId="54">'333'!$N$11:$N$15</definedName>
    <definedName name="OSRRefE11x_0" localSheetId="73">'405'!$N$11:$N$14</definedName>
    <definedName name="OSRRefE11x_0" localSheetId="79">'415'!$N$11:$N$14</definedName>
    <definedName name="OSRRefE11x_0" localSheetId="80">'418'!$N$11:$N$12</definedName>
    <definedName name="OSRRefE11x_0" localSheetId="83">'425'!$N$11</definedName>
    <definedName name="OSRRefE11x_0" localSheetId="87">'433'!$N$11:$N$14</definedName>
    <definedName name="OSRRefE11x_0" localSheetId="88">'435'!$N$11:$N$12</definedName>
    <definedName name="OSRRefE11x_0" localSheetId="89">'444'!$N$11:$N$14</definedName>
    <definedName name="OSRRefE11x_0" localSheetId="90">'450'!$N$11:$N$14</definedName>
    <definedName name="OSRRefE11x_0" localSheetId="72">'491'!$N$11:$N$15</definedName>
    <definedName name="OSRRefE11x_0" localSheetId="85">'492'!$N$11:$N$16</definedName>
    <definedName name="OSRRefE11x_0" localSheetId="92">'501'!$N$11</definedName>
    <definedName name="OSRRefE11x_0" localSheetId="47">'Div 3'!$N$11:$N$21</definedName>
    <definedName name="OSRRefE11x_0" localSheetId="70">'Div 4'!$N$11:$N$18</definedName>
    <definedName name="OSRRefE11x_0" localSheetId="91">'Div 5'!$N$11</definedName>
    <definedName name="OSRRefE11x_0" localSheetId="61">'Div 6'!$N$11:$N$15</definedName>
    <definedName name="OSRRefE11x_0" localSheetId="2">Summary!$N$11:$N$23</definedName>
    <definedName name="OSRRefE11x_1" localSheetId="48">'300'!$O$11:$O$17</definedName>
    <definedName name="OSRRefE11x_1" localSheetId="49">'300 &amp; 317'!$O$11:$O$17</definedName>
    <definedName name="OSRRefE11x_1" localSheetId="55">'307'!$O$11:$O$14</definedName>
    <definedName name="OSRRefE11x_1" localSheetId="51">'308'!$O$11:$O$15</definedName>
    <definedName name="OSRRefE11x_1" localSheetId="64">'309'!$O$11:$O$14</definedName>
    <definedName name="OSRRefE11x_1" localSheetId="63">'310'!$O$11:$O$16</definedName>
    <definedName name="OSRRefE11x_1" localSheetId="71">'310 &amp; 491'!$O$11:$O$16</definedName>
    <definedName name="OSRRefE11x_1" localSheetId="52">'311'!$O$11:$O$15</definedName>
    <definedName name="OSRRefE11x_1" localSheetId="57">'315'!$O$11:$O$15</definedName>
    <definedName name="OSRRefE11x_1" localSheetId="60">'316'!$O$11:$O$15</definedName>
    <definedName name="OSRRefE11x_1" localSheetId="62">'317'!$O$11:$O$15</definedName>
    <definedName name="OSRRefE11x_1" localSheetId="66">'321'!$O$11:$O$12</definedName>
    <definedName name="OSRRefE11x_1" localSheetId="53">'324'!$O$11:$O$12</definedName>
    <definedName name="OSRRefE11x_1" localSheetId="68">'325'!$O$11:$O$12</definedName>
    <definedName name="OSRRefE11x_1" localSheetId="58">'326'!$O$11:$O$14</definedName>
    <definedName name="OSRRefE11x_1" localSheetId="69">'327'!$O$11:$O$13</definedName>
    <definedName name="OSRRefE11x_1" localSheetId="56">'331'!$O$11:$O$15</definedName>
    <definedName name="OSRRefE11x_1" localSheetId="59">'332'!$O$11:$O$15</definedName>
    <definedName name="OSRRefE11x_1" localSheetId="54">'333'!$O$11:$O$15</definedName>
    <definedName name="OSRRefE11x_1" localSheetId="73">'405'!$O$11:$O$14</definedName>
    <definedName name="OSRRefE11x_1" localSheetId="79">'415'!$O$11:$O$14</definedName>
    <definedName name="OSRRefE11x_1" localSheetId="80">'418'!$O$11:$O$12</definedName>
    <definedName name="OSRRefE11x_1" localSheetId="83">'425'!$O$11</definedName>
    <definedName name="OSRRefE11x_1" localSheetId="87">'433'!$O$11:$O$14</definedName>
    <definedName name="OSRRefE11x_1" localSheetId="88">'435'!$O$11:$O$12</definedName>
    <definedName name="OSRRefE11x_1" localSheetId="89">'444'!$O$11:$O$14</definedName>
    <definedName name="OSRRefE11x_1" localSheetId="90">'450'!$O$11:$O$14</definedName>
    <definedName name="OSRRefE11x_1" localSheetId="72">'491'!$O$11:$O$15</definedName>
    <definedName name="OSRRefE11x_1" localSheetId="85">'492'!$O$11:$O$16</definedName>
    <definedName name="OSRRefE11x_1" localSheetId="92">'501'!$O$11</definedName>
    <definedName name="OSRRefE11x_1" localSheetId="47">'Div 3'!$O$11:$O$21</definedName>
    <definedName name="OSRRefE11x_1" localSheetId="70">'Div 4'!$O$11:$O$18</definedName>
    <definedName name="OSRRefE11x_1" localSheetId="91">'Div 5'!$O$11</definedName>
    <definedName name="OSRRefE11x_1" localSheetId="61">'Div 6'!$O$11:$O$15</definedName>
    <definedName name="OSRRefE11x_1" localSheetId="2">Summary!$O$11:$O$23</definedName>
    <definedName name="OSRRefE14_0x" localSheetId="48">'300'!$N$20:$O$20</definedName>
    <definedName name="OSRRefE14_0x" localSheetId="49">'300 &amp; 317'!$N$20:$O$20</definedName>
    <definedName name="OSRRefE14_0x" localSheetId="50">'301'!$N$13:$O$13</definedName>
    <definedName name="OSRRefE14_0x" localSheetId="55">'307'!$N$17:$O$17</definedName>
    <definedName name="OSRRefE14_0x" localSheetId="51">'308'!$N$18:$O$18</definedName>
    <definedName name="OSRRefE14_0x" localSheetId="64">'309'!$N$17:$O$17</definedName>
    <definedName name="OSRRefE14_0x" localSheetId="63">'310'!$N$19:$O$19</definedName>
    <definedName name="OSRRefE14_0x" localSheetId="71">'310 &amp; 491'!$N$19:$O$19</definedName>
    <definedName name="OSRRefE14_0x" localSheetId="52">'311'!$N$18:$O$18</definedName>
    <definedName name="OSRRefE14_0x" localSheetId="57">'315'!$N$18:$O$18</definedName>
    <definedName name="OSRRefE14_0x" localSheetId="60">'316'!$N$18:$O$18</definedName>
    <definedName name="OSRRefE14_0x" localSheetId="62">'317'!$N$18:$O$18</definedName>
    <definedName name="OSRRefE14_0x" localSheetId="66">'321'!$N$15:$O$15</definedName>
    <definedName name="OSRRefE14_0x" localSheetId="53">'324'!$N$15:$O$15</definedName>
    <definedName name="OSRRefE14_0x" localSheetId="68">'325'!$N$15:$O$15</definedName>
    <definedName name="OSRRefE14_0x" localSheetId="58">'326'!$N$17:$O$17</definedName>
    <definedName name="OSRRefE14_0x" localSheetId="69">'327'!$N$16:$O$16</definedName>
    <definedName name="OSRRefE14_0x" localSheetId="56">'331'!$N$18:$O$18</definedName>
    <definedName name="OSRRefE14_0x" localSheetId="59">'332'!$N$18:$O$18</definedName>
    <definedName name="OSRRefE14_0x" localSheetId="54">'333'!$N$18:$O$18</definedName>
    <definedName name="OSRRefE14_0x" localSheetId="73">'405'!$N$17:$O$17</definedName>
    <definedName name="OSRRefE14_0x" localSheetId="79">'415'!$N$17:$O$17</definedName>
    <definedName name="OSRRefE14_0x" localSheetId="80">'418'!$N$15:$O$15</definedName>
    <definedName name="OSRRefE14_0x" localSheetId="83">'425'!$N$14:$O$14</definedName>
    <definedName name="OSRRefE14_0x" localSheetId="87">'433'!$N$17:$O$17</definedName>
    <definedName name="OSRRefE14_0x" localSheetId="88">'435'!$N$15:$O$15</definedName>
    <definedName name="OSRRefE14_0x" localSheetId="89">'444'!$N$17:$O$17</definedName>
    <definedName name="OSRRefE14_0x" localSheetId="90">'450'!$N$17:$O$17</definedName>
    <definedName name="OSRRefE14_0x" localSheetId="72">'491'!$N$18:$O$18</definedName>
    <definedName name="OSRRefE14_0x" localSheetId="85">'492'!$N$19:$O$19</definedName>
    <definedName name="OSRRefE14_0x" localSheetId="47">'Div 3'!$N$24:$O$24</definedName>
    <definedName name="OSRRefE14_0x" localSheetId="70">'Div 4'!$N$21:$O$21</definedName>
    <definedName name="OSRRefE14_0x" localSheetId="61">'Div 6'!$N$18:$O$18</definedName>
    <definedName name="OSRRefE14_0x" localSheetId="2">Summary!$N$26:$O$26</definedName>
    <definedName name="OSRRefE14_10x" localSheetId="48">'300'!$N$30:$O$30</definedName>
    <definedName name="OSRRefE14_10x" localSheetId="49">'300 &amp; 317'!$N$30:$O$30</definedName>
    <definedName name="OSRRefE14_10x" localSheetId="57">'315'!$N$28:$O$28</definedName>
    <definedName name="OSRRefE14_10x" localSheetId="56">'331'!$N$28:$O$28</definedName>
    <definedName name="OSRRefE14_10x" localSheetId="54">'333'!$N$28:$O$28</definedName>
    <definedName name="OSRRefE14_10x" localSheetId="47">'Div 3'!$N$34:$O$34</definedName>
    <definedName name="OSRRefE14_10x" localSheetId="2">Summary!$N$36:$O$36</definedName>
    <definedName name="OSRRefE14_11x" localSheetId="48">'300'!$N$31:$O$31</definedName>
    <definedName name="OSRRefE14_11x" localSheetId="49">'300 &amp; 317'!$N$31:$O$31</definedName>
    <definedName name="OSRRefE14_11x" localSheetId="57">'315'!$N$29:$O$29</definedName>
    <definedName name="OSRRefE14_11x" localSheetId="56">'331'!$N$29:$O$29</definedName>
    <definedName name="OSRRefE14_11x" localSheetId="54">'333'!$N$29:$O$29</definedName>
    <definedName name="OSRRefE14_11x" localSheetId="47">'Div 3'!$N$35:$O$35</definedName>
    <definedName name="OSRRefE14_11x" localSheetId="2">Summary!$N$37:$O$37</definedName>
    <definedName name="OSRRefE14_12x" localSheetId="48">'300'!$N$32:$O$32</definedName>
    <definedName name="OSRRefE14_12x" localSheetId="49">'300 &amp; 317'!$N$32:$O$32</definedName>
    <definedName name="OSRRefE14_12x" localSheetId="57">'315'!$N$30:$O$30</definedName>
    <definedName name="OSRRefE14_12x" localSheetId="56">'331'!$N$30:$O$30</definedName>
    <definedName name="OSRRefE14_12x" localSheetId="54">'333'!$N$30:$O$30</definedName>
    <definedName name="OSRRefE14_12x" localSheetId="47">'Div 3'!$N$36:$O$36</definedName>
    <definedName name="OSRRefE14_12x" localSheetId="2">Summary!$N$38:$O$38</definedName>
    <definedName name="OSRRefE14_13x" localSheetId="48">'300'!$N$33:$O$33</definedName>
    <definedName name="OSRRefE14_13x" localSheetId="49">'300 &amp; 317'!$N$33:$O$33</definedName>
    <definedName name="OSRRefE14_13x" localSheetId="57">'315'!$N$31:$O$31</definedName>
    <definedName name="OSRRefE14_13x" localSheetId="56">'331'!$N$31:$O$31</definedName>
    <definedName name="OSRRefE14_13x" localSheetId="54">'333'!$N$31:$O$31</definedName>
    <definedName name="OSRRefE14_13x" localSheetId="47">'Div 3'!$N$37:$O$37</definedName>
    <definedName name="OSRRefE14_13x" localSheetId="2">Summary!$N$39:$O$39</definedName>
    <definedName name="OSRRefE14_14x" localSheetId="48">'300'!$N$34:$O$34</definedName>
    <definedName name="OSRRefE14_14x" localSheetId="49">'300 &amp; 317'!$N$34:$O$34</definedName>
    <definedName name="OSRRefE14_14x" localSheetId="57">'315'!$N$32:$O$32</definedName>
    <definedName name="OSRRefE14_14x" localSheetId="56">'331'!$N$32:$O$32</definedName>
    <definedName name="OSRRefE14_14x" localSheetId="54">'333'!$N$32:$O$32</definedName>
    <definedName name="OSRRefE14_14x" localSheetId="47">'Div 3'!$N$38:$O$38</definedName>
    <definedName name="OSRRefE14_14x" localSheetId="2">Summary!$N$40:$O$40</definedName>
    <definedName name="OSRRefE14_15x" localSheetId="48">'300'!$N$35:$O$35</definedName>
    <definedName name="OSRRefE14_15x" localSheetId="49">'300 &amp; 317'!$N$35:$O$35</definedName>
    <definedName name="OSRRefE14_15x" localSheetId="57">'315'!$N$33:$O$33</definedName>
    <definedName name="OSRRefE14_15x" localSheetId="56">'331'!$N$33:$O$33</definedName>
    <definedName name="OSRRefE14_15x" localSheetId="54">'333'!$N$33:$O$33</definedName>
    <definedName name="OSRRefE14_15x" localSheetId="47">'Div 3'!$N$39:$O$39</definedName>
    <definedName name="OSRRefE14_15x" localSheetId="2">Summary!$N$41:$O$41</definedName>
    <definedName name="OSRRefE14_16x" localSheetId="48">'300'!$N$36:$O$36</definedName>
    <definedName name="OSRRefE14_16x" localSheetId="49">'300 &amp; 317'!$N$36:$O$36</definedName>
    <definedName name="OSRRefE14_16x" localSheetId="57">'315'!$N$34:$O$34</definedName>
    <definedName name="OSRRefE14_16x" localSheetId="56">'331'!$N$34:$O$34</definedName>
    <definedName name="OSRRefE14_16x" localSheetId="54">'333'!$N$34:$O$34</definedName>
    <definedName name="OSRRefE14_16x" localSheetId="47">'Div 3'!$N$40:$O$40</definedName>
    <definedName name="OSRRefE14_16x" localSheetId="2">Summary!$N$42:$O$42</definedName>
    <definedName name="OSRRefE14_17x" localSheetId="48">'300'!$N$37:$O$37</definedName>
    <definedName name="OSRRefE14_17x" localSheetId="49">'300 &amp; 317'!$N$37:$O$37</definedName>
    <definedName name="OSRRefE14_17x" localSheetId="57">'315'!$N$35:$O$35</definedName>
    <definedName name="OSRRefE14_17x" localSheetId="56">'331'!$N$35:$O$35</definedName>
    <definedName name="OSRRefE14_17x" localSheetId="54">'333'!$N$35:$O$35</definedName>
    <definedName name="OSRRefE14_17x" localSheetId="47">'Div 3'!$N$41:$O$41</definedName>
    <definedName name="OSRRefE14_17x" localSheetId="2">Summary!$N$43:$O$43</definedName>
    <definedName name="OSRRefE14_18x" localSheetId="48">'300'!$N$38:$O$38</definedName>
    <definedName name="OSRRefE14_18x" localSheetId="49">'300 &amp; 317'!$N$38:$O$38</definedName>
    <definedName name="OSRRefE14_18x" localSheetId="57">'315'!$N$36:$O$36</definedName>
    <definedName name="OSRRefE14_18x" localSheetId="56">'331'!$N$36:$O$36</definedName>
    <definedName name="OSRRefE14_18x" localSheetId="54">'333'!$N$36:$O$36</definedName>
    <definedName name="OSRRefE14_18x" localSheetId="47">'Div 3'!$N$42:$O$42</definedName>
    <definedName name="OSRRefE14_18x" localSheetId="2">Summary!$N$44:$O$44</definedName>
    <definedName name="OSRRefE14_19x" localSheetId="48">'300'!$N$39:$O$39</definedName>
    <definedName name="OSRRefE14_19x" localSheetId="49">'300 &amp; 317'!$N$39:$O$39</definedName>
    <definedName name="OSRRefE14_19x" localSheetId="54">'333'!$N$37:$O$37</definedName>
    <definedName name="OSRRefE14_19x" localSheetId="47">'Div 3'!$N$43:$O$43</definedName>
    <definedName name="OSRRefE14_19x" localSheetId="2">Summary!$N$45:$O$45</definedName>
    <definedName name="OSRRefE14_1x" localSheetId="48">'300'!$N$21:$O$21</definedName>
    <definedName name="OSRRefE14_1x" localSheetId="49">'300 &amp; 317'!$N$21:$O$21</definedName>
    <definedName name="OSRRefE14_1x" localSheetId="55">'307'!$N$18:$O$18</definedName>
    <definedName name="OSRRefE14_1x" localSheetId="51">'308'!$N$19:$O$19</definedName>
    <definedName name="OSRRefE14_1x" localSheetId="64">'309'!$N$18:$O$18</definedName>
    <definedName name="OSRRefE14_1x" localSheetId="63">'310'!$N$20:$O$20</definedName>
    <definedName name="OSRRefE14_1x" localSheetId="71">'310 &amp; 491'!$N$20:$O$20</definedName>
    <definedName name="OSRRefE14_1x" localSheetId="52">'311'!$N$19:$O$19</definedName>
    <definedName name="OSRRefE14_1x" localSheetId="57">'315'!$N$19:$O$19</definedName>
    <definedName name="OSRRefE14_1x" localSheetId="60">'316'!$N$19:$O$19</definedName>
    <definedName name="OSRRefE14_1x" localSheetId="62">'317'!$N$19:$O$19</definedName>
    <definedName name="OSRRefE14_1x" localSheetId="66">'321'!$N$16:$O$16</definedName>
    <definedName name="OSRRefE14_1x" localSheetId="68">'325'!$N$16:$O$16</definedName>
    <definedName name="OSRRefE14_1x" localSheetId="58">'326'!$N$18:$O$18</definedName>
    <definedName name="OSRRefE14_1x" localSheetId="69">'327'!$N$17:$O$17</definedName>
    <definedName name="OSRRefE14_1x" localSheetId="56">'331'!$N$19:$O$19</definedName>
    <definedName name="OSRRefE14_1x" localSheetId="59">'332'!$N$19:$O$19</definedName>
    <definedName name="OSRRefE14_1x" localSheetId="54">'333'!$N$19:$O$19</definedName>
    <definedName name="OSRRefE14_1x" localSheetId="73">'405'!$N$18:$O$18</definedName>
    <definedName name="OSRRefE14_1x" localSheetId="79">'415'!$N$18:$O$18</definedName>
    <definedName name="OSRRefE14_1x" localSheetId="80">'418'!$N$16:$O$16</definedName>
    <definedName name="OSRRefE14_1x" localSheetId="87">'433'!$N$18:$O$18</definedName>
    <definedName name="OSRRefE14_1x" localSheetId="89">'444'!$N$18:$O$18</definedName>
    <definedName name="OSRRefE14_1x" localSheetId="90">'450'!$N$18:$O$18</definedName>
    <definedName name="OSRRefE14_1x" localSheetId="72">'491'!$N$19:$O$19</definedName>
    <definedName name="OSRRefE14_1x" localSheetId="85">'492'!$N$20:$O$20</definedName>
    <definedName name="OSRRefE14_1x" localSheetId="47">'Div 3'!$N$25:$O$25</definedName>
    <definedName name="OSRRefE14_1x" localSheetId="70">'Div 4'!$N$22:$O$22</definedName>
    <definedName name="OSRRefE14_1x" localSheetId="61">'Div 6'!$N$19:$O$19</definedName>
    <definedName name="OSRRefE14_1x" localSheetId="2">Summary!$N$27:$O$27</definedName>
    <definedName name="OSRRefE14_20x" localSheetId="48">'300'!$N$40:$O$40</definedName>
    <definedName name="OSRRefE14_20x" localSheetId="49">'300 &amp; 317'!$N$40:$O$40</definedName>
    <definedName name="OSRRefE14_20x" localSheetId="54">'333'!$N$38:$O$38</definedName>
    <definedName name="OSRRefE14_20x" localSheetId="47">'Div 3'!$N$44:$O$44</definedName>
    <definedName name="OSRRefE14_20x" localSheetId="2">Summary!$N$46:$O$46</definedName>
    <definedName name="OSRRefE14_21x" localSheetId="48">'300'!$N$41:$O$41</definedName>
    <definedName name="OSRRefE14_21x" localSheetId="49">'300 &amp; 317'!$N$41:$O$41</definedName>
    <definedName name="OSRRefE14_21x" localSheetId="47">'Div 3'!$N$45:$O$45</definedName>
    <definedName name="OSRRefE14_21x" localSheetId="2">Summary!$N$47:$O$47</definedName>
    <definedName name="OSRRefE14_22x" localSheetId="48">'300'!$N$42:$O$42</definedName>
    <definedName name="OSRRefE14_22x" localSheetId="49">'300 &amp; 317'!$N$42:$O$42</definedName>
    <definedName name="OSRRefE14_22x" localSheetId="47">'Div 3'!$N$46:$O$46</definedName>
    <definedName name="OSRRefE14_22x" localSheetId="2">Summary!$N$48:$O$48</definedName>
    <definedName name="OSRRefE14_23x" localSheetId="48">'300'!$N$43:$O$43</definedName>
    <definedName name="OSRRefE14_23x" localSheetId="49">'300 &amp; 317'!$N$43:$O$43</definedName>
    <definedName name="OSRRefE14_23x" localSheetId="47">'Div 3'!$N$47:$O$47</definedName>
    <definedName name="OSRRefE14_23x" localSheetId="2">Summary!$N$49:$O$49</definedName>
    <definedName name="OSRRefE14_24x" localSheetId="48">'300'!$N$44:$O$44</definedName>
    <definedName name="OSRRefE14_24x" localSheetId="49">'300 &amp; 317'!$N$44:$O$44</definedName>
    <definedName name="OSRRefE14_24x" localSheetId="47">'Div 3'!$N$48:$O$48</definedName>
    <definedName name="OSRRefE14_24x" localSheetId="2">Summary!$N$50:$O$50</definedName>
    <definedName name="OSRRefE14_25x" localSheetId="48">'300'!$N$45:$O$45</definedName>
    <definedName name="OSRRefE14_25x" localSheetId="49">'300 &amp; 317'!$N$45:$O$45</definedName>
    <definedName name="OSRRefE14_25x" localSheetId="47">'Div 3'!$N$49:$O$49</definedName>
    <definedName name="OSRRefE14_25x" localSheetId="2">Summary!$N$51:$O$51</definedName>
    <definedName name="OSRRefE14_26x" localSheetId="48">'300'!$N$46:$O$46</definedName>
    <definedName name="OSRRefE14_26x" localSheetId="49">'300 &amp; 317'!$N$46:$O$46</definedName>
    <definedName name="OSRRefE14_26x" localSheetId="47">'Div 3'!$N$50:$O$50</definedName>
    <definedName name="OSRRefE14_26x" localSheetId="2">Summary!$N$52:$O$52</definedName>
    <definedName name="OSRRefE14_27x" localSheetId="49">'300 &amp; 317'!$N$47:$O$47</definedName>
    <definedName name="OSRRefE14_27x" localSheetId="47">'Div 3'!$N$51:$O$51</definedName>
    <definedName name="OSRRefE14_27x" localSheetId="2">Summary!$N$53:$O$53</definedName>
    <definedName name="OSRRefE14_28x" localSheetId="49">'300 &amp; 317'!$N$48:$O$48</definedName>
    <definedName name="OSRRefE14_28x" localSheetId="47">'Div 3'!$N$52:$O$52</definedName>
    <definedName name="OSRRefE14_28x" localSheetId="2">Summary!$N$54:$O$54</definedName>
    <definedName name="OSRRefE14_29x" localSheetId="49">'300 &amp; 317'!$N$49:$O$49</definedName>
    <definedName name="OSRRefE14_29x" localSheetId="2">Summary!$N$55:$O$55</definedName>
    <definedName name="OSRRefE14_2x" localSheetId="48">'300'!$N$22:$O$22</definedName>
    <definedName name="OSRRefE14_2x" localSheetId="49">'300 &amp; 317'!$N$22:$O$22</definedName>
    <definedName name="OSRRefE14_2x" localSheetId="55">'307'!$N$19:$O$19</definedName>
    <definedName name="OSRRefE14_2x" localSheetId="51">'308'!$N$20:$O$20</definedName>
    <definedName name="OSRRefE14_2x" localSheetId="63">'310'!$N$21:$O$21</definedName>
    <definedName name="OSRRefE14_2x" localSheetId="71">'310 &amp; 491'!$N$21:$O$21</definedName>
    <definedName name="OSRRefE14_2x" localSheetId="52">'311'!$N$20:$O$20</definedName>
    <definedName name="OSRRefE14_2x" localSheetId="57">'315'!$N$20:$O$20</definedName>
    <definedName name="OSRRefE14_2x" localSheetId="62">'317'!$N$20:$O$20</definedName>
    <definedName name="OSRRefE14_2x" localSheetId="68">'325'!$N$17:$O$17</definedName>
    <definedName name="OSRRefE14_2x" localSheetId="58">'326'!$N$19:$O$19</definedName>
    <definedName name="OSRRefE14_2x" localSheetId="69">'327'!$N$18:$O$18</definedName>
    <definedName name="OSRRefE14_2x" localSheetId="56">'331'!$N$20:$O$20</definedName>
    <definedName name="OSRRefE14_2x" localSheetId="54">'333'!$N$20:$O$20</definedName>
    <definedName name="OSRRefE14_2x" localSheetId="73">'405'!$N$19:$O$19</definedName>
    <definedName name="OSRRefE14_2x" localSheetId="79">'415'!$N$19:$O$19</definedName>
    <definedName name="OSRRefE14_2x" localSheetId="87">'433'!$N$19:$O$19</definedName>
    <definedName name="OSRRefE14_2x" localSheetId="89">'444'!$N$19:$O$19</definedName>
    <definedName name="OSRRefE14_2x" localSheetId="90">'450'!$N$19:$O$19</definedName>
    <definedName name="OSRRefE14_2x" localSheetId="72">'491'!$N$20:$O$20</definedName>
    <definedName name="OSRRefE14_2x" localSheetId="85">'492'!$N$21:$O$21</definedName>
    <definedName name="OSRRefE14_2x" localSheetId="47">'Div 3'!$N$26:$O$26</definedName>
    <definedName name="OSRRefE14_2x" localSheetId="70">'Div 4'!$N$23:$O$23</definedName>
    <definedName name="OSRRefE14_2x" localSheetId="61">'Div 6'!$N$20:$O$20</definedName>
    <definedName name="OSRRefE14_2x" localSheetId="2">Summary!$N$28:$O$28</definedName>
    <definedName name="OSRRefE14_30x" localSheetId="49">'300 &amp; 317'!$N$50:$O$50</definedName>
    <definedName name="OSRRefE14_30x" localSheetId="2">Summary!$N$56:$O$56</definedName>
    <definedName name="OSRRefE14_31x" localSheetId="49">'300 &amp; 317'!$N$51:$O$51</definedName>
    <definedName name="OSRRefE14_31x" localSheetId="2">Summary!$N$57:$O$57</definedName>
    <definedName name="OSRRefE14_32x" localSheetId="49">'300 &amp; 317'!$N$52:$O$52</definedName>
    <definedName name="OSRRefE14_32x" localSheetId="2">Summary!$N$58:$O$58</definedName>
    <definedName name="OSRRefE14_33x" localSheetId="2">Summary!$N$59:$O$59</definedName>
    <definedName name="OSRRefE14_34x" localSheetId="2">Summary!$N$60:$O$60</definedName>
    <definedName name="OSRRefE14_3x" localSheetId="48">'300'!$N$23:$O$23</definedName>
    <definedName name="OSRRefE14_3x" localSheetId="49">'300 &amp; 317'!$N$23:$O$23</definedName>
    <definedName name="OSRRefE14_3x" localSheetId="55">'307'!$N$20:$O$20</definedName>
    <definedName name="OSRRefE14_3x" localSheetId="51">'308'!$N$21:$O$21</definedName>
    <definedName name="OSRRefE14_3x" localSheetId="52">'311'!$N$21:$O$21</definedName>
    <definedName name="OSRRefE14_3x" localSheetId="57">'315'!$N$21:$O$21</definedName>
    <definedName name="OSRRefE14_3x" localSheetId="62">'317'!$N$21:$O$21</definedName>
    <definedName name="OSRRefE14_3x" localSheetId="58">'326'!$N$20:$O$20</definedName>
    <definedName name="OSRRefE14_3x" localSheetId="56">'331'!$N$21:$O$21</definedName>
    <definedName name="OSRRefE14_3x" localSheetId="54">'333'!$N$21:$O$21</definedName>
    <definedName name="OSRRefE14_3x" localSheetId="47">'Div 3'!$N$27:$O$27</definedName>
    <definedName name="OSRRefE14_3x" localSheetId="61">'Div 6'!$N$21:$O$21</definedName>
    <definedName name="OSRRefE14_3x" localSheetId="2">Summary!$N$29:$O$29</definedName>
    <definedName name="OSRRefE14_4x" localSheetId="48">'300'!$N$24:$O$24</definedName>
    <definedName name="OSRRefE14_4x" localSheetId="49">'300 &amp; 317'!$N$24:$O$24</definedName>
    <definedName name="OSRRefE14_4x" localSheetId="55">'307'!$N$21:$O$21</definedName>
    <definedName name="OSRRefE14_4x" localSheetId="51">'308'!$N$22:$O$22</definedName>
    <definedName name="OSRRefE14_4x" localSheetId="52">'311'!$N$22:$O$22</definedName>
    <definedName name="OSRRefE14_4x" localSheetId="57">'315'!$N$22:$O$22</definedName>
    <definedName name="OSRRefE14_4x" localSheetId="62">'317'!$N$22:$O$22</definedName>
    <definedName name="OSRRefE14_4x" localSheetId="56">'331'!$N$22:$O$22</definedName>
    <definedName name="OSRRefE14_4x" localSheetId="54">'333'!$N$22:$O$22</definedName>
    <definedName name="OSRRefE14_4x" localSheetId="47">'Div 3'!$N$28:$O$28</definedName>
    <definedName name="OSRRefE14_4x" localSheetId="61">'Div 6'!$N$22:$O$22</definedName>
    <definedName name="OSRRefE14_4x" localSheetId="2">Summary!$N$30:$O$30</definedName>
    <definedName name="OSRRefE14_5x" localSheetId="48">'300'!$N$25:$O$25</definedName>
    <definedName name="OSRRefE14_5x" localSheetId="49">'300 &amp; 317'!$N$25:$O$25</definedName>
    <definedName name="OSRRefE14_5x" localSheetId="55">'307'!$N$22:$O$22</definedName>
    <definedName name="OSRRefE14_5x" localSheetId="51">'308'!$N$23:$O$23</definedName>
    <definedName name="OSRRefE14_5x" localSheetId="52">'311'!$N$23:$O$23</definedName>
    <definedName name="OSRRefE14_5x" localSheetId="57">'315'!$N$23:$O$23</definedName>
    <definedName name="OSRRefE14_5x" localSheetId="62">'317'!$N$23:$O$23</definedName>
    <definedName name="OSRRefE14_5x" localSheetId="56">'331'!$N$23:$O$23</definedName>
    <definedName name="OSRRefE14_5x" localSheetId="54">'333'!$N$23:$O$23</definedName>
    <definedName name="OSRRefE14_5x" localSheetId="47">'Div 3'!$N$29:$O$29</definedName>
    <definedName name="OSRRefE14_5x" localSheetId="61">'Div 6'!$N$23:$O$23</definedName>
    <definedName name="OSRRefE14_5x" localSheetId="2">Summary!$N$31:$O$31</definedName>
    <definedName name="OSRRefE14_6x" localSheetId="48">'300'!$N$26:$O$26</definedName>
    <definedName name="OSRRefE14_6x" localSheetId="49">'300 &amp; 317'!$N$26:$O$26</definedName>
    <definedName name="OSRRefE14_6x" localSheetId="55">'307'!$N$23:$O$23</definedName>
    <definedName name="OSRRefE14_6x" localSheetId="51">'308'!$N$24:$O$24</definedName>
    <definedName name="OSRRefE14_6x" localSheetId="52">'311'!$N$24:$O$24</definedName>
    <definedName name="OSRRefE14_6x" localSheetId="57">'315'!$N$24:$O$24</definedName>
    <definedName name="OSRRefE14_6x" localSheetId="62">'317'!$N$24:$O$24</definedName>
    <definedName name="OSRRefE14_6x" localSheetId="56">'331'!$N$24:$O$24</definedName>
    <definedName name="OSRRefE14_6x" localSheetId="54">'333'!$N$24:$O$24</definedName>
    <definedName name="OSRRefE14_6x" localSheetId="47">'Div 3'!$N$30:$O$30</definedName>
    <definedName name="OSRRefE14_6x" localSheetId="61">'Div 6'!$N$24:$O$24</definedName>
    <definedName name="OSRRefE14_6x" localSheetId="2">Summary!$N$32:$O$32</definedName>
    <definedName name="OSRRefE14_7x" localSheetId="48">'300'!$N$27:$O$27</definedName>
    <definedName name="OSRRefE14_7x" localSheetId="49">'300 &amp; 317'!$N$27:$O$27</definedName>
    <definedName name="OSRRefE14_7x" localSheetId="55">'307'!$N$24:$O$24</definedName>
    <definedName name="OSRRefE14_7x" localSheetId="51">'308'!$N$25:$O$25</definedName>
    <definedName name="OSRRefE14_7x" localSheetId="52">'311'!$N$25:$O$25</definedName>
    <definedName name="OSRRefE14_7x" localSheetId="57">'315'!$N$25:$O$25</definedName>
    <definedName name="OSRRefE14_7x" localSheetId="62">'317'!$N$25:$O$25</definedName>
    <definedName name="OSRRefE14_7x" localSheetId="56">'331'!$N$25:$O$25</definedName>
    <definedName name="OSRRefE14_7x" localSheetId="54">'333'!$N$25:$O$25</definedName>
    <definedName name="OSRRefE14_7x" localSheetId="47">'Div 3'!$N$31:$O$31</definedName>
    <definedName name="OSRRefE14_7x" localSheetId="61">'Div 6'!$N$25:$O$25</definedName>
    <definedName name="OSRRefE14_7x" localSheetId="2">Summary!$N$33:$O$33</definedName>
    <definedName name="OSRRefE14_8x" localSheetId="48">'300'!$N$28:$O$28</definedName>
    <definedName name="OSRRefE14_8x" localSheetId="49">'300 &amp; 317'!$N$28:$O$28</definedName>
    <definedName name="OSRRefE14_8x" localSheetId="55">'307'!$N$25:$O$25</definedName>
    <definedName name="OSRRefE14_8x" localSheetId="51">'308'!$N$26:$O$26</definedName>
    <definedName name="OSRRefE14_8x" localSheetId="52">'311'!$N$26:$O$26</definedName>
    <definedName name="OSRRefE14_8x" localSheetId="57">'315'!$N$26:$O$26</definedName>
    <definedName name="OSRRefE14_8x" localSheetId="62">'317'!$N$26:$O$26</definedName>
    <definedName name="OSRRefE14_8x" localSheetId="56">'331'!$N$26:$O$26</definedName>
    <definedName name="OSRRefE14_8x" localSheetId="54">'333'!$N$26:$O$26</definedName>
    <definedName name="OSRRefE14_8x" localSheetId="47">'Div 3'!$N$32:$O$32</definedName>
    <definedName name="OSRRefE14_8x" localSheetId="61">'Div 6'!$N$26:$O$26</definedName>
    <definedName name="OSRRefE14_8x" localSheetId="2">Summary!$N$34:$O$34</definedName>
    <definedName name="OSRRefE14_9x" localSheetId="48">'300'!$N$29:$O$29</definedName>
    <definedName name="OSRRefE14_9x" localSheetId="49">'300 &amp; 317'!$N$29:$O$29</definedName>
    <definedName name="OSRRefE14_9x" localSheetId="55">'307'!$N$26:$O$26</definedName>
    <definedName name="OSRRefE14_9x" localSheetId="51">'308'!$N$27:$O$27</definedName>
    <definedName name="OSRRefE14_9x" localSheetId="52">'311'!$N$27:$O$27</definedName>
    <definedName name="OSRRefE14_9x" localSheetId="57">'315'!$N$27:$O$27</definedName>
    <definedName name="OSRRefE14_9x" localSheetId="62">'317'!$N$27:$O$27</definedName>
    <definedName name="OSRRefE14_9x" localSheetId="56">'331'!$N$27:$O$27</definedName>
    <definedName name="OSRRefE14_9x" localSheetId="54">'333'!$N$27:$O$27</definedName>
    <definedName name="OSRRefE14_9x" localSheetId="47">'Div 3'!$N$33:$O$33</definedName>
    <definedName name="OSRRefE14_9x" localSheetId="61">'Div 6'!$N$27:$O$27</definedName>
    <definedName name="OSRRefE14_9x" localSheetId="2">Summary!$N$35:$O$35</definedName>
    <definedName name="OSRRefE14x_0" localSheetId="48">'300'!$N$20:$N$46</definedName>
    <definedName name="OSRRefE14x_0" localSheetId="49">'300 &amp; 317'!$N$20:$N$52</definedName>
    <definedName name="OSRRefE14x_0" localSheetId="50">'301'!$N$13</definedName>
    <definedName name="OSRRefE14x_0" localSheetId="55">'307'!$N$17:$N$26</definedName>
    <definedName name="OSRRefE14x_0" localSheetId="51">'308'!$N$18:$N$27</definedName>
    <definedName name="OSRRefE14x_0" localSheetId="64">'309'!$N$17:$N$18</definedName>
    <definedName name="OSRRefE14x_0" localSheetId="63">'310'!$N$19:$N$21</definedName>
    <definedName name="OSRRefE14x_0" localSheetId="71">'310 &amp; 491'!$N$19:$N$21</definedName>
    <definedName name="OSRRefE14x_0" localSheetId="52">'311'!$N$18:$N$27</definedName>
    <definedName name="OSRRefE14x_0" localSheetId="57">'315'!$N$18:$N$36</definedName>
    <definedName name="OSRRefE14x_0" localSheetId="60">'316'!$N$18:$N$19</definedName>
    <definedName name="OSRRefE14x_0" localSheetId="62">'317'!$N$18:$N$27</definedName>
    <definedName name="OSRRefE14x_0" localSheetId="66">'321'!$N$15:$N$16</definedName>
    <definedName name="OSRRefE14x_0" localSheetId="53">'324'!$N$15</definedName>
    <definedName name="OSRRefE14x_0" localSheetId="68">'325'!$N$15:$N$17</definedName>
    <definedName name="OSRRefE14x_0" localSheetId="58">'326'!$N$17:$N$20</definedName>
    <definedName name="OSRRefE14x_0" localSheetId="69">'327'!$N$16:$N$18</definedName>
    <definedName name="OSRRefE14x_0" localSheetId="56">'331'!$N$18:$N$36</definedName>
    <definedName name="OSRRefE14x_0" localSheetId="59">'332'!$N$18:$N$19</definedName>
    <definedName name="OSRRefE14x_0" localSheetId="54">'333'!$N$18:$N$38</definedName>
    <definedName name="OSRRefE14x_0" localSheetId="73">'405'!$N$17:$N$19</definedName>
    <definedName name="OSRRefE14x_0" localSheetId="79">'415'!$N$17:$N$19</definedName>
    <definedName name="OSRRefE14x_0" localSheetId="80">'418'!$N$15:$N$16</definedName>
    <definedName name="OSRRefE14x_0" localSheetId="83">'425'!$N$14</definedName>
    <definedName name="OSRRefE14x_0" localSheetId="87">'433'!$N$17:$N$19</definedName>
    <definedName name="OSRRefE14x_0" localSheetId="88">'435'!$N$15</definedName>
    <definedName name="OSRRefE14x_0" localSheetId="89">'444'!$N$17:$N$19</definedName>
    <definedName name="OSRRefE14x_0" localSheetId="90">'450'!$N$17:$N$19</definedName>
    <definedName name="OSRRefE14x_0" localSheetId="72">'491'!$N$18:$N$20</definedName>
    <definedName name="OSRRefE14x_0" localSheetId="85">'492'!$N$19:$N$21</definedName>
    <definedName name="OSRRefE14x_0" localSheetId="47">'Div 3'!$N$24:$N$52</definedName>
    <definedName name="OSRRefE14x_0" localSheetId="70">'Div 4'!$N$21:$N$23</definedName>
    <definedName name="OSRRefE14x_0" localSheetId="61">'Div 6'!$N$18:$N$27</definedName>
    <definedName name="OSRRefE14x_0" localSheetId="2">Summary!$N$26:$N$60</definedName>
    <definedName name="OSRRefE14x_1" localSheetId="48">'300'!$O$20:$O$46</definedName>
    <definedName name="OSRRefE14x_1" localSheetId="49">'300 &amp; 317'!$O$20:$O$52</definedName>
    <definedName name="OSRRefE14x_1" localSheetId="50">'301'!$O$13</definedName>
    <definedName name="OSRRefE14x_1" localSheetId="55">'307'!$O$17:$O$26</definedName>
    <definedName name="OSRRefE14x_1" localSheetId="51">'308'!$O$18:$O$27</definedName>
    <definedName name="OSRRefE14x_1" localSheetId="64">'309'!$O$17:$O$18</definedName>
    <definedName name="OSRRefE14x_1" localSheetId="63">'310'!$O$19:$O$21</definedName>
    <definedName name="OSRRefE14x_1" localSheetId="71">'310 &amp; 491'!$O$19:$O$21</definedName>
    <definedName name="OSRRefE14x_1" localSheetId="52">'311'!$O$18:$O$27</definedName>
    <definedName name="OSRRefE14x_1" localSheetId="57">'315'!$O$18:$O$36</definedName>
    <definedName name="OSRRefE14x_1" localSheetId="60">'316'!$O$18:$O$19</definedName>
    <definedName name="OSRRefE14x_1" localSheetId="62">'317'!$O$18:$O$27</definedName>
    <definedName name="OSRRefE14x_1" localSheetId="66">'321'!$O$15:$O$16</definedName>
    <definedName name="OSRRefE14x_1" localSheetId="53">'324'!$O$15</definedName>
    <definedName name="OSRRefE14x_1" localSheetId="68">'325'!$O$15:$O$17</definedName>
    <definedName name="OSRRefE14x_1" localSheetId="58">'326'!$O$17:$O$20</definedName>
    <definedName name="OSRRefE14x_1" localSheetId="69">'327'!$O$16:$O$18</definedName>
    <definedName name="OSRRefE14x_1" localSheetId="56">'331'!$O$18:$O$36</definedName>
    <definedName name="OSRRefE14x_1" localSheetId="59">'332'!$O$18:$O$19</definedName>
    <definedName name="OSRRefE14x_1" localSheetId="54">'333'!$O$18:$O$38</definedName>
    <definedName name="OSRRefE14x_1" localSheetId="73">'405'!$O$17:$O$19</definedName>
    <definedName name="OSRRefE14x_1" localSheetId="79">'415'!$O$17:$O$19</definedName>
    <definedName name="OSRRefE14x_1" localSheetId="80">'418'!$O$15:$O$16</definedName>
    <definedName name="OSRRefE14x_1" localSheetId="83">'425'!$O$14</definedName>
    <definedName name="OSRRefE14x_1" localSheetId="87">'433'!$O$17:$O$19</definedName>
    <definedName name="OSRRefE14x_1" localSheetId="88">'435'!$O$15</definedName>
    <definedName name="OSRRefE14x_1" localSheetId="89">'444'!$O$17:$O$19</definedName>
    <definedName name="OSRRefE14x_1" localSheetId="90">'450'!$O$17:$O$19</definedName>
    <definedName name="OSRRefE14x_1" localSheetId="72">'491'!$O$18:$O$20</definedName>
    <definedName name="OSRRefE14x_1" localSheetId="85">'492'!$O$19:$O$21</definedName>
    <definedName name="OSRRefE14x_1" localSheetId="47">'Div 3'!$O$24:$O$52</definedName>
    <definedName name="OSRRefE14x_1" localSheetId="70">'Div 4'!$O$21:$O$23</definedName>
    <definedName name="OSRRefE14x_1" localSheetId="61">'Div 6'!$O$18:$O$27</definedName>
    <definedName name="OSRRefE14x_1" localSheetId="2">Summary!$O$26:$O$60</definedName>
    <definedName name="OSRRefE20_0x" localSheetId="40">'200'!$N$18:$O$18</definedName>
    <definedName name="OSRRefE20_0x" localSheetId="41">'201'!$N$18:$O$18</definedName>
    <definedName name="OSRRefE20_0x" localSheetId="42">'202'!$N$18:$O$18</definedName>
    <definedName name="OSRRefE20_0x" localSheetId="43">'203'!$N$18:$O$18</definedName>
    <definedName name="OSRRefE20_0x" localSheetId="44">'204'!$N$18:$O$18</definedName>
    <definedName name="OSRRefE20_0x" localSheetId="45">'205'!$N$18:$O$18</definedName>
    <definedName name="OSRRefE20_0x" localSheetId="46">'206'!$N$18:$O$18</definedName>
    <definedName name="OSRRefE20_0x" localSheetId="48">'300'!$N$52:$O$52</definedName>
    <definedName name="OSRRefE20_0x" localSheetId="49">'300 &amp; 317'!$N$58:$O$58</definedName>
    <definedName name="OSRRefE20_0x" localSheetId="50">'301'!$N$19:$O$19</definedName>
    <definedName name="OSRRefE20_0x" localSheetId="55">'307'!$N$32:$O$32</definedName>
    <definedName name="OSRRefE20_0x" localSheetId="51">'308'!$N$33:$O$33</definedName>
    <definedName name="OSRRefE20_0x" localSheetId="64">'309'!$N$24:$O$24</definedName>
    <definedName name="OSRRefE20_0x" localSheetId="63">'310'!$N$27:$O$27</definedName>
    <definedName name="OSRRefE20_0x" localSheetId="71">'310 &amp; 491'!$N$27:$O$27</definedName>
    <definedName name="OSRRefE20_0x" localSheetId="52">'311'!$N$33:$O$33</definedName>
    <definedName name="OSRRefE20_0x" localSheetId="65">'313'!$N$18:$O$18</definedName>
    <definedName name="OSRRefE20_0x" localSheetId="57">'315'!$N$42:$O$42</definedName>
    <definedName name="OSRRefE20_0x" localSheetId="60">'316'!$N$25:$O$25</definedName>
    <definedName name="OSRRefE20_0x" localSheetId="62">'317'!$N$33:$O$33</definedName>
    <definedName name="OSRRefE20_0x" localSheetId="66">'321'!$N$22:$O$22</definedName>
    <definedName name="OSRRefE20_0x" localSheetId="67">'322'!$N$18:$O$18</definedName>
    <definedName name="OSRRefE20_0x" localSheetId="68">'325'!$N$23:$O$23</definedName>
    <definedName name="OSRRefE20_0x" localSheetId="58">'326'!$N$26:$O$26</definedName>
    <definedName name="OSRRefE20_0x" localSheetId="69">'327'!$N$24:$O$24</definedName>
    <definedName name="OSRRefE20_0x" localSheetId="56">'331'!$N$42:$O$42</definedName>
    <definedName name="OSRRefE20_0x" localSheetId="59">'332'!$N$25:$O$25</definedName>
    <definedName name="OSRRefE20_0x" localSheetId="54">'333'!$N$44:$O$44</definedName>
    <definedName name="OSRRefE20_0x" localSheetId="73">'405'!$N$25:$O$25</definedName>
    <definedName name="OSRRefE20_0x" localSheetId="74">'406'!$N$18:$O$18</definedName>
    <definedName name="OSRRefE20_0x" localSheetId="75">'411'!$N$18:$O$18</definedName>
    <definedName name="OSRRefE20_0x" localSheetId="76">'412'!$N$18:$O$18</definedName>
    <definedName name="OSRRefE20_0x" localSheetId="77">'413'!$N$18:$O$18</definedName>
    <definedName name="OSRRefE20_0x" localSheetId="78">'414'!$N$18:$O$18</definedName>
    <definedName name="OSRRefE20_0x" localSheetId="79">'415'!$N$25:$O$25</definedName>
    <definedName name="OSRRefE20_0x" localSheetId="80">'418'!$N$22:$O$22</definedName>
    <definedName name="OSRRefE20_0x" localSheetId="81">'423'!$N$18:$O$18</definedName>
    <definedName name="OSRRefE20_0x" localSheetId="82">'424'!$N$18:$O$18</definedName>
    <definedName name="OSRRefE20_0x" localSheetId="83">'425'!$N$20:$O$20</definedName>
    <definedName name="OSRRefE20_0x" localSheetId="86">'430'!$N$18:$O$18</definedName>
    <definedName name="OSRRefE20_0x" localSheetId="87">'433'!$N$25:$O$25</definedName>
    <definedName name="OSRRefE20_0x" localSheetId="88">'435'!$N$21:$O$21</definedName>
    <definedName name="OSRRefE20_0x" localSheetId="89">'444'!$N$25:$O$25</definedName>
    <definedName name="OSRRefE20_0x" localSheetId="90">'450'!$N$25:$O$25</definedName>
    <definedName name="OSRRefE20_0x" localSheetId="72">'491'!$N$26:$O$26</definedName>
    <definedName name="OSRRefE20_0x" localSheetId="85">'492'!$N$27:$O$27</definedName>
    <definedName name="OSRRefE20_0x" localSheetId="92">'501'!$N$19:$O$19</definedName>
    <definedName name="OSRRefE20_0x" localSheetId="39">'Div 2'!$N$18:$O$18</definedName>
    <definedName name="OSRRefE20_0x" localSheetId="47">'Div 3'!$N$58:$O$58</definedName>
    <definedName name="OSRRefE20_0x" localSheetId="70">'Div 4'!$N$29:$O$29</definedName>
    <definedName name="OSRRefE20_0x" localSheetId="91">'Div 5'!$N$19:$O$19</definedName>
    <definedName name="OSRRefE20_0x" localSheetId="61">'Div 6'!$N$33:$O$33</definedName>
    <definedName name="OSRRefE20_0x" localSheetId="2">Summary!$N$66:$O$66</definedName>
    <definedName name="OSRRefE20_10x" localSheetId="41">'201'!$N$57:$O$57</definedName>
    <definedName name="OSRRefE20_10x" localSheetId="42">'202'!$N$58:$O$58</definedName>
    <definedName name="OSRRefE20_10x" localSheetId="43">'203'!$N$59:$O$59</definedName>
    <definedName name="OSRRefE20_10x" localSheetId="48">'300'!$N$92:$O$92</definedName>
    <definedName name="OSRRefE20_10x" localSheetId="49">'300 &amp; 317'!$N$98:$O$98</definedName>
    <definedName name="OSRRefE20_10x" localSheetId="50">'301'!$N$59:$O$59</definedName>
    <definedName name="OSRRefE20_10x" localSheetId="55">'307'!$N$70:$O$70</definedName>
    <definedName name="OSRRefE20_10x" localSheetId="51">'308'!$N$74:$O$74</definedName>
    <definedName name="OSRRefE20_10x" localSheetId="64">'309'!$N$48:$O$48</definedName>
    <definedName name="OSRRefE20_10x" localSheetId="63">'310'!$N$66:$O$66</definedName>
    <definedName name="OSRRefE20_10x" localSheetId="71">'310 &amp; 491'!$N$66:$O$66</definedName>
    <definedName name="OSRRefE20_10x" localSheetId="52">'311'!$N$74:$O$74</definedName>
    <definedName name="OSRRefE20_10x" localSheetId="57">'315'!$N$80:$O$80</definedName>
    <definedName name="OSRRefE20_10x" localSheetId="60">'316'!$N$64:$O$64</definedName>
    <definedName name="OSRRefE20_10x" localSheetId="62">'317'!$N$72:$O$72</definedName>
    <definedName name="OSRRefE20_10x" localSheetId="66">'321'!$N$64:$O$64</definedName>
    <definedName name="OSRRefE20_10x" localSheetId="68">'325'!$N$61:$O$61</definedName>
    <definedName name="OSRRefE20_10x" localSheetId="58">'326'!$N$63:$O$63</definedName>
    <definedName name="OSRRefE20_10x" localSheetId="56">'331'!$N$80:$O$80</definedName>
    <definedName name="OSRRefE20_10x" localSheetId="59">'332'!$N$64:$O$64</definedName>
    <definedName name="OSRRefE20_10x" localSheetId="54">'333'!$N$82:$O$82</definedName>
    <definedName name="OSRRefE20_10x" localSheetId="73">'405'!$N$64:$O$64</definedName>
    <definedName name="OSRRefE20_10x" localSheetId="75">'411'!$N$59:$O$59</definedName>
    <definedName name="OSRRefE20_10x" localSheetId="79">'415'!$N$64:$O$64</definedName>
    <definedName name="OSRRefE20_10x" localSheetId="80">'418'!$N$63:$O$63</definedName>
    <definedName name="OSRRefE20_10x" localSheetId="87">'433'!$N$63:$O$63</definedName>
    <definedName name="OSRRefE20_10x" localSheetId="89">'444'!$N$63:$O$63</definedName>
    <definedName name="OSRRefE20_10x" localSheetId="90">'450'!$N$63:$O$63</definedName>
    <definedName name="OSRRefE20_10x" localSheetId="72">'491'!$N$65:$O$65</definedName>
    <definedName name="OSRRefE20_10x" localSheetId="85">'492'!$N$65:$O$65</definedName>
    <definedName name="OSRRefE20_10x" localSheetId="92">'501'!$N$60:$O$60</definedName>
    <definedName name="OSRRefE20_10x" localSheetId="39">'Div 2'!$N$58:$O$58</definedName>
    <definedName name="OSRRefE20_10x" localSheetId="47">'Div 3'!$N$98:$O$98</definedName>
    <definedName name="OSRRefE20_10x" localSheetId="70">'Div 4'!$N$68:$O$68</definedName>
    <definedName name="OSRRefE20_10x" localSheetId="91">'Div 5'!$N$60:$O$60</definedName>
    <definedName name="OSRRefE20_10x" localSheetId="61">'Div 6'!$N$72:$O$72</definedName>
    <definedName name="OSRRefE20_10x" localSheetId="2">Summary!$N$106:$O$106</definedName>
    <definedName name="OSRRefE20_11x" localSheetId="41">'201'!$N$60:$O$60</definedName>
    <definedName name="OSRRefE20_11x" localSheetId="42">'202'!$N$60:$O$60</definedName>
    <definedName name="OSRRefE20_11x" localSheetId="43">'203'!$N$62:$O$62</definedName>
    <definedName name="OSRRefE20_11x" localSheetId="48">'300'!$N$95:$O$95</definedName>
    <definedName name="OSRRefE20_11x" localSheetId="49">'300 &amp; 317'!$N$101:$O$101</definedName>
    <definedName name="OSRRefE20_11x" localSheetId="50">'301'!$N$61:$O$61</definedName>
    <definedName name="OSRRefE20_11x" localSheetId="55">'307'!$N$73:$O$73</definedName>
    <definedName name="OSRRefE20_11x" localSheetId="51">'308'!$N$77:$O$77</definedName>
    <definedName name="OSRRefE20_11x" localSheetId="64">'309'!$N$51:$O$51</definedName>
    <definedName name="OSRRefE20_11x" localSheetId="63">'310'!$N$68:$O$68</definedName>
    <definedName name="OSRRefE20_11x" localSheetId="71">'310 &amp; 491'!$N$68:$O$68</definedName>
    <definedName name="OSRRefE20_11x" localSheetId="52">'311'!$N$77:$O$77</definedName>
    <definedName name="OSRRefE20_11x" localSheetId="57">'315'!$N$82:$O$82</definedName>
    <definedName name="OSRRefE20_11x" localSheetId="60">'316'!$N$70:$O$70</definedName>
    <definedName name="OSRRefE20_11x" localSheetId="66">'321'!$N$69:$O$69</definedName>
    <definedName name="OSRRefE20_11x" localSheetId="68">'325'!$N$63:$O$63</definedName>
    <definedName name="OSRRefE20_11x" localSheetId="58">'326'!$N$65:$O$65</definedName>
    <definedName name="OSRRefE20_11x" localSheetId="56">'331'!$N$82:$O$82</definedName>
    <definedName name="OSRRefE20_11x" localSheetId="59">'332'!$N$70:$O$70</definedName>
    <definedName name="OSRRefE20_11x" localSheetId="54">'333'!$N$84:$O$84</definedName>
    <definedName name="OSRRefE20_11x" localSheetId="73">'405'!$N$68:$O$68</definedName>
    <definedName name="OSRRefE20_11x" localSheetId="75">'411'!$N$61:$O$61</definedName>
    <definedName name="OSRRefE20_11x" localSheetId="79">'415'!$N$66:$O$66</definedName>
    <definedName name="OSRRefE20_11x" localSheetId="80">'418'!$N$65:$O$65</definedName>
    <definedName name="OSRRefE20_11x" localSheetId="87">'433'!$N$65:$O$65</definedName>
    <definedName name="OSRRefE20_11x" localSheetId="89">'444'!$N$65:$O$65</definedName>
    <definedName name="OSRRefE20_11x" localSheetId="90">'450'!$N$65:$O$65</definedName>
    <definedName name="OSRRefE20_11x" localSheetId="72">'491'!$N$67:$O$67</definedName>
    <definedName name="OSRRefE20_11x" localSheetId="85">'492'!$N$67:$O$67</definedName>
    <definedName name="OSRRefE20_11x" localSheetId="92">'501'!$N$62:$O$62</definedName>
    <definedName name="OSRRefE20_11x" localSheetId="39">'Div 2'!$N$60:$O$60</definedName>
    <definedName name="OSRRefE20_11x" localSheetId="47">'Div 3'!$N$101:$O$101</definedName>
    <definedName name="OSRRefE20_11x" localSheetId="70">'Div 4'!$N$70:$O$70</definedName>
    <definedName name="OSRRefE20_11x" localSheetId="91">'Div 5'!$N$62:$O$62</definedName>
    <definedName name="OSRRefE20_11x" localSheetId="2">Summary!$N$109:$O$109</definedName>
    <definedName name="OSRRefE20_12x" localSheetId="41">'201'!$N$62:$O$62</definedName>
    <definedName name="OSRRefE20_12x" localSheetId="42">'202'!$N$62:$O$62</definedName>
    <definedName name="OSRRefE20_12x" localSheetId="43">'203'!$N$67:$O$67</definedName>
    <definedName name="OSRRefE20_12x" localSheetId="48">'300'!$N$97:$O$97</definedName>
    <definedName name="OSRRefE20_12x" localSheetId="49">'300 &amp; 317'!$N$103:$O$103</definedName>
    <definedName name="OSRRefE20_12x" localSheetId="50">'301'!$N$63:$O$63</definedName>
    <definedName name="OSRRefE20_12x" localSheetId="55">'307'!$N$75:$O$75</definedName>
    <definedName name="OSRRefE20_12x" localSheetId="51">'308'!$N$80:$O$80</definedName>
    <definedName name="OSRRefE20_12x" localSheetId="64">'309'!$N$53:$O$53</definedName>
    <definedName name="OSRRefE20_12x" localSheetId="63">'310'!$N$71:$O$71</definedName>
    <definedName name="OSRRefE20_12x" localSheetId="71">'310 &amp; 491'!$N$70:$O$70</definedName>
    <definedName name="OSRRefE20_12x" localSheetId="52">'311'!$N$80:$O$80</definedName>
    <definedName name="OSRRefE20_12x" localSheetId="57">'315'!$N$84:$O$84</definedName>
    <definedName name="OSRRefE20_12x" localSheetId="66">'321'!$N$71:$O$71</definedName>
    <definedName name="OSRRefE20_12x" localSheetId="68">'325'!$N$66:$O$66</definedName>
    <definedName name="OSRRefE20_12x" localSheetId="58">'326'!$N$68:$O$68</definedName>
    <definedName name="OSRRefE20_12x" localSheetId="56">'331'!$N$84:$O$84</definedName>
    <definedName name="OSRRefE20_12x" localSheetId="54">'333'!$N$86:$O$86</definedName>
    <definedName name="OSRRefE20_12x" localSheetId="73">'405'!$N$70:$O$70</definedName>
    <definedName name="OSRRefE20_12x" localSheetId="75">'411'!$N$64:$O$64</definedName>
    <definedName name="OSRRefE20_12x" localSheetId="79">'415'!$N$69:$O$69</definedName>
    <definedName name="OSRRefE20_12x" localSheetId="80">'418'!$N$72:$O$72</definedName>
    <definedName name="OSRRefE20_12x" localSheetId="87">'433'!$N$69:$O$69</definedName>
    <definedName name="OSRRefE20_12x" localSheetId="89">'444'!$N$68:$O$68</definedName>
    <definedName name="OSRRefE20_12x" localSheetId="90">'450'!$N$68:$O$68</definedName>
    <definedName name="OSRRefE20_12x" localSheetId="72">'491'!$N$69:$O$69</definedName>
    <definedName name="OSRRefE20_12x" localSheetId="85">'492'!$N$69:$O$69</definedName>
    <definedName name="OSRRefE20_12x" localSheetId="92">'501'!$N$66:$O$66</definedName>
    <definedName name="OSRRefE20_12x" localSheetId="39">'Div 2'!$N$62:$O$62</definedName>
    <definedName name="OSRRefE20_12x" localSheetId="47">'Div 3'!$N$103:$O$103</definedName>
    <definedName name="OSRRefE20_12x" localSheetId="70">'Div 4'!$N$72:$O$72</definedName>
    <definedName name="OSRRefE20_12x" localSheetId="91">'Div 5'!$N$66:$O$66</definedName>
    <definedName name="OSRRefE20_12x" localSheetId="2">Summary!$N$111:$O$111</definedName>
    <definedName name="OSRRefE20_13x" localSheetId="41">'201'!$N$65:$O$65</definedName>
    <definedName name="OSRRefE20_13x" localSheetId="43">'203'!$N$69:$O$69</definedName>
    <definedName name="OSRRefE20_13x" localSheetId="48">'300'!$N$99:$O$99</definedName>
    <definedName name="OSRRefE20_13x" localSheetId="49">'300 &amp; 317'!$N$105:$O$105</definedName>
    <definedName name="OSRRefE20_13x" localSheetId="50">'301'!$N$65:$O$65</definedName>
    <definedName name="OSRRefE20_13x" localSheetId="55">'307'!$N$80:$O$80</definedName>
    <definedName name="OSRRefE20_13x" localSheetId="51">'308'!$N$83:$O$83</definedName>
    <definedName name="OSRRefE20_13x" localSheetId="63">'310'!$N$74:$O$74</definedName>
    <definedName name="OSRRefE20_13x" localSheetId="71">'310 &amp; 491'!$N$74:$O$74</definedName>
    <definedName name="OSRRefE20_13x" localSheetId="52">'311'!$N$83:$O$83</definedName>
    <definedName name="OSRRefE20_13x" localSheetId="57">'315'!$N$87:$O$87</definedName>
    <definedName name="OSRRefE20_13x" localSheetId="68">'325'!$N$70:$O$70</definedName>
    <definedName name="OSRRefE20_13x" localSheetId="58">'326'!$N$71:$O$71</definedName>
    <definedName name="OSRRefE20_13x" localSheetId="56">'331'!$N$86:$O$86</definedName>
    <definedName name="OSRRefE20_13x" localSheetId="54">'333'!$N$88:$O$88</definedName>
    <definedName name="OSRRefE20_13x" localSheetId="73">'405'!$N$80:$O$80</definedName>
    <definedName name="OSRRefE20_13x" localSheetId="75">'411'!$N$66:$O$66</definedName>
    <definedName name="OSRRefE20_13x" localSheetId="79">'415'!$N$74:$O$74</definedName>
    <definedName name="OSRRefE20_13x" localSheetId="80">'418'!$N$75:$O$75</definedName>
    <definedName name="OSRRefE20_13x" localSheetId="87">'433'!$N$74:$O$74</definedName>
    <definedName name="OSRRefE20_13x" localSheetId="89">'444'!$N$73:$O$73</definedName>
    <definedName name="OSRRefE20_13x" localSheetId="90">'450'!$N$73:$O$73</definedName>
    <definedName name="OSRRefE20_13x" localSheetId="72">'491'!$N$73:$O$73</definedName>
    <definedName name="OSRRefE20_13x" localSheetId="85">'492'!$N$73:$O$73</definedName>
    <definedName name="OSRRefE20_13x" localSheetId="92">'501'!$N$68:$O$68</definedName>
    <definedName name="OSRRefE20_13x" localSheetId="39">'Div 2'!$N$67:$O$67</definedName>
    <definedName name="OSRRefE20_13x" localSheetId="47">'Div 3'!$N$105:$O$105</definedName>
    <definedName name="OSRRefE20_13x" localSheetId="70">'Div 4'!$N$74:$O$74</definedName>
    <definedName name="OSRRefE20_13x" localSheetId="91">'Div 5'!$N$68:$O$68</definedName>
    <definedName name="OSRRefE20_13x" localSheetId="2">Summary!$N$113:$O$113</definedName>
    <definedName name="OSRRefE20_14x" localSheetId="41">'201'!$N$67:$O$67</definedName>
    <definedName name="OSRRefE20_14x" localSheetId="48">'300'!$N$101:$O$101</definedName>
    <definedName name="OSRRefE20_14x" localSheetId="49">'300 &amp; 317'!$N$107:$O$107</definedName>
    <definedName name="OSRRefE20_14x" localSheetId="50">'301'!$N$67:$O$67</definedName>
    <definedName name="OSRRefE20_14x" localSheetId="63">'310'!$N$78:$O$78</definedName>
    <definedName name="OSRRefE20_14x" localSheetId="71">'310 &amp; 491'!$N$77:$O$77</definedName>
    <definedName name="OSRRefE20_14x" localSheetId="57">'315'!$N$91:$O$91</definedName>
    <definedName name="OSRRefE20_14x" localSheetId="68">'325'!$N$77:$O$77</definedName>
    <definedName name="OSRRefE20_14x" localSheetId="58">'326'!$N$74:$O$74</definedName>
    <definedName name="OSRRefE20_14x" localSheetId="56">'331'!$N$88:$O$88</definedName>
    <definedName name="OSRRefE20_14x" localSheetId="54">'333'!$N$90:$O$90</definedName>
    <definedName name="OSRRefE20_14x" localSheetId="73">'405'!$N$82:$O$82</definedName>
    <definedName name="OSRRefE20_14x" localSheetId="75">'411'!$N$69:$O$69</definedName>
    <definedName name="OSRRefE20_14x" localSheetId="79">'415'!$N$76:$O$76</definedName>
    <definedName name="OSRRefE20_14x" localSheetId="80">'418'!$N$77:$O$77</definedName>
    <definedName name="OSRRefE20_14x" localSheetId="87">'433'!$N$83:$O$83</definedName>
    <definedName name="OSRRefE20_14x" localSheetId="89">'444'!$N$83:$O$83</definedName>
    <definedName name="OSRRefE20_14x" localSheetId="90">'450'!$N$81:$O$81</definedName>
    <definedName name="OSRRefE20_14x" localSheetId="72">'491'!$N$75:$O$75</definedName>
    <definedName name="OSRRefE20_14x" localSheetId="85">'492'!$N$78:$O$78</definedName>
    <definedName name="OSRRefE20_14x" localSheetId="39">'Div 2'!$N$72:$O$72</definedName>
    <definedName name="OSRRefE20_14x" localSheetId="47">'Div 3'!$N$107:$O$107</definedName>
    <definedName name="OSRRefE20_14x" localSheetId="70">'Div 4'!$N$76:$O$76</definedName>
    <definedName name="OSRRefE20_14x" localSheetId="2">Summary!$N$115:$O$115</definedName>
    <definedName name="OSRRefE20_15x" localSheetId="48">'300'!$N$103:$O$103</definedName>
    <definedName name="OSRRefE20_15x" localSheetId="49">'300 &amp; 317'!$N$109:$O$109</definedName>
    <definedName name="OSRRefE20_15x" localSheetId="50">'301'!$N$69:$O$69</definedName>
    <definedName name="OSRRefE20_15x" localSheetId="63">'310'!$N$85:$O$85</definedName>
    <definedName name="OSRRefE20_15x" localSheetId="71">'310 &amp; 491'!$N$83:$O$83</definedName>
    <definedName name="OSRRefE20_15x" localSheetId="57">'315'!$N$94:$O$94</definedName>
    <definedName name="OSRRefE20_15x" localSheetId="68">'325'!$N$80:$O$80</definedName>
    <definedName name="OSRRefE20_15x" localSheetId="58">'326'!$N$78:$O$78</definedName>
    <definedName name="OSRRefE20_15x" localSheetId="56">'331'!$N$91:$O$91</definedName>
    <definedName name="OSRRefE20_15x" localSheetId="54">'333'!$N$93:$O$93</definedName>
    <definedName name="OSRRefE20_15x" localSheetId="73">'405'!$N$84:$O$84</definedName>
    <definedName name="OSRRefE20_15x" localSheetId="79">'415'!$N$83:$O$83</definedName>
    <definedName name="OSRRefE20_15x" localSheetId="87">'433'!$N$85:$O$85</definedName>
    <definedName name="OSRRefE20_15x" localSheetId="89">'444'!$N$85:$O$85</definedName>
    <definedName name="OSRRefE20_15x" localSheetId="90">'450'!$N$83:$O$83</definedName>
    <definedName name="OSRRefE20_15x" localSheetId="72">'491'!$N$81:$O$81</definedName>
    <definedName name="OSRRefE20_15x" localSheetId="85">'492'!$N$88:$O$88</definedName>
    <definedName name="OSRRefE20_15x" localSheetId="39">'Div 2'!$N$75:$O$75</definedName>
    <definedName name="OSRRefE20_15x" localSheetId="47">'Div 3'!$N$109:$O$109</definedName>
    <definedName name="OSRRefE20_15x" localSheetId="70">'Div 4'!$N$80:$O$80</definedName>
    <definedName name="OSRRefE20_15x" localSheetId="2">Summary!$N$117:$O$117</definedName>
    <definedName name="OSRRefE20_16x" localSheetId="48">'300'!$N$105:$O$105</definedName>
    <definedName name="OSRRefE20_16x" localSheetId="49">'300 &amp; 317'!$N$111:$O$111</definedName>
    <definedName name="OSRRefE20_16x" localSheetId="50">'301'!$N$74:$O$74</definedName>
    <definedName name="OSRRefE20_16x" localSheetId="63">'310'!$N$88:$O$88</definedName>
    <definedName name="OSRRefE20_16x" localSheetId="71">'310 &amp; 491'!$N$85:$O$85</definedName>
    <definedName name="OSRRefE20_16x" localSheetId="57">'315'!$N$99:$O$99</definedName>
    <definedName name="OSRRefE20_16x" localSheetId="68">'325'!$N$82:$O$82</definedName>
    <definedName name="OSRRefE20_16x" localSheetId="58">'326'!$N$80:$O$80</definedName>
    <definedName name="OSRRefE20_16x" localSheetId="56">'331'!$N$95:$O$95</definedName>
    <definedName name="OSRRefE20_16x" localSheetId="54">'333'!$N$97:$O$97</definedName>
    <definedName name="OSRRefE20_16x" localSheetId="79">'415'!$N$86:$O$86</definedName>
    <definedName name="OSRRefE20_16x" localSheetId="90">'450'!$N$85:$O$85</definedName>
    <definedName name="OSRRefE20_16x" localSheetId="72">'491'!$N$83:$O$83</definedName>
    <definedName name="OSRRefE20_16x" localSheetId="85">'492'!$N$91:$O$91</definedName>
    <definedName name="OSRRefE20_16x" localSheetId="39">'Div 2'!$N$78:$O$78</definedName>
    <definedName name="OSRRefE20_16x" localSheetId="47">'Div 3'!$N$111:$O$111</definedName>
    <definedName name="OSRRefE20_16x" localSheetId="70">'Div 4'!$N$82:$O$82</definedName>
    <definedName name="OSRRefE20_16x" localSheetId="2">Summary!$N$119:$O$119</definedName>
    <definedName name="OSRRefE20_17x" localSheetId="48">'300'!$N$110:$O$110</definedName>
    <definedName name="OSRRefE20_17x" localSheetId="49">'300 &amp; 317'!$N$116:$O$116</definedName>
    <definedName name="OSRRefE20_17x" localSheetId="50">'301'!$N$77:$O$77</definedName>
    <definedName name="OSRRefE20_17x" localSheetId="63">'310'!$N$90:$O$90</definedName>
    <definedName name="OSRRefE20_17x" localSheetId="71">'310 &amp; 491'!$N$95:$O$95</definedName>
    <definedName name="OSRRefE20_17x" localSheetId="57">'315'!$N$101:$O$101</definedName>
    <definedName name="OSRRefE20_17x" localSheetId="58">'326'!$N$83:$O$83</definedName>
    <definedName name="OSRRefE20_17x" localSheetId="56">'331'!$N$98:$O$98</definedName>
    <definedName name="OSRRefE20_17x" localSheetId="54">'333'!$N$101:$O$101</definedName>
    <definedName name="OSRRefE20_17x" localSheetId="79">'415'!$N$88:$O$88</definedName>
    <definedName name="OSRRefE20_17x" localSheetId="72">'491'!$N$93:$O$93</definedName>
    <definedName name="OSRRefE20_17x" localSheetId="85">'492'!$N$93:$O$93</definedName>
    <definedName name="OSRRefE20_17x" localSheetId="39">'Div 2'!$N$84:$O$84</definedName>
    <definedName name="OSRRefE20_17x" localSheetId="47">'Div 3'!$N$113:$O$113</definedName>
    <definedName name="OSRRefE20_17x" localSheetId="70">'Div 4'!$N$88:$O$88</definedName>
    <definedName name="OSRRefE20_17x" localSheetId="2">Summary!$N$121:$O$121</definedName>
    <definedName name="OSRRefE20_18x" localSheetId="48">'300'!$N$115:$O$115</definedName>
    <definedName name="OSRRefE20_18x" localSheetId="49">'300 &amp; 317'!$N$121:$O$121</definedName>
    <definedName name="OSRRefE20_18x" localSheetId="50">'301'!$N$79:$O$79</definedName>
    <definedName name="OSRRefE20_18x" localSheetId="71">'310 &amp; 491'!$N$98:$O$98</definedName>
    <definedName name="OSRRefE20_18x" localSheetId="57">'315'!$N$103:$O$103</definedName>
    <definedName name="OSRRefE20_18x" localSheetId="56">'331'!$N$101:$O$101</definedName>
    <definedName name="OSRRefE20_18x" localSheetId="54">'333'!$N$104:$O$104</definedName>
    <definedName name="OSRRefE20_18x" localSheetId="72">'491'!$N$96:$O$96</definedName>
    <definedName name="OSRRefE20_18x" localSheetId="39">'Div 2'!$N$87:$O$87</definedName>
    <definedName name="OSRRefE20_18x" localSheetId="47">'Div 3'!$N$118:$O$118</definedName>
    <definedName name="OSRRefE20_18x" localSheetId="70">'Div 4'!$N$90:$O$90</definedName>
    <definedName name="OSRRefE20_18x" localSheetId="2">Summary!$N$123:$O$123</definedName>
    <definedName name="OSRRefE20_19x" localSheetId="48">'300'!$N$119:$O$119</definedName>
    <definedName name="OSRRefE20_19x" localSheetId="49">'300 &amp; 317'!$N$125:$O$125</definedName>
    <definedName name="OSRRefE20_19x" localSheetId="50">'301'!$N$86:$O$86</definedName>
    <definedName name="OSRRefE20_19x" localSheetId="71">'310 &amp; 491'!$N$100:$O$100</definedName>
    <definedName name="OSRRefE20_19x" localSheetId="56">'331'!$N$107:$O$107</definedName>
    <definedName name="OSRRefE20_19x" localSheetId="54">'333'!$N$111:$O$111</definedName>
    <definedName name="OSRRefE20_19x" localSheetId="72">'491'!$N$98:$O$98</definedName>
    <definedName name="OSRRefE20_19x" localSheetId="39">'Div 2'!$N$89:$O$89</definedName>
    <definedName name="OSRRefE20_19x" localSheetId="47">'Div 3'!$N$123:$O$123</definedName>
    <definedName name="OSRRefE20_19x" localSheetId="70">'Div 4'!$N$101:$O$101</definedName>
    <definedName name="OSRRefE20_19x" localSheetId="2">Summary!$N$128:$O$128</definedName>
    <definedName name="OSRRefE20_1x" localSheetId="40">'200'!$N$20:$O$20</definedName>
    <definedName name="OSRRefE20_1x" localSheetId="41">'201'!$N$28:$O$28</definedName>
    <definedName name="OSRRefE20_1x" localSheetId="42">'202'!$N$28:$O$28</definedName>
    <definedName name="OSRRefE20_1x" localSheetId="43">'203'!$N$29:$O$29</definedName>
    <definedName name="OSRRefE20_1x" localSheetId="44">'204'!$N$28:$O$28</definedName>
    <definedName name="OSRRefE20_1x" localSheetId="45">'205'!$N$28:$O$28</definedName>
    <definedName name="OSRRefE20_1x" localSheetId="46">'206'!$N$28:$O$28</definedName>
    <definedName name="OSRRefE20_1x" localSheetId="48">'300'!$N$63:$O$63</definedName>
    <definedName name="OSRRefE20_1x" localSheetId="49">'300 &amp; 317'!$N$69:$O$69</definedName>
    <definedName name="OSRRefE20_1x" localSheetId="50">'301'!$N$30:$O$30</definedName>
    <definedName name="OSRRefE20_1x" localSheetId="55">'307'!$N$42:$O$42</definedName>
    <definedName name="OSRRefE20_1x" localSheetId="51">'308'!$N$44:$O$44</definedName>
    <definedName name="OSRRefE20_1x" localSheetId="64">'309'!$N$27:$O$27</definedName>
    <definedName name="OSRRefE20_1x" localSheetId="63">'310'!$N$38:$O$38</definedName>
    <definedName name="OSRRefE20_1x" localSheetId="71">'310 &amp; 491'!$N$38:$O$38</definedName>
    <definedName name="OSRRefE20_1x" localSheetId="52">'311'!$N$44:$O$44</definedName>
    <definedName name="OSRRefE20_1x" localSheetId="65">'313'!$N$20:$O$20</definedName>
    <definedName name="OSRRefE20_1x" localSheetId="57">'315'!$N$52:$O$52</definedName>
    <definedName name="OSRRefE20_1x" localSheetId="60">'316'!$N$35:$O$35</definedName>
    <definedName name="OSRRefE20_1x" localSheetId="62">'317'!$N$44:$O$44</definedName>
    <definedName name="OSRRefE20_1x" localSheetId="66">'321'!$N$33:$O$33</definedName>
    <definedName name="OSRRefE20_1x" localSheetId="68">'325'!$N$33:$O$33</definedName>
    <definedName name="OSRRefE20_1x" localSheetId="58">'326'!$N$36:$O$36</definedName>
    <definedName name="OSRRefE20_1x" localSheetId="69">'327'!$N$26:$O$26</definedName>
    <definedName name="OSRRefE20_1x" localSheetId="56">'331'!$N$52:$O$52</definedName>
    <definedName name="OSRRefE20_1x" localSheetId="59">'332'!$N$35:$O$35</definedName>
    <definedName name="OSRRefE20_1x" localSheetId="54">'333'!$N$54:$O$54</definedName>
    <definedName name="OSRRefE20_1x" localSheetId="73">'405'!$N$35:$O$35</definedName>
    <definedName name="OSRRefE20_1x" localSheetId="75">'411'!$N$28:$O$28</definedName>
    <definedName name="OSRRefE20_1x" localSheetId="76">'412'!$N$20:$O$20</definedName>
    <definedName name="OSRRefE20_1x" localSheetId="77">'413'!$N$20:$O$20</definedName>
    <definedName name="OSRRefE20_1x" localSheetId="78">'414'!$N$20:$O$20</definedName>
    <definedName name="OSRRefE20_1x" localSheetId="79">'415'!$N$36:$O$36</definedName>
    <definedName name="OSRRefE20_1x" localSheetId="80">'418'!$N$32:$O$32</definedName>
    <definedName name="OSRRefE20_1x" localSheetId="81">'423'!$N$27:$O$27</definedName>
    <definedName name="OSRRefE20_1x" localSheetId="82">'424'!$N$20:$O$20</definedName>
    <definedName name="OSRRefE20_1x" localSheetId="83">'425'!$N$22:$O$22</definedName>
    <definedName name="OSRRefE20_1x" localSheetId="86">'430'!$N$28:$O$28</definedName>
    <definedName name="OSRRefE20_1x" localSheetId="87">'433'!$N$36:$O$36</definedName>
    <definedName name="OSRRefE20_1x" localSheetId="88">'435'!$N$24:$O$24</definedName>
    <definedName name="OSRRefE20_1x" localSheetId="89">'444'!$N$36:$O$36</definedName>
    <definedName name="OSRRefE20_1x" localSheetId="90">'450'!$N$36:$O$36</definedName>
    <definedName name="OSRRefE20_1x" localSheetId="72">'491'!$N$37:$O$37</definedName>
    <definedName name="OSRRefE20_1x" localSheetId="85">'492'!$N$38:$O$38</definedName>
    <definedName name="OSRRefE20_1x" localSheetId="92">'501'!$N$30:$O$30</definedName>
    <definedName name="OSRRefE20_1x" localSheetId="39">'Div 2'!$N$30:$O$30</definedName>
    <definedName name="OSRRefE20_1x" localSheetId="47">'Div 3'!$N$69:$O$69</definedName>
    <definedName name="OSRRefE20_1x" localSheetId="70">'Div 4'!$N$40:$O$40</definedName>
    <definedName name="OSRRefE20_1x" localSheetId="91">'Div 5'!$N$30:$O$30</definedName>
    <definedName name="OSRRefE20_1x" localSheetId="61">'Div 6'!$N$44:$O$44</definedName>
    <definedName name="OSRRefE20_1x" localSheetId="2">Summary!$N$77:$O$77</definedName>
    <definedName name="OSRRefE20_20x" localSheetId="48">'300'!$N$122:$O$122</definedName>
    <definedName name="OSRRefE20_20x" localSheetId="49">'300 &amp; 317'!$N$128:$O$128</definedName>
    <definedName name="OSRRefE20_20x" localSheetId="50">'301'!$N$88:$O$88</definedName>
    <definedName name="OSRRefE20_20x" localSheetId="71">'310 &amp; 491'!$N$103:$O$103</definedName>
    <definedName name="OSRRefE20_20x" localSheetId="56">'331'!$N$109:$O$109</definedName>
    <definedName name="OSRRefE20_20x" localSheetId="54">'333'!$N$113:$O$113</definedName>
    <definedName name="OSRRefE20_20x" localSheetId="72">'491'!$N$101:$O$101</definedName>
    <definedName name="OSRRefE20_20x" localSheetId="47">'Div 3'!$N$128:$O$128</definedName>
    <definedName name="OSRRefE20_20x" localSheetId="70">'Div 4'!$N$104:$O$104</definedName>
    <definedName name="OSRRefE20_20x" localSheetId="2">Summary!$N$133:$O$133</definedName>
    <definedName name="OSRRefE20_21x" localSheetId="48">'300'!$N$130:$O$130</definedName>
    <definedName name="OSRRefE20_21x" localSheetId="49">'300 &amp; 317'!$N$136:$O$136</definedName>
    <definedName name="OSRRefE20_21x" localSheetId="50">'301'!$N$90:$O$90</definedName>
    <definedName name="OSRRefE20_21x" localSheetId="56">'331'!$N$111:$O$111</definedName>
    <definedName name="OSRRefE20_21x" localSheetId="54">'333'!$N$115:$O$115</definedName>
    <definedName name="OSRRefE20_21x" localSheetId="47">'Div 3'!$N$131:$O$131</definedName>
    <definedName name="OSRRefE20_21x" localSheetId="70">'Div 4'!$N$106:$O$106</definedName>
    <definedName name="OSRRefE20_21x" localSheetId="2">Summary!$N$139:$O$139</definedName>
    <definedName name="OSRRefE20_22x" localSheetId="48">'300'!$N$133:$O$133</definedName>
    <definedName name="OSRRefE20_22x" localSheetId="49">'300 &amp; 317'!$N$139:$O$139</definedName>
    <definedName name="OSRRefE20_22x" localSheetId="50">'301'!$N$93:$O$93</definedName>
    <definedName name="OSRRefE20_22x" localSheetId="56">'331'!$N$114:$O$114</definedName>
    <definedName name="OSRRefE20_22x" localSheetId="54">'333'!$N$118:$O$118</definedName>
    <definedName name="OSRRefE20_22x" localSheetId="47">'Div 3'!$N$139:$O$139</definedName>
    <definedName name="OSRRefE20_22x" localSheetId="70">'Div 4'!$N$109:$O$109</definedName>
    <definedName name="OSRRefE20_22x" localSheetId="2">Summary!$N$142:$O$142</definedName>
    <definedName name="OSRRefE20_23x" localSheetId="48">'300'!$N$135:$O$135</definedName>
    <definedName name="OSRRefE20_23x" localSheetId="49">'300 &amp; 317'!$N$141:$O$141</definedName>
    <definedName name="OSRRefE20_23x" localSheetId="47">'Div 3'!$N$142:$O$142</definedName>
    <definedName name="OSRRefE20_23x" localSheetId="2">Summary!$N$153:$O$153</definedName>
    <definedName name="OSRRefE20_24x" localSheetId="48">'300'!$N$139:$O$139</definedName>
    <definedName name="OSRRefE20_24x" localSheetId="49">'300 &amp; 317'!$N$145:$O$145</definedName>
    <definedName name="OSRRefE20_24x" localSheetId="47">'Div 3'!$N$144:$O$144</definedName>
    <definedName name="OSRRefE20_24x" localSheetId="2">Summary!$N$156:$O$156</definedName>
    <definedName name="OSRRefE20_25x" localSheetId="47">'Div 3'!$N$148:$O$148</definedName>
    <definedName name="OSRRefE20_25x" localSheetId="2">Summary!$N$158:$O$158</definedName>
    <definedName name="OSRRefE20_26x" localSheetId="2">Summary!$N$162:$O$162</definedName>
    <definedName name="OSRRefE20_2x" localSheetId="40">'200'!$N$22:$O$22</definedName>
    <definedName name="OSRRefE20_2x" localSheetId="41">'201'!$N$39:$O$39</definedName>
    <definedName name="OSRRefE20_2x" localSheetId="42">'202'!$N$39:$O$39</definedName>
    <definedName name="OSRRefE20_2x" localSheetId="43">'203'!$N$40:$O$40</definedName>
    <definedName name="OSRRefE20_2x" localSheetId="44">'204'!$N$39:$O$39</definedName>
    <definedName name="OSRRefE20_2x" localSheetId="45">'205'!$N$39:$O$39</definedName>
    <definedName name="OSRRefE20_2x" localSheetId="46">'206'!$N$39:$O$39</definedName>
    <definedName name="OSRRefE20_2x" localSheetId="48">'300'!$N$74:$O$74</definedName>
    <definedName name="OSRRefE20_2x" localSheetId="49">'300 &amp; 317'!$N$80:$O$80</definedName>
    <definedName name="OSRRefE20_2x" localSheetId="50">'301'!$N$41:$O$41</definedName>
    <definedName name="OSRRefE20_2x" localSheetId="55">'307'!$N$53:$O$53</definedName>
    <definedName name="OSRRefE20_2x" localSheetId="51">'308'!$N$55:$O$55</definedName>
    <definedName name="OSRRefE20_2x" localSheetId="64">'309'!$N$30:$O$30</definedName>
    <definedName name="OSRRefE20_2x" localSheetId="63">'310'!$N$49:$O$49</definedName>
    <definedName name="OSRRefE20_2x" localSheetId="71">'310 &amp; 491'!$N$49:$O$49</definedName>
    <definedName name="OSRRefE20_2x" localSheetId="52">'311'!$N$55:$O$55</definedName>
    <definedName name="OSRRefE20_2x" localSheetId="65">'313'!$N$22:$O$22</definedName>
    <definedName name="OSRRefE20_2x" localSheetId="57">'315'!$N$63:$O$63</definedName>
    <definedName name="OSRRefE20_2x" localSheetId="60">'316'!$N$46:$O$46</definedName>
    <definedName name="OSRRefE20_2x" localSheetId="62">'317'!$N$55:$O$55</definedName>
    <definedName name="OSRRefE20_2x" localSheetId="66">'321'!$N$44:$O$44</definedName>
    <definedName name="OSRRefE20_2x" localSheetId="68">'325'!$N$44:$O$44</definedName>
    <definedName name="OSRRefE20_2x" localSheetId="58">'326'!$N$47:$O$47</definedName>
    <definedName name="OSRRefE20_2x" localSheetId="56">'331'!$N$63:$O$63</definedName>
    <definedName name="OSRRefE20_2x" localSheetId="59">'332'!$N$46:$O$46</definedName>
    <definedName name="OSRRefE20_2x" localSheetId="54">'333'!$N$65:$O$65</definedName>
    <definedName name="OSRRefE20_2x" localSheetId="73">'405'!$N$46:$O$46</definedName>
    <definedName name="OSRRefE20_2x" localSheetId="75">'411'!$N$39:$O$39</definedName>
    <definedName name="OSRRefE20_2x" localSheetId="76">'412'!$N$22:$O$22</definedName>
    <definedName name="OSRRefE20_2x" localSheetId="79">'415'!$N$47:$O$47</definedName>
    <definedName name="OSRRefE20_2x" localSheetId="80">'418'!$N$43:$O$43</definedName>
    <definedName name="OSRRefE20_2x" localSheetId="81">'423'!$N$38:$O$38</definedName>
    <definedName name="OSRRefE20_2x" localSheetId="83">'425'!$N$24:$O$24</definedName>
    <definedName name="OSRRefE20_2x" localSheetId="86">'430'!$N$39:$O$39</definedName>
    <definedName name="OSRRefE20_2x" localSheetId="87">'433'!$N$47:$O$47</definedName>
    <definedName name="OSRRefE20_2x" localSheetId="88">'435'!$N$26:$O$26</definedName>
    <definedName name="OSRRefE20_2x" localSheetId="89">'444'!$N$47:$O$47</definedName>
    <definedName name="OSRRefE20_2x" localSheetId="90">'450'!$N$47:$O$47</definedName>
    <definedName name="OSRRefE20_2x" localSheetId="72">'491'!$N$48:$O$48</definedName>
    <definedName name="OSRRefE20_2x" localSheetId="85">'492'!$N$49:$O$49</definedName>
    <definedName name="OSRRefE20_2x" localSheetId="92">'501'!$N$41:$O$41</definedName>
    <definedName name="OSRRefE20_2x" localSheetId="39">'Div 2'!$N$41:$O$41</definedName>
    <definedName name="OSRRefE20_2x" localSheetId="47">'Div 3'!$N$80:$O$80</definedName>
    <definedName name="OSRRefE20_2x" localSheetId="70">'Div 4'!$N$51:$O$51</definedName>
    <definedName name="OSRRefE20_2x" localSheetId="91">'Div 5'!$N$41:$O$41</definedName>
    <definedName name="OSRRefE20_2x" localSheetId="61">'Div 6'!$N$55:$O$55</definedName>
    <definedName name="OSRRefE20_2x" localSheetId="2">Summary!$N$88:$O$88</definedName>
    <definedName name="OSRRefE20_3x" localSheetId="40">'200'!$N$24:$O$24</definedName>
    <definedName name="OSRRefE20_3x" localSheetId="41">'201'!$N$41:$O$41</definedName>
    <definedName name="OSRRefE20_3x" localSheetId="42">'202'!$N$41:$O$41</definedName>
    <definedName name="OSRRefE20_3x" localSheetId="43">'203'!$N$42:$O$42</definedName>
    <definedName name="OSRRefE20_3x" localSheetId="44">'204'!$N$42:$O$42</definedName>
    <definedName name="OSRRefE20_3x" localSheetId="45">'205'!$N$41:$O$41</definedName>
    <definedName name="OSRRefE20_3x" localSheetId="46">'206'!$N$41:$O$41</definedName>
    <definedName name="OSRRefE20_3x" localSheetId="48">'300'!$N$76:$O$76</definedName>
    <definedName name="OSRRefE20_3x" localSheetId="49">'300 &amp; 317'!$N$82:$O$82</definedName>
    <definedName name="OSRRefE20_3x" localSheetId="50">'301'!$N$43:$O$43</definedName>
    <definedName name="OSRRefE20_3x" localSheetId="55">'307'!$N$55:$O$55</definedName>
    <definedName name="OSRRefE20_3x" localSheetId="51">'308'!$N$57:$O$57</definedName>
    <definedName name="OSRRefE20_3x" localSheetId="64">'309'!$N$32:$O$32</definedName>
    <definedName name="OSRRefE20_3x" localSheetId="63">'310'!$N$51:$O$51</definedName>
    <definedName name="OSRRefE20_3x" localSheetId="71">'310 &amp; 491'!$N$51:$O$51</definedName>
    <definedName name="OSRRefE20_3x" localSheetId="52">'311'!$N$57:$O$57</definedName>
    <definedName name="OSRRefE20_3x" localSheetId="57">'315'!$N$65:$O$65</definedName>
    <definedName name="OSRRefE20_3x" localSheetId="60">'316'!$N$48:$O$48</definedName>
    <definedName name="OSRRefE20_3x" localSheetId="62">'317'!$N$57:$O$57</definedName>
    <definedName name="OSRRefE20_3x" localSheetId="66">'321'!$N$46:$O$46</definedName>
    <definedName name="OSRRefE20_3x" localSheetId="68">'325'!$N$46:$O$46</definedName>
    <definedName name="OSRRefE20_3x" localSheetId="58">'326'!$N$49:$O$49</definedName>
    <definedName name="OSRRefE20_3x" localSheetId="56">'331'!$N$65:$O$65</definedName>
    <definedName name="OSRRefE20_3x" localSheetId="59">'332'!$N$48:$O$48</definedName>
    <definedName name="OSRRefE20_3x" localSheetId="54">'333'!$N$67:$O$67</definedName>
    <definedName name="OSRRefE20_3x" localSheetId="73">'405'!$N$48:$O$48</definedName>
    <definedName name="OSRRefE20_3x" localSheetId="75">'411'!$N$41:$O$41</definedName>
    <definedName name="OSRRefE20_3x" localSheetId="76">'412'!$N$24:$O$24</definedName>
    <definedName name="OSRRefE20_3x" localSheetId="79">'415'!$N$49:$O$49</definedName>
    <definedName name="OSRRefE20_3x" localSheetId="80">'418'!$N$45:$O$45</definedName>
    <definedName name="OSRRefE20_3x" localSheetId="81">'423'!$N$40:$O$40</definedName>
    <definedName name="OSRRefE20_3x" localSheetId="83">'425'!$N$26:$O$26</definedName>
    <definedName name="OSRRefE20_3x" localSheetId="86">'430'!$N$41:$O$41</definedName>
    <definedName name="OSRRefE20_3x" localSheetId="87">'433'!$N$49:$O$49</definedName>
    <definedName name="OSRRefE20_3x" localSheetId="88">'435'!$N$28:$O$28</definedName>
    <definedName name="OSRRefE20_3x" localSheetId="89">'444'!$N$49:$O$49</definedName>
    <definedName name="OSRRefE20_3x" localSheetId="90">'450'!$N$49:$O$49</definedName>
    <definedName name="OSRRefE20_3x" localSheetId="72">'491'!$N$50:$O$50</definedName>
    <definedName name="OSRRefE20_3x" localSheetId="85">'492'!$N$51:$O$51</definedName>
    <definedName name="OSRRefE20_3x" localSheetId="92">'501'!$N$43:$O$43</definedName>
    <definedName name="OSRRefE20_3x" localSheetId="39">'Div 2'!$N$43:$O$43</definedName>
    <definedName name="OSRRefE20_3x" localSheetId="47">'Div 3'!$N$82:$O$82</definedName>
    <definedName name="OSRRefE20_3x" localSheetId="70">'Div 4'!$N$53:$O$53</definedName>
    <definedName name="OSRRefE20_3x" localSheetId="91">'Div 5'!$N$43:$O$43</definedName>
    <definedName name="OSRRefE20_3x" localSheetId="61">'Div 6'!$N$57:$O$57</definedName>
    <definedName name="OSRRefE20_3x" localSheetId="2">Summary!$N$90:$O$90</definedName>
    <definedName name="OSRRefE20_4x" localSheetId="41">'201'!$N$43:$O$43</definedName>
    <definedName name="OSRRefE20_4x" localSheetId="42">'202'!$N$43:$O$43</definedName>
    <definedName name="OSRRefE20_4x" localSheetId="43">'203'!$N$44:$O$44</definedName>
    <definedName name="OSRRefE20_4x" localSheetId="44">'204'!$N$44:$O$44</definedName>
    <definedName name="OSRRefE20_4x" localSheetId="45">'205'!$N$43:$O$43</definedName>
    <definedName name="OSRRefE20_4x" localSheetId="46">'206'!$N$44:$O$44</definedName>
    <definedName name="OSRRefE20_4x" localSheetId="48">'300'!$N$78:$O$78</definedName>
    <definedName name="OSRRefE20_4x" localSheetId="49">'300 &amp; 317'!$N$84:$O$84</definedName>
    <definedName name="OSRRefE20_4x" localSheetId="50">'301'!$N$45:$O$45</definedName>
    <definedName name="OSRRefE20_4x" localSheetId="55">'307'!$N$57:$O$57</definedName>
    <definedName name="OSRRefE20_4x" localSheetId="51">'308'!$N$59:$O$59</definedName>
    <definedName name="OSRRefE20_4x" localSheetId="64">'309'!$N$34:$O$34</definedName>
    <definedName name="OSRRefE20_4x" localSheetId="63">'310'!$N$53:$O$53</definedName>
    <definedName name="OSRRefE20_4x" localSheetId="71">'310 &amp; 491'!$N$53:$O$53</definedName>
    <definedName name="OSRRefE20_4x" localSheetId="52">'311'!$N$59:$O$59</definedName>
    <definedName name="OSRRefE20_4x" localSheetId="57">'315'!$N$67:$O$67</definedName>
    <definedName name="OSRRefE20_4x" localSheetId="60">'316'!$N$50:$O$50</definedName>
    <definedName name="OSRRefE20_4x" localSheetId="62">'317'!$N$59:$O$59</definedName>
    <definedName name="OSRRefE20_4x" localSheetId="66">'321'!$N$48:$O$48</definedName>
    <definedName name="OSRRefE20_4x" localSheetId="68">'325'!$N$48:$O$48</definedName>
    <definedName name="OSRRefE20_4x" localSheetId="58">'326'!$N$51:$O$51</definedName>
    <definedName name="OSRRefE20_4x" localSheetId="56">'331'!$N$67:$O$67</definedName>
    <definedName name="OSRRefE20_4x" localSheetId="59">'332'!$N$50:$O$50</definedName>
    <definedName name="OSRRefE20_4x" localSheetId="54">'333'!$N$69:$O$69</definedName>
    <definedName name="OSRRefE20_4x" localSheetId="73">'405'!$N$50:$O$50</definedName>
    <definedName name="OSRRefE20_4x" localSheetId="75">'411'!$N$44:$O$44</definedName>
    <definedName name="OSRRefE20_4x" localSheetId="79">'415'!$N$51:$O$51</definedName>
    <definedName name="OSRRefE20_4x" localSheetId="80">'418'!$N$47:$O$47</definedName>
    <definedName name="OSRRefE20_4x" localSheetId="81">'423'!$N$42:$O$42</definedName>
    <definedName name="OSRRefE20_4x" localSheetId="83">'425'!$N$28:$O$28</definedName>
    <definedName name="OSRRefE20_4x" localSheetId="86">'430'!$N$43:$O$43</definedName>
    <definedName name="OSRRefE20_4x" localSheetId="87">'433'!$N$51:$O$51</definedName>
    <definedName name="OSRRefE20_4x" localSheetId="88">'435'!$N$30:$O$30</definedName>
    <definedName name="OSRRefE20_4x" localSheetId="89">'444'!$N$51:$O$51</definedName>
    <definedName name="OSRRefE20_4x" localSheetId="90">'450'!$N$51:$O$51</definedName>
    <definedName name="OSRRefE20_4x" localSheetId="72">'491'!$N$52:$O$52</definedName>
    <definedName name="OSRRefE20_4x" localSheetId="85">'492'!$N$53:$O$53</definedName>
    <definedName name="OSRRefE20_4x" localSheetId="92">'501'!$N$45:$O$45</definedName>
    <definedName name="OSRRefE20_4x" localSheetId="39">'Div 2'!$N$45:$O$45</definedName>
    <definedName name="OSRRefE20_4x" localSheetId="47">'Div 3'!$N$84:$O$84</definedName>
    <definedName name="OSRRefE20_4x" localSheetId="70">'Div 4'!$N$55:$O$55</definedName>
    <definedName name="OSRRefE20_4x" localSheetId="91">'Div 5'!$N$45:$O$45</definedName>
    <definedName name="OSRRefE20_4x" localSheetId="61">'Div 6'!$N$59:$O$59</definedName>
    <definedName name="OSRRefE20_4x" localSheetId="2">Summary!$N$92:$O$92</definedName>
    <definedName name="OSRRefE20_5x" localSheetId="41">'201'!$N$45:$O$45</definedName>
    <definedName name="OSRRefE20_5x" localSheetId="42">'202'!$N$45:$O$45</definedName>
    <definedName name="OSRRefE20_5x" localSheetId="43">'203'!$N$46:$O$46</definedName>
    <definedName name="OSRRefE20_5x" localSheetId="44">'204'!$N$49:$O$49</definedName>
    <definedName name="OSRRefE20_5x" localSheetId="45">'205'!$N$46:$O$46</definedName>
    <definedName name="OSRRefE20_5x" localSheetId="46">'206'!$N$46:$O$46</definedName>
    <definedName name="OSRRefE20_5x" localSheetId="48">'300'!$N$80:$O$80</definedName>
    <definedName name="OSRRefE20_5x" localSheetId="49">'300 &amp; 317'!$N$86:$O$86</definedName>
    <definedName name="OSRRefE20_5x" localSheetId="50">'301'!$N$47:$O$47</definedName>
    <definedName name="OSRRefE20_5x" localSheetId="55">'307'!$N$59:$O$59</definedName>
    <definedName name="OSRRefE20_5x" localSheetId="51">'308'!$N$61:$O$61</definedName>
    <definedName name="OSRRefE20_5x" localSheetId="64">'309'!$N$36:$O$36</definedName>
    <definedName name="OSRRefE20_5x" localSheetId="63">'310'!$N$55:$O$55</definedName>
    <definedName name="OSRRefE20_5x" localSheetId="71">'310 &amp; 491'!$N$55:$O$55</definedName>
    <definedName name="OSRRefE20_5x" localSheetId="52">'311'!$N$61:$O$61</definedName>
    <definedName name="OSRRefE20_5x" localSheetId="57">'315'!$N$69:$O$69</definedName>
    <definedName name="OSRRefE20_5x" localSheetId="60">'316'!$N$52:$O$52</definedName>
    <definedName name="OSRRefE20_5x" localSheetId="62">'317'!$N$61:$O$61</definedName>
    <definedName name="OSRRefE20_5x" localSheetId="66">'321'!$N$50:$O$50</definedName>
    <definedName name="OSRRefE20_5x" localSheetId="68">'325'!$N$50:$O$50</definedName>
    <definedName name="OSRRefE20_5x" localSheetId="58">'326'!$N$53:$O$53</definedName>
    <definedName name="OSRRefE20_5x" localSheetId="56">'331'!$N$69:$O$69</definedName>
    <definedName name="OSRRefE20_5x" localSheetId="59">'332'!$N$52:$O$52</definedName>
    <definedName name="OSRRefE20_5x" localSheetId="54">'333'!$N$71:$O$71</definedName>
    <definedName name="OSRRefE20_5x" localSheetId="73">'405'!$N$52:$O$52</definedName>
    <definedName name="OSRRefE20_5x" localSheetId="75">'411'!$N$46:$O$46</definedName>
    <definedName name="OSRRefE20_5x" localSheetId="79">'415'!$N$53:$O$53</definedName>
    <definedName name="OSRRefE20_5x" localSheetId="80">'418'!$N$50:$O$50</definedName>
    <definedName name="OSRRefE20_5x" localSheetId="86">'430'!$N$45:$O$45</definedName>
    <definedName name="OSRRefE20_5x" localSheetId="87">'433'!$N$53:$O$53</definedName>
    <definedName name="OSRRefE20_5x" localSheetId="89">'444'!$N$53:$O$53</definedName>
    <definedName name="OSRRefE20_5x" localSheetId="90">'450'!$N$53:$O$53</definedName>
    <definedName name="OSRRefE20_5x" localSheetId="72">'491'!$N$54:$O$54</definedName>
    <definedName name="OSRRefE20_5x" localSheetId="85">'492'!$N$55:$O$55</definedName>
    <definedName name="OSRRefE20_5x" localSheetId="92">'501'!$N$47:$O$47</definedName>
    <definedName name="OSRRefE20_5x" localSheetId="39">'Div 2'!$N$47:$O$47</definedName>
    <definedName name="OSRRefE20_5x" localSheetId="47">'Div 3'!$N$86:$O$86</definedName>
    <definedName name="OSRRefE20_5x" localSheetId="70">'Div 4'!$N$57:$O$57</definedName>
    <definedName name="OSRRefE20_5x" localSheetId="91">'Div 5'!$N$47:$O$47</definedName>
    <definedName name="OSRRefE20_5x" localSheetId="61">'Div 6'!$N$61:$O$61</definedName>
    <definedName name="OSRRefE20_5x" localSheetId="2">Summary!$N$94:$O$94</definedName>
    <definedName name="OSRRefE20_6x" localSheetId="41">'201'!$N$47:$O$47</definedName>
    <definedName name="OSRRefE20_6x" localSheetId="42">'202'!$N$47:$O$47</definedName>
    <definedName name="OSRRefE20_6x" localSheetId="43">'203'!$N$48:$O$48</definedName>
    <definedName name="OSRRefE20_6x" localSheetId="44">'204'!$N$51:$O$51</definedName>
    <definedName name="OSRRefE20_6x" localSheetId="45">'205'!$N$48:$O$48</definedName>
    <definedName name="OSRRefE20_6x" localSheetId="48">'300'!$N$83:$O$83</definedName>
    <definedName name="OSRRefE20_6x" localSheetId="49">'300 &amp; 317'!$N$89:$O$89</definedName>
    <definedName name="OSRRefE20_6x" localSheetId="50">'301'!$N$50:$O$50</definedName>
    <definedName name="OSRRefE20_6x" localSheetId="55">'307'!$N$61:$O$61</definedName>
    <definedName name="OSRRefE20_6x" localSheetId="51">'308'!$N$63:$O$63</definedName>
    <definedName name="OSRRefE20_6x" localSheetId="64">'309'!$N$38:$O$38</definedName>
    <definedName name="OSRRefE20_6x" localSheetId="63">'310'!$N$58:$O$58</definedName>
    <definedName name="OSRRefE20_6x" localSheetId="71">'310 &amp; 491'!$N$58:$O$58</definedName>
    <definedName name="OSRRefE20_6x" localSheetId="52">'311'!$N$63:$O$63</definedName>
    <definedName name="OSRRefE20_6x" localSheetId="57">'315'!$N$71:$O$71</definedName>
    <definedName name="OSRRefE20_6x" localSheetId="60">'316'!$N$55:$O$55</definedName>
    <definedName name="OSRRefE20_6x" localSheetId="62">'317'!$N$63:$O$63</definedName>
    <definedName name="OSRRefE20_6x" localSheetId="66">'321'!$N$52:$O$52</definedName>
    <definedName name="OSRRefE20_6x" localSheetId="68">'325'!$N$53:$O$53</definedName>
    <definedName name="OSRRefE20_6x" localSheetId="58">'326'!$N$55:$O$55</definedName>
    <definedName name="OSRRefE20_6x" localSheetId="56">'331'!$N$71:$O$71</definedName>
    <definedName name="OSRRefE20_6x" localSheetId="59">'332'!$N$55:$O$55</definedName>
    <definedName name="OSRRefE20_6x" localSheetId="54">'333'!$N$73:$O$73</definedName>
    <definedName name="OSRRefE20_6x" localSheetId="73">'405'!$N$55:$O$55</definedName>
    <definedName name="OSRRefE20_6x" localSheetId="75">'411'!$N$48:$O$48</definedName>
    <definedName name="OSRRefE20_6x" localSheetId="79">'415'!$N$56:$O$56</definedName>
    <definedName name="OSRRefE20_6x" localSheetId="80">'418'!$N$52:$O$52</definedName>
    <definedName name="OSRRefE20_6x" localSheetId="86">'430'!$N$48:$O$48</definedName>
    <definedName name="OSRRefE20_6x" localSheetId="87">'433'!$N$55:$O$55</definedName>
    <definedName name="OSRRefE20_6x" localSheetId="89">'444'!$N$55:$O$55</definedName>
    <definedName name="OSRRefE20_6x" localSheetId="90">'450'!$N$55:$O$55</definedName>
    <definedName name="OSRRefE20_6x" localSheetId="72">'491'!$N$57:$O$57</definedName>
    <definedName name="OSRRefE20_6x" localSheetId="85">'492'!$N$57:$O$57</definedName>
    <definedName name="OSRRefE20_6x" localSheetId="92">'501'!$N$50:$O$50</definedName>
    <definedName name="OSRRefE20_6x" localSheetId="39">'Div 2'!$N$50:$O$50</definedName>
    <definedName name="OSRRefE20_6x" localSheetId="47">'Div 3'!$N$89:$O$89</definedName>
    <definedName name="OSRRefE20_6x" localSheetId="70">'Div 4'!$N$60:$O$60</definedName>
    <definedName name="OSRRefE20_6x" localSheetId="91">'Div 5'!$N$50:$O$50</definedName>
    <definedName name="OSRRefE20_6x" localSheetId="61">'Div 6'!$N$63:$O$63</definedName>
    <definedName name="OSRRefE20_6x" localSheetId="2">Summary!$N$97:$O$97</definedName>
    <definedName name="OSRRefE20_7x" localSheetId="41">'201'!$N$49:$O$49</definedName>
    <definedName name="OSRRefE20_7x" localSheetId="42">'202'!$N$49:$O$49</definedName>
    <definedName name="OSRRefE20_7x" localSheetId="43">'203'!$N$50:$O$50</definedName>
    <definedName name="OSRRefE20_7x" localSheetId="44">'204'!$N$54:$O$54</definedName>
    <definedName name="OSRRefE20_7x" localSheetId="45">'205'!$N$51:$O$51</definedName>
    <definedName name="OSRRefE20_7x" localSheetId="48">'300'!$N$86:$O$86</definedName>
    <definedName name="OSRRefE20_7x" localSheetId="49">'300 &amp; 317'!$N$92:$O$92</definedName>
    <definedName name="OSRRefE20_7x" localSheetId="50">'301'!$N$53:$O$53</definedName>
    <definedName name="OSRRefE20_7x" localSheetId="55">'307'!$N$63:$O$63</definedName>
    <definedName name="OSRRefE20_7x" localSheetId="51">'308'!$N$66:$O$66</definedName>
    <definedName name="OSRRefE20_7x" localSheetId="64">'309'!$N$40:$O$40</definedName>
    <definedName name="OSRRefE20_7x" localSheetId="63">'310'!$N$60:$O$60</definedName>
    <definedName name="OSRRefE20_7x" localSheetId="71">'310 &amp; 491'!$N$60:$O$60</definedName>
    <definedName name="OSRRefE20_7x" localSheetId="52">'311'!$N$66:$O$66</definedName>
    <definedName name="OSRRefE20_7x" localSheetId="57">'315'!$N$73:$O$73</definedName>
    <definedName name="OSRRefE20_7x" localSheetId="60">'316'!$N$57:$O$57</definedName>
    <definedName name="OSRRefE20_7x" localSheetId="62">'317'!$N$65:$O$65</definedName>
    <definedName name="OSRRefE20_7x" localSheetId="66">'321'!$N$54:$O$54</definedName>
    <definedName name="OSRRefE20_7x" localSheetId="68">'325'!$N$55:$O$55</definedName>
    <definedName name="OSRRefE20_7x" localSheetId="58">'326'!$N$57:$O$57</definedName>
    <definedName name="OSRRefE20_7x" localSheetId="56">'331'!$N$73:$O$73</definedName>
    <definedName name="OSRRefE20_7x" localSheetId="59">'332'!$N$57:$O$57</definedName>
    <definedName name="OSRRefE20_7x" localSheetId="54">'333'!$N$75:$O$75</definedName>
    <definedName name="OSRRefE20_7x" localSheetId="73">'405'!$N$57:$O$57</definedName>
    <definedName name="OSRRefE20_7x" localSheetId="75">'411'!$N$50:$O$50</definedName>
    <definedName name="OSRRefE20_7x" localSheetId="79">'415'!$N$58:$O$58</definedName>
    <definedName name="OSRRefE20_7x" localSheetId="80">'418'!$N$54:$O$54</definedName>
    <definedName name="OSRRefE20_7x" localSheetId="86">'430'!$N$51:$O$51</definedName>
    <definedName name="OSRRefE20_7x" localSheetId="87">'433'!$N$57:$O$57</definedName>
    <definedName name="OSRRefE20_7x" localSheetId="89">'444'!$N$57:$O$57</definedName>
    <definedName name="OSRRefE20_7x" localSheetId="90">'450'!$N$57:$O$57</definedName>
    <definedName name="OSRRefE20_7x" localSheetId="72">'491'!$N$59:$O$59</definedName>
    <definedName name="OSRRefE20_7x" localSheetId="85">'492'!$N$59:$O$59</definedName>
    <definedName name="OSRRefE20_7x" localSheetId="92">'501'!$N$52:$O$52</definedName>
    <definedName name="OSRRefE20_7x" localSheetId="39">'Div 2'!$N$52:$O$52</definedName>
    <definedName name="OSRRefE20_7x" localSheetId="47">'Div 3'!$N$92:$O$92</definedName>
    <definedName name="OSRRefE20_7x" localSheetId="70">'Div 4'!$N$62:$O$62</definedName>
    <definedName name="OSRRefE20_7x" localSheetId="91">'Div 5'!$N$52:$O$52</definedName>
    <definedName name="OSRRefE20_7x" localSheetId="61">'Div 6'!$N$65:$O$65</definedName>
    <definedName name="OSRRefE20_7x" localSheetId="2">Summary!$N$100:$O$100</definedName>
    <definedName name="OSRRefE20_8x" localSheetId="41">'201'!$N$51:$O$51</definedName>
    <definedName name="OSRRefE20_8x" localSheetId="42">'202'!$N$53:$O$53</definedName>
    <definedName name="OSRRefE20_8x" localSheetId="43">'203'!$N$52:$O$52</definedName>
    <definedName name="OSRRefE20_8x" localSheetId="44">'204'!$N$56:$O$56</definedName>
    <definedName name="OSRRefE20_8x" localSheetId="48">'300'!$N$88:$O$88</definedName>
    <definedName name="OSRRefE20_8x" localSheetId="49">'300 &amp; 317'!$N$94:$O$94</definedName>
    <definedName name="OSRRefE20_8x" localSheetId="50">'301'!$N$55:$O$55</definedName>
    <definedName name="OSRRefE20_8x" localSheetId="55">'307'!$N$65:$O$65</definedName>
    <definedName name="OSRRefE20_8x" localSheetId="51">'308'!$N$68:$O$68</definedName>
    <definedName name="OSRRefE20_8x" localSheetId="64">'309'!$N$42:$O$42</definedName>
    <definedName name="OSRRefE20_8x" localSheetId="63">'310'!$N$62:$O$62</definedName>
    <definedName name="OSRRefE20_8x" localSheetId="71">'310 &amp; 491'!$N$62:$O$62</definedName>
    <definedName name="OSRRefE20_8x" localSheetId="52">'311'!$N$68:$O$68</definedName>
    <definedName name="OSRRefE20_8x" localSheetId="57">'315'!$N$75:$O$75</definedName>
    <definedName name="OSRRefE20_8x" localSheetId="60">'316'!$N$60:$O$60</definedName>
    <definedName name="OSRRefE20_8x" localSheetId="62">'317'!$N$67:$O$67</definedName>
    <definedName name="OSRRefE20_8x" localSheetId="66">'321'!$N$57:$O$57</definedName>
    <definedName name="OSRRefE20_8x" localSheetId="68">'325'!$N$57:$O$57</definedName>
    <definedName name="OSRRefE20_8x" localSheetId="58">'326'!$N$59:$O$59</definedName>
    <definedName name="OSRRefE20_8x" localSheetId="56">'331'!$N$75:$O$75</definedName>
    <definedName name="OSRRefE20_8x" localSheetId="59">'332'!$N$60:$O$60</definedName>
    <definedName name="OSRRefE20_8x" localSheetId="54">'333'!$N$77:$O$77</definedName>
    <definedName name="OSRRefE20_8x" localSheetId="73">'405'!$N$59:$O$59</definedName>
    <definedName name="OSRRefE20_8x" localSheetId="75">'411'!$N$52:$O$52</definedName>
    <definedName name="OSRRefE20_8x" localSheetId="79">'415'!$N$60:$O$60</definedName>
    <definedName name="OSRRefE20_8x" localSheetId="80">'418'!$N$56:$O$56</definedName>
    <definedName name="OSRRefE20_8x" localSheetId="86">'430'!$N$53:$O$53</definedName>
    <definedName name="OSRRefE20_8x" localSheetId="87">'433'!$N$59:$O$59</definedName>
    <definedName name="OSRRefE20_8x" localSheetId="89">'444'!$N$59:$O$59</definedName>
    <definedName name="OSRRefE20_8x" localSheetId="90">'450'!$N$59:$O$59</definedName>
    <definedName name="OSRRefE20_8x" localSheetId="72">'491'!$N$61:$O$61</definedName>
    <definedName name="OSRRefE20_8x" localSheetId="85">'492'!$N$61:$O$61</definedName>
    <definedName name="OSRRefE20_8x" localSheetId="92">'501'!$N$54:$O$54</definedName>
    <definedName name="OSRRefE20_8x" localSheetId="39">'Div 2'!$N$54:$O$54</definedName>
    <definedName name="OSRRefE20_8x" localSheetId="47">'Div 3'!$N$94:$O$94</definedName>
    <definedName name="OSRRefE20_8x" localSheetId="70">'Div 4'!$N$64:$O$64</definedName>
    <definedName name="OSRRefE20_8x" localSheetId="91">'Div 5'!$N$54:$O$54</definedName>
    <definedName name="OSRRefE20_8x" localSheetId="61">'Div 6'!$N$67:$O$67</definedName>
    <definedName name="OSRRefE20_8x" localSheetId="2">Summary!$N$102:$O$102</definedName>
    <definedName name="OSRRefE20_9x" localSheetId="41">'201'!$N$53:$O$53</definedName>
    <definedName name="OSRRefE20_9x" localSheetId="42">'202'!$N$55:$O$55</definedName>
    <definedName name="OSRRefE20_9x" localSheetId="43">'203'!$N$56:$O$56</definedName>
    <definedName name="OSRRefE20_9x" localSheetId="48">'300'!$N$90:$O$90</definedName>
    <definedName name="OSRRefE20_9x" localSheetId="49">'300 &amp; 317'!$N$96:$O$96</definedName>
    <definedName name="OSRRefE20_9x" localSheetId="50">'301'!$N$57:$O$57</definedName>
    <definedName name="OSRRefE20_9x" localSheetId="55">'307'!$N$67:$O$67</definedName>
    <definedName name="OSRRefE20_9x" localSheetId="51">'308'!$N$70:$O$70</definedName>
    <definedName name="OSRRefE20_9x" localSheetId="64">'309'!$N$45:$O$45</definedName>
    <definedName name="OSRRefE20_9x" localSheetId="63">'310'!$N$64:$O$64</definedName>
    <definedName name="OSRRefE20_9x" localSheetId="71">'310 &amp; 491'!$N$64:$O$64</definedName>
    <definedName name="OSRRefE20_9x" localSheetId="52">'311'!$N$70:$O$70</definedName>
    <definedName name="OSRRefE20_9x" localSheetId="57">'315'!$N$78:$O$78</definedName>
    <definedName name="OSRRefE20_9x" localSheetId="60">'316'!$N$62:$O$62</definedName>
    <definedName name="OSRRefE20_9x" localSheetId="62">'317'!$N$69:$O$69</definedName>
    <definedName name="OSRRefE20_9x" localSheetId="66">'321'!$N$60:$O$60</definedName>
    <definedName name="OSRRefE20_9x" localSheetId="68">'325'!$N$59:$O$59</definedName>
    <definedName name="OSRRefE20_9x" localSheetId="58">'326'!$N$61:$O$61</definedName>
    <definedName name="OSRRefE20_9x" localSheetId="56">'331'!$N$78:$O$78</definedName>
    <definedName name="OSRRefE20_9x" localSheetId="59">'332'!$N$62:$O$62</definedName>
    <definedName name="OSRRefE20_9x" localSheetId="54">'333'!$N$80:$O$80</definedName>
    <definedName name="OSRRefE20_9x" localSheetId="73">'405'!$N$61:$O$61</definedName>
    <definedName name="OSRRefE20_9x" localSheetId="75">'411'!$N$56:$O$56</definedName>
    <definedName name="OSRRefE20_9x" localSheetId="79">'415'!$N$62:$O$62</definedName>
    <definedName name="OSRRefE20_9x" localSheetId="80">'418'!$N$59:$O$59</definedName>
    <definedName name="OSRRefE20_9x" localSheetId="87">'433'!$N$61:$O$61</definedName>
    <definedName name="OSRRefE20_9x" localSheetId="89">'444'!$N$61:$O$61</definedName>
    <definedName name="OSRRefE20_9x" localSheetId="90">'450'!$N$61:$O$61</definedName>
    <definedName name="OSRRefE20_9x" localSheetId="72">'491'!$N$63:$O$63</definedName>
    <definedName name="OSRRefE20_9x" localSheetId="85">'492'!$N$63:$O$63</definedName>
    <definedName name="OSRRefE20_9x" localSheetId="92">'501'!$N$56:$O$56</definedName>
    <definedName name="OSRRefE20_9x" localSheetId="39">'Div 2'!$N$56:$O$56</definedName>
    <definedName name="OSRRefE20_9x" localSheetId="47">'Div 3'!$N$96:$O$96</definedName>
    <definedName name="OSRRefE20_9x" localSheetId="70">'Div 4'!$N$66:$O$66</definedName>
    <definedName name="OSRRefE20_9x" localSheetId="91">'Div 5'!$N$56:$O$56</definedName>
    <definedName name="OSRRefE20_9x" localSheetId="61">'Div 6'!$N$69:$O$69</definedName>
    <definedName name="OSRRefE20_9x" localSheetId="2">Summary!$N$104:$O$104</definedName>
    <definedName name="OSRRefE20x_0" localSheetId="40">'200'!$N$18,'200'!$N$20,'200'!$N$22,'200'!$N$24</definedName>
    <definedName name="OSRRefE20x_0" localSheetId="41">'201'!$N$18,'201'!$N$28,'201'!$N$39,'201'!$N$41,'201'!$N$43,'201'!$N$45,'201'!$N$47,'201'!$N$49,'201'!$N$51,'201'!$N$53,'201'!$N$57,'201'!$N$60,'201'!$N$62,'201'!$N$65,'201'!$N$67</definedName>
    <definedName name="OSRRefE20x_0" localSheetId="42">'202'!$N$18,'202'!$N$28,'202'!$N$39,'202'!$N$41,'202'!$N$43,'202'!$N$45,'202'!$N$47,'202'!$N$49,'202'!$N$53,'202'!$N$55,'202'!$N$58,'202'!$N$60,'202'!$N$62</definedName>
    <definedName name="OSRRefE20x_0" localSheetId="43">'203'!$N$18,'203'!$N$29,'203'!$N$40,'203'!$N$42,'203'!$N$44,'203'!$N$46,'203'!$N$48,'203'!$N$50,'203'!$N$52,'203'!$N$56,'203'!$N$59,'203'!$N$62,'203'!$N$67,'203'!$N$69</definedName>
    <definedName name="OSRRefE20x_0" localSheetId="44">'204'!$N$18,'204'!$N$28,'204'!$N$39,'204'!$N$42,'204'!$N$44,'204'!$N$49,'204'!$N$51,'204'!$N$54,'204'!$N$56</definedName>
    <definedName name="OSRRefE20x_0" localSheetId="45">'205'!$N$18,'205'!$N$28,'205'!$N$39,'205'!$N$41,'205'!$N$43,'205'!$N$46,'205'!$N$48,'205'!$N$51</definedName>
    <definedName name="OSRRefE20x_0" localSheetId="46">'206'!$N$18,'206'!$N$28,'206'!$N$39,'206'!$N$41,'206'!$N$44,'206'!$N$46</definedName>
    <definedName name="OSRRefE20x_0" localSheetId="48">'300'!$N$52,'300'!$N$63,'300'!$N$74,'300'!$N$76,'300'!$N$78,'300'!$N$80,'300'!$N$83,'300'!$N$86,'300'!$N$88,'300'!$N$90,'300'!$N$92,'300'!$N$95,'300'!$N$97,'300'!$N$99,'300'!$N$101,'300'!$N$103,'300'!$N$105,'300'!$N$110,'300'!$N$115,'300'!$N$119,'300'!$N$122,'300'!$N$130,'300'!$N$133,'300'!$N$135,'300'!$N$139</definedName>
    <definedName name="OSRRefE20x_0" localSheetId="49">'300 &amp; 317'!$N$58,'300 &amp; 317'!$N$69,'300 &amp; 317'!$N$80,'300 &amp; 317'!$N$82,'300 &amp; 317'!$N$84,'300 &amp; 317'!$N$86,'300 &amp; 317'!$N$89,'300 &amp; 317'!$N$92,'300 &amp; 317'!$N$94,'300 &amp; 317'!$N$96,'300 &amp; 317'!$N$98,'300 &amp; 317'!$N$101,'300 &amp; 317'!$N$103,'300 &amp; 317'!$N$105,'300 &amp; 317'!$N$107,'300 &amp; 317'!$N$109,'300 &amp; 317'!$N$111,'300 &amp; 317'!$N$116,'300 &amp; 317'!$N$121,'300 &amp; 317'!$N$125,'300 &amp; 317'!$N$128,'300 &amp; 317'!$N$136,'300 &amp; 317'!$N$139,'300 &amp; 317'!$N$141,'300 &amp; 317'!$N$145</definedName>
    <definedName name="OSRRefE20x_0" localSheetId="50">'301'!$N$19,'301'!$N$30,'301'!$N$41,'301'!$N$43,'301'!$N$45,'301'!$N$47,'301'!$N$50,'301'!$N$53,'301'!$N$55,'301'!$N$57,'301'!$N$59,'301'!$N$61,'301'!$N$63,'301'!$N$65,'301'!$N$67,'301'!$N$69,'301'!$N$74,'301'!$N$77,'301'!$N$79,'301'!$N$86,'301'!$N$88,'301'!$N$90,'301'!$N$93</definedName>
    <definedName name="OSRRefE20x_0" localSheetId="55">'307'!$N$32,'307'!$N$42,'307'!$N$53,'307'!$N$55,'307'!$N$57,'307'!$N$59,'307'!$N$61,'307'!$N$63,'307'!$N$65,'307'!$N$67,'307'!$N$70,'307'!$N$73,'307'!$N$75,'307'!$N$80</definedName>
    <definedName name="OSRRefE20x_0" localSheetId="51">'308'!$N$33,'308'!$N$44,'308'!$N$55,'308'!$N$57,'308'!$N$59,'308'!$N$61,'308'!$N$63,'308'!$N$66,'308'!$N$68,'308'!$N$70,'308'!$N$74,'308'!$N$77,'308'!$N$80,'308'!$N$83</definedName>
    <definedName name="OSRRefE20x_0" localSheetId="64">'309'!$N$24,'309'!$N$27,'309'!$N$30,'309'!$N$32,'309'!$N$34,'309'!$N$36,'309'!$N$38,'309'!$N$40,'309'!$N$42,'309'!$N$45,'309'!$N$48,'309'!$N$51,'309'!$N$53</definedName>
    <definedName name="OSRRefE20x_0" localSheetId="63">'310'!$N$27,'310'!$N$38,'310'!$N$49,'310'!$N$51,'310'!$N$53,'310'!$N$55,'310'!$N$58,'310'!$N$60,'310'!$N$62,'310'!$N$64,'310'!$N$66,'310'!$N$68,'310'!$N$71,'310'!$N$74,'310'!$N$78,'310'!$N$85,'310'!$N$88,'310'!$N$90</definedName>
    <definedName name="OSRRefE20x_0" localSheetId="71">'310 &amp; 491'!$N$27,'310 &amp; 491'!$N$38,'310 &amp; 491'!$N$49,'310 &amp; 491'!$N$51,'310 &amp; 491'!$N$53,'310 &amp; 491'!$N$55,'310 &amp; 491'!$N$58,'310 &amp; 491'!$N$60,'310 &amp; 491'!$N$62,'310 &amp; 491'!$N$64,'310 &amp; 491'!$N$66,'310 &amp; 491'!$N$68,'310 &amp; 491'!$N$70,'310 &amp; 491'!$N$74,'310 &amp; 491'!$N$77,'310 &amp; 491'!$N$83,'310 &amp; 491'!$N$85,'310 &amp; 491'!$N$95,'310 &amp; 491'!$N$98,'310 &amp; 491'!$N$100,'310 &amp; 491'!$N$103</definedName>
    <definedName name="OSRRefE20x_0" localSheetId="52">'311'!$N$33,'311'!$N$44,'311'!$N$55,'311'!$N$57,'311'!$N$59,'311'!$N$61,'311'!$N$63,'311'!$N$66,'311'!$N$68,'311'!$N$70,'311'!$N$74,'311'!$N$77,'311'!$N$80,'311'!$N$83</definedName>
    <definedName name="OSRRefE20x_0" localSheetId="65">'313'!$N$18,'313'!$N$20,'313'!$N$22</definedName>
    <definedName name="OSRRefE20x_0" localSheetId="57">'315'!$N$42,'315'!$N$52,'315'!$N$63,'315'!$N$65,'315'!$N$67,'315'!$N$69,'315'!$N$71,'315'!$N$73,'315'!$N$75,'315'!$N$78,'315'!$N$80,'315'!$N$82,'315'!$N$84,'315'!$N$87,'315'!$N$91,'315'!$N$94,'315'!$N$99,'315'!$N$101,'315'!$N$103</definedName>
    <definedName name="OSRRefE20x_0" localSheetId="60">'316'!$N$25,'316'!$N$35,'316'!$N$46,'316'!$N$48,'316'!$N$50,'316'!$N$52,'316'!$N$55,'316'!$N$57,'316'!$N$60,'316'!$N$62,'316'!$N$64,'316'!$N$70</definedName>
    <definedName name="OSRRefE20x_0" localSheetId="62">'317'!$N$33,'317'!$N$44,'317'!$N$55,'317'!$N$57,'317'!$N$59,'317'!$N$61,'317'!$N$63,'317'!$N$65,'317'!$N$67,'317'!$N$69,'317'!$N$72</definedName>
    <definedName name="OSRRefE20x_0" localSheetId="66">'321'!$N$22,'321'!$N$33,'321'!$N$44,'321'!$N$46,'321'!$N$48,'321'!$N$50,'321'!$N$52,'321'!$N$54,'321'!$N$57,'321'!$N$60,'321'!$N$64,'321'!$N$69,'321'!$N$71</definedName>
    <definedName name="OSRRefE20x_0" localSheetId="67">'322'!$N$18</definedName>
    <definedName name="OSRRefE20x_0" localSheetId="68">'325'!$N$23,'325'!$N$33,'325'!$N$44,'325'!$N$46,'325'!$N$48,'325'!$N$50,'325'!$N$53,'325'!$N$55,'325'!$N$57,'325'!$N$59,'325'!$N$61,'325'!$N$63,'325'!$N$66,'325'!$N$70,'325'!$N$77,'325'!$N$80,'325'!$N$82</definedName>
    <definedName name="OSRRefE20x_0" localSheetId="58">'326'!$N$26,'326'!$N$36,'326'!$N$47,'326'!$N$49,'326'!$N$51,'326'!$N$53,'326'!$N$55,'326'!$N$57,'326'!$N$59,'326'!$N$61,'326'!$N$63,'326'!$N$65,'326'!$N$68,'326'!$N$71,'326'!$N$74,'326'!$N$78,'326'!$N$80,'326'!$N$83</definedName>
    <definedName name="OSRRefE20x_0" localSheetId="69">'327'!$N$24,'327'!$N$26</definedName>
    <definedName name="OSRRefE20x_0" localSheetId="56">'331'!$N$42,'331'!$N$52,'331'!$N$63,'331'!$N$65,'331'!$N$67,'331'!$N$69,'331'!$N$71,'331'!$N$73,'331'!$N$75,'331'!$N$78,'331'!$N$80,'331'!$N$82,'331'!$N$84,'331'!$N$86,'331'!$N$88,'331'!$N$91,'331'!$N$95,'331'!$N$98,'331'!$N$101,'331'!$N$107,'331'!$N$109,'331'!$N$111,'331'!$N$114</definedName>
    <definedName name="OSRRefE20x_0" localSheetId="59">'332'!$N$25,'332'!$N$35,'332'!$N$46,'332'!$N$48,'332'!$N$50,'332'!$N$52,'332'!$N$55,'332'!$N$57,'332'!$N$60,'332'!$N$62,'332'!$N$64,'332'!$N$70</definedName>
    <definedName name="OSRRefE20x_0" localSheetId="54">'333'!$N$44,'333'!$N$54,'333'!$N$65,'333'!$N$67,'333'!$N$69,'333'!$N$71,'333'!$N$73,'333'!$N$75,'333'!$N$77,'333'!$N$80,'333'!$N$82,'333'!$N$84,'333'!$N$86,'333'!$N$88,'333'!$N$90,'333'!$N$93,'333'!$N$97,'333'!$N$101,'333'!$N$104,'333'!$N$111,'333'!$N$113,'333'!$N$115,'333'!$N$118</definedName>
    <definedName name="OSRRefE20x_0" localSheetId="73">'405'!$N$25,'405'!$N$35,'405'!$N$46,'405'!$N$48,'405'!$N$50,'405'!$N$52,'405'!$N$55,'405'!$N$57,'405'!$N$59,'405'!$N$61,'405'!$N$64,'405'!$N$68,'405'!$N$70,'405'!$N$80,'405'!$N$82,'405'!$N$84</definedName>
    <definedName name="OSRRefE20x_0" localSheetId="74">'406'!$N$18</definedName>
    <definedName name="OSRRefE20x_0" localSheetId="75">'411'!$N$18,'411'!$N$28,'411'!$N$39,'411'!$N$41,'411'!$N$44,'411'!$N$46,'411'!$N$48,'411'!$N$50,'411'!$N$52,'411'!$N$56,'411'!$N$59,'411'!$N$61,'411'!$N$64,'411'!$N$66,'411'!$N$69</definedName>
    <definedName name="OSRRefE20x_0" localSheetId="76">'412'!$N$18,'412'!$N$20,'412'!$N$22,'412'!$N$24</definedName>
    <definedName name="OSRRefE20x_0" localSheetId="77">'413'!$N$18,'413'!$N$20</definedName>
    <definedName name="OSRRefE20x_0" localSheetId="78">'414'!$N$18,'414'!$N$20</definedName>
    <definedName name="OSRRefE20x_0" localSheetId="79">'415'!$N$25,'415'!$N$36,'415'!$N$47,'415'!$N$49,'415'!$N$51,'415'!$N$53,'415'!$N$56,'415'!$N$58,'415'!$N$60,'415'!$N$62,'415'!$N$64,'415'!$N$66,'415'!$N$69,'415'!$N$74,'415'!$N$76,'415'!$N$83,'415'!$N$86,'415'!$N$88</definedName>
    <definedName name="OSRRefE20x_0" localSheetId="80">'418'!$N$22,'418'!$N$32,'418'!$N$43,'418'!$N$45,'418'!$N$47,'418'!$N$50,'418'!$N$52,'418'!$N$54,'418'!$N$56,'418'!$N$59,'418'!$N$63,'418'!$N$65,'418'!$N$72,'418'!$N$75,'418'!$N$77</definedName>
    <definedName name="OSRRefE20x_0" localSheetId="81">'423'!$N$18,'423'!$N$27,'423'!$N$38,'423'!$N$40,'423'!$N$42</definedName>
    <definedName name="OSRRefE20x_0" localSheetId="82">'424'!$N$18,'424'!$N$20</definedName>
    <definedName name="OSRRefE20x_0" localSheetId="83">'425'!$N$20,'425'!$N$22,'425'!$N$24,'425'!$N$26,'425'!$N$28</definedName>
    <definedName name="OSRRefE20x_0" localSheetId="86">'430'!$N$18,'430'!$N$28,'430'!$N$39,'430'!$N$41,'430'!$N$43,'430'!$N$45,'430'!$N$48,'430'!$N$51,'430'!$N$53</definedName>
    <definedName name="OSRRefE20x_0" localSheetId="87">'433'!$N$25,'433'!$N$36,'433'!$N$47,'433'!$N$49,'433'!$N$51,'433'!$N$53,'433'!$N$55,'433'!$N$57,'433'!$N$59,'433'!$N$61,'433'!$N$63,'433'!$N$65,'433'!$N$69,'433'!$N$74,'433'!$N$83,'433'!$N$85</definedName>
    <definedName name="OSRRefE20x_0" localSheetId="88">'435'!$N$21,'435'!$N$24,'435'!$N$26,'435'!$N$28,'435'!$N$30</definedName>
    <definedName name="OSRRefE20x_0" localSheetId="89">'444'!$N$25,'444'!$N$36,'444'!$N$47,'444'!$N$49,'444'!$N$51,'444'!$N$53,'444'!$N$55,'444'!$N$57,'444'!$N$59,'444'!$N$61,'444'!$N$63,'444'!$N$65,'444'!$N$68,'444'!$N$73,'444'!$N$83,'444'!$N$85</definedName>
    <definedName name="OSRRefE20x_0" localSheetId="90">'450'!$N$25,'450'!$N$36,'450'!$N$47,'450'!$N$49,'450'!$N$51,'450'!$N$53,'450'!$N$55,'450'!$N$57,'450'!$N$59,'450'!$N$61,'450'!$N$63,'450'!$N$65,'450'!$N$68,'450'!$N$73,'450'!$N$81,'450'!$N$83,'450'!$N$85</definedName>
    <definedName name="OSRRefE20x_0" localSheetId="72">'491'!$N$26,'491'!$N$37,'491'!$N$48,'491'!$N$50,'491'!$N$52,'491'!$N$54,'491'!$N$57,'491'!$N$59,'491'!$N$61,'491'!$N$63,'491'!$N$65,'491'!$N$67,'491'!$N$69,'491'!$N$73,'491'!$N$75,'491'!$N$81,'491'!$N$83,'491'!$N$93,'491'!$N$96,'491'!$N$98,'491'!$N$101</definedName>
    <definedName name="OSRRefE20x_0" localSheetId="85">'492'!$N$27,'492'!$N$38,'492'!$N$49,'492'!$N$51,'492'!$N$53,'492'!$N$55,'492'!$N$57,'492'!$N$59,'492'!$N$61,'492'!$N$63,'492'!$N$65,'492'!$N$67,'492'!$N$69,'492'!$N$73,'492'!$N$78,'492'!$N$88,'492'!$N$91,'492'!$N$93</definedName>
    <definedName name="OSRRefE20x_0" localSheetId="92">'501'!$N$19,'501'!$N$30,'501'!$N$41,'501'!$N$43,'501'!$N$45,'501'!$N$47,'501'!$N$50,'501'!$N$52,'501'!$N$54,'501'!$N$56,'501'!$N$60,'501'!$N$62,'501'!$N$66,'501'!$N$68</definedName>
    <definedName name="OSRRefE20x_0" localSheetId="39">'Div 2'!$N$18,'Div 2'!$N$30,'Div 2'!$N$41,'Div 2'!$N$43,'Div 2'!$N$45,'Div 2'!$N$47,'Div 2'!$N$50,'Div 2'!$N$52,'Div 2'!$N$54,'Div 2'!$N$56,'Div 2'!$N$58,'Div 2'!$N$60,'Div 2'!$N$62,'Div 2'!$N$67,'Div 2'!$N$72,'Div 2'!$N$75,'Div 2'!$N$78,'Div 2'!$N$84,'Div 2'!$N$87,'Div 2'!$N$89</definedName>
    <definedName name="OSRRefE20x_0" localSheetId="47">'Div 3'!$N$58,'Div 3'!$N$69,'Div 3'!$N$80,'Div 3'!$N$82,'Div 3'!$N$84,'Div 3'!$N$86,'Div 3'!$N$89,'Div 3'!$N$92,'Div 3'!$N$94,'Div 3'!$N$96,'Div 3'!$N$98,'Div 3'!$N$101,'Div 3'!$N$103,'Div 3'!$N$105,'Div 3'!$N$107,'Div 3'!$N$109,'Div 3'!$N$111,'Div 3'!$N$113,'Div 3'!$N$118,'Div 3'!$N$123,'Div 3'!$N$128,'Div 3'!$N$131,'Div 3'!$N$139,'Div 3'!$N$142,'Div 3'!$N$144,'Div 3'!$N$148</definedName>
    <definedName name="OSRRefE20x_0" localSheetId="70">'Div 4'!$N$29,'Div 4'!$N$40,'Div 4'!$N$51,'Div 4'!$N$53,'Div 4'!$N$55,'Div 4'!$N$57,'Div 4'!$N$60,'Div 4'!$N$62,'Div 4'!$N$64,'Div 4'!$N$66,'Div 4'!$N$68,'Div 4'!$N$70,'Div 4'!$N$72,'Div 4'!$N$74,'Div 4'!$N$76,'Div 4'!$N$80,'Div 4'!$N$82,'Div 4'!$N$88,'Div 4'!$N$90,'Div 4'!$N$101,'Div 4'!$N$104,'Div 4'!$N$106,'Div 4'!$N$109</definedName>
    <definedName name="OSRRefE20x_0" localSheetId="91">'Div 5'!$N$19,'Div 5'!$N$30,'Div 5'!$N$41,'Div 5'!$N$43,'Div 5'!$N$45,'Div 5'!$N$47,'Div 5'!$N$50,'Div 5'!$N$52,'Div 5'!$N$54,'Div 5'!$N$56,'Div 5'!$N$60,'Div 5'!$N$62,'Div 5'!$N$66,'Div 5'!$N$68</definedName>
    <definedName name="OSRRefE20x_0" localSheetId="61">'Div 6'!$N$33,'Div 6'!$N$44,'Div 6'!$N$55,'Div 6'!$N$57,'Div 6'!$N$59,'Div 6'!$N$61,'Div 6'!$N$63,'Div 6'!$N$65,'Div 6'!$N$67,'Div 6'!$N$69,'Div 6'!$N$72</definedName>
    <definedName name="OSRRefE20x_0" localSheetId="2">Summary!$N$66,Summary!$N$77,Summary!$N$88,Summary!$N$90,Summary!$N$92,Summary!$N$94,Summary!$N$97,Summary!$N$100,Summary!$N$102,Summary!$N$104,Summary!$N$106,Summary!$N$109,Summary!$N$111,Summary!$N$113,Summary!$N$115,Summary!$N$117,Summary!$N$119,Summary!$N$121,Summary!$N$123,Summary!$N$128,Summary!$N$133,Summary!$N$139,Summary!$N$142,Summary!$N$153,Summary!$N$156,Summary!$N$158,Summary!$N$162</definedName>
    <definedName name="OSRRefE20x_1" localSheetId="40">'200'!$O$18,'200'!$O$20,'200'!$O$22,'200'!$O$24</definedName>
    <definedName name="OSRRefE20x_1" localSheetId="41">'201'!$O$18,'201'!$O$28,'201'!$O$39,'201'!$O$41,'201'!$O$43,'201'!$O$45,'201'!$O$47,'201'!$O$49,'201'!$O$51,'201'!$O$53,'201'!$O$57,'201'!$O$60,'201'!$O$62,'201'!$O$65,'201'!$O$67</definedName>
    <definedName name="OSRRefE20x_1" localSheetId="42">'202'!$O$18,'202'!$O$28,'202'!$O$39,'202'!$O$41,'202'!$O$43,'202'!$O$45,'202'!$O$47,'202'!$O$49,'202'!$O$53,'202'!$O$55,'202'!$O$58,'202'!$O$60,'202'!$O$62</definedName>
    <definedName name="OSRRefE20x_1" localSheetId="43">'203'!$O$18,'203'!$O$29,'203'!$O$40,'203'!$O$42,'203'!$O$44,'203'!$O$46,'203'!$O$48,'203'!$O$50,'203'!$O$52,'203'!$O$56,'203'!$O$59,'203'!$O$62,'203'!$O$67,'203'!$O$69</definedName>
    <definedName name="OSRRefE20x_1" localSheetId="44">'204'!$O$18,'204'!$O$28,'204'!$O$39,'204'!$O$42,'204'!$O$44,'204'!$O$49,'204'!$O$51,'204'!$O$54,'204'!$O$56</definedName>
    <definedName name="OSRRefE20x_1" localSheetId="45">'205'!$O$18,'205'!$O$28,'205'!$O$39,'205'!$O$41,'205'!$O$43,'205'!$O$46,'205'!$O$48,'205'!$O$51</definedName>
    <definedName name="OSRRefE20x_1" localSheetId="46">'206'!$O$18,'206'!$O$28,'206'!$O$39,'206'!$O$41,'206'!$O$44,'206'!$O$46</definedName>
    <definedName name="OSRRefE20x_1" localSheetId="48">'300'!$O$52,'300'!$O$63,'300'!$O$74,'300'!$O$76,'300'!$O$78,'300'!$O$80,'300'!$O$83,'300'!$O$86,'300'!$O$88,'300'!$O$90,'300'!$O$92,'300'!$O$95,'300'!$O$97,'300'!$O$99,'300'!$O$101,'300'!$O$103,'300'!$O$105,'300'!$O$110,'300'!$O$115,'300'!$O$119,'300'!$O$122,'300'!$O$130,'300'!$O$133,'300'!$O$135,'300'!$O$139</definedName>
    <definedName name="OSRRefE20x_1" localSheetId="49">'300 &amp; 317'!$O$58,'300 &amp; 317'!$O$69,'300 &amp; 317'!$O$80,'300 &amp; 317'!$O$82,'300 &amp; 317'!$O$84,'300 &amp; 317'!$O$86,'300 &amp; 317'!$O$89,'300 &amp; 317'!$O$92,'300 &amp; 317'!$O$94,'300 &amp; 317'!$O$96,'300 &amp; 317'!$O$98,'300 &amp; 317'!$O$101,'300 &amp; 317'!$O$103,'300 &amp; 317'!$O$105,'300 &amp; 317'!$O$107,'300 &amp; 317'!$O$109,'300 &amp; 317'!$O$111,'300 &amp; 317'!$O$116,'300 &amp; 317'!$O$121,'300 &amp; 317'!$O$125,'300 &amp; 317'!$O$128,'300 &amp; 317'!$O$136,'300 &amp; 317'!$O$139,'300 &amp; 317'!$O$141,'300 &amp; 317'!$O$145</definedName>
    <definedName name="OSRRefE20x_1" localSheetId="50">'301'!$O$19,'301'!$O$30,'301'!$O$41,'301'!$O$43,'301'!$O$45,'301'!$O$47,'301'!$O$50,'301'!$O$53,'301'!$O$55,'301'!$O$57,'301'!$O$59,'301'!$O$61,'301'!$O$63,'301'!$O$65,'301'!$O$67,'301'!$O$69,'301'!$O$74,'301'!$O$77,'301'!$O$79,'301'!$O$86,'301'!$O$88,'301'!$O$90,'301'!$O$93</definedName>
    <definedName name="OSRRefE20x_1" localSheetId="55">'307'!$O$32,'307'!$O$42,'307'!$O$53,'307'!$O$55,'307'!$O$57,'307'!$O$59,'307'!$O$61,'307'!$O$63,'307'!$O$65,'307'!$O$67,'307'!$O$70,'307'!$O$73,'307'!$O$75,'307'!$O$80</definedName>
    <definedName name="OSRRefE20x_1" localSheetId="51">'308'!$O$33,'308'!$O$44,'308'!$O$55,'308'!$O$57,'308'!$O$59,'308'!$O$61,'308'!$O$63,'308'!$O$66,'308'!$O$68,'308'!$O$70,'308'!$O$74,'308'!$O$77,'308'!$O$80,'308'!$O$83</definedName>
    <definedName name="OSRRefE20x_1" localSheetId="64">'309'!$O$24,'309'!$O$27,'309'!$O$30,'309'!$O$32,'309'!$O$34,'309'!$O$36,'309'!$O$38,'309'!$O$40,'309'!$O$42,'309'!$O$45,'309'!$O$48,'309'!$O$51,'309'!$O$53</definedName>
    <definedName name="OSRRefE20x_1" localSheetId="63">'310'!$O$27,'310'!$O$38,'310'!$O$49,'310'!$O$51,'310'!$O$53,'310'!$O$55,'310'!$O$58,'310'!$O$60,'310'!$O$62,'310'!$O$64,'310'!$O$66,'310'!$O$68,'310'!$O$71,'310'!$O$74,'310'!$O$78,'310'!$O$85,'310'!$O$88,'310'!$O$90</definedName>
    <definedName name="OSRRefE20x_1" localSheetId="71">'310 &amp; 491'!$O$27,'310 &amp; 491'!$O$38,'310 &amp; 491'!$O$49,'310 &amp; 491'!$O$51,'310 &amp; 491'!$O$53,'310 &amp; 491'!$O$55,'310 &amp; 491'!$O$58,'310 &amp; 491'!$O$60,'310 &amp; 491'!$O$62,'310 &amp; 491'!$O$64,'310 &amp; 491'!$O$66,'310 &amp; 491'!$O$68,'310 &amp; 491'!$O$70,'310 &amp; 491'!$O$74,'310 &amp; 491'!$O$77,'310 &amp; 491'!$O$83,'310 &amp; 491'!$O$85,'310 &amp; 491'!$O$95,'310 &amp; 491'!$O$98,'310 &amp; 491'!$O$100,'310 &amp; 491'!$O$103</definedName>
    <definedName name="OSRRefE20x_1" localSheetId="52">'311'!$O$33,'311'!$O$44,'311'!$O$55,'311'!$O$57,'311'!$O$59,'311'!$O$61,'311'!$O$63,'311'!$O$66,'311'!$O$68,'311'!$O$70,'311'!$O$74,'311'!$O$77,'311'!$O$80,'311'!$O$83</definedName>
    <definedName name="OSRRefE20x_1" localSheetId="65">'313'!$O$18,'313'!$O$20,'313'!$O$22</definedName>
    <definedName name="OSRRefE20x_1" localSheetId="57">'315'!$O$42,'315'!$O$52,'315'!$O$63,'315'!$O$65,'315'!$O$67,'315'!$O$69,'315'!$O$71,'315'!$O$73,'315'!$O$75,'315'!$O$78,'315'!$O$80,'315'!$O$82,'315'!$O$84,'315'!$O$87,'315'!$O$91,'315'!$O$94,'315'!$O$99,'315'!$O$101,'315'!$O$103</definedName>
    <definedName name="OSRRefE20x_1" localSheetId="60">'316'!$O$25,'316'!$O$35,'316'!$O$46,'316'!$O$48,'316'!$O$50,'316'!$O$52,'316'!$O$55,'316'!$O$57,'316'!$O$60,'316'!$O$62,'316'!$O$64,'316'!$O$70</definedName>
    <definedName name="OSRRefE20x_1" localSheetId="62">'317'!$O$33,'317'!$O$44,'317'!$O$55,'317'!$O$57,'317'!$O$59,'317'!$O$61,'317'!$O$63,'317'!$O$65,'317'!$O$67,'317'!$O$69,'317'!$O$72</definedName>
    <definedName name="OSRRefE20x_1" localSheetId="66">'321'!$O$22,'321'!$O$33,'321'!$O$44,'321'!$O$46,'321'!$O$48,'321'!$O$50,'321'!$O$52,'321'!$O$54,'321'!$O$57,'321'!$O$60,'321'!$O$64,'321'!$O$69,'321'!$O$71</definedName>
    <definedName name="OSRRefE20x_1" localSheetId="67">'322'!$O$18</definedName>
    <definedName name="OSRRefE20x_1" localSheetId="68">'325'!$O$23,'325'!$O$33,'325'!$O$44,'325'!$O$46,'325'!$O$48,'325'!$O$50,'325'!$O$53,'325'!$O$55,'325'!$O$57,'325'!$O$59,'325'!$O$61,'325'!$O$63,'325'!$O$66,'325'!$O$70,'325'!$O$77,'325'!$O$80,'325'!$O$82</definedName>
    <definedName name="OSRRefE20x_1" localSheetId="58">'326'!$O$26,'326'!$O$36,'326'!$O$47,'326'!$O$49,'326'!$O$51,'326'!$O$53,'326'!$O$55,'326'!$O$57,'326'!$O$59,'326'!$O$61,'326'!$O$63,'326'!$O$65,'326'!$O$68,'326'!$O$71,'326'!$O$74,'326'!$O$78,'326'!$O$80,'326'!$O$83</definedName>
    <definedName name="OSRRefE20x_1" localSheetId="69">'327'!$O$24,'327'!$O$26</definedName>
    <definedName name="OSRRefE20x_1" localSheetId="56">'331'!$O$42,'331'!$O$52,'331'!$O$63,'331'!$O$65,'331'!$O$67,'331'!$O$69,'331'!$O$71,'331'!$O$73,'331'!$O$75,'331'!$O$78,'331'!$O$80,'331'!$O$82,'331'!$O$84,'331'!$O$86,'331'!$O$88,'331'!$O$91,'331'!$O$95,'331'!$O$98,'331'!$O$101,'331'!$O$107,'331'!$O$109,'331'!$O$111,'331'!$O$114</definedName>
    <definedName name="OSRRefE20x_1" localSheetId="59">'332'!$O$25,'332'!$O$35,'332'!$O$46,'332'!$O$48,'332'!$O$50,'332'!$O$52,'332'!$O$55,'332'!$O$57,'332'!$O$60,'332'!$O$62,'332'!$O$64,'332'!$O$70</definedName>
    <definedName name="OSRRefE20x_1" localSheetId="54">'333'!$O$44,'333'!$O$54,'333'!$O$65,'333'!$O$67,'333'!$O$69,'333'!$O$71,'333'!$O$73,'333'!$O$75,'333'!$O$77,'333'!$O$80,'333'!$O$82,'333'!$O$84,'333'!$O$86,'333'!$O$88,'333'!$O$90,'333'!$O$93,'333'!$O$97,'333'!$O$101,'333'!$O$104,'333'!$O$111,'333'!$O$113,'333'!$O$115,'333'!$O$118</definedName>
    <definedName name="OSRRefE20x_1" localSheetId="73">'405'!$O$25,'405'!$O$35,'405'!$O$46,'405'!$O$48,'405'!$O$50,'405'!$O$52,'405'!$O$55,'405'!$O$57,'405'!$O$59,'405'!$O$61,'405'!$O$64,'405'!$O$68,'405'!$O$70,'405'!$O$80,'405'!$O$82,'405'!$O$84</definedName>
    <definedName name="OSRRefE20x_1" localSheetId="74">'406'!$O$18</definedName>
    <definedName name="OSRRefE20x_1" localSheetId="75">'411'!$O$18,'411'!$O$28,'411'!$O$39,'411'!$O$41,'411'!$O$44,'411'!$O$46,'411'!$O$48,'411'!$O$50,'411'!$O$52,'411'!$O$56,'411'!$O$59,'411'!$O$61,'411'!$O$64,'411'!$O$66,'411'!$O$69</definedName>
    <definedName name="OSRRefE20x_1" localSheetId="76">'412'!$O$18,'412'!$O$20,'412'!$O$22,'412'!$O$24</definedName>
    <definedName name="OSRRefE20x_1" localSheetId="77">'413'!$O$18,'413'!$O$20</definedName>
    <definedName name="OSRRefE20x_1" localSheetId="78">'414'!$O$18,'414'!$O$20</definedName>
    <definedName name="OSRRefE20x_1" localSheetId="79">'415'!$O$25,'415'!$O$36,'415'!$O$47,'415'!$O$49,'415'!$O$51,'415'!$O$53,'415'!$O$56,'415'!$O$58,'415'!$O$60,'415'!$O$62,'415'!$O$64,'415'!$O$66,'415'!$O$69,'415'!$O$74,'415'!$O$76,'415'!$O$83,'415'!$O$86,'415'!$O$88</definedName>
    <definedName name="OSRRefE20x_1" localSheetId="80">'418'!$O$22,'418'!$O$32,'418'!$O$43,'418'!$O$45,'418'!$O$47,'418'!$O$50,'418'!$O$52,'418'!$O$54,'418'!$O$56,'418'!$O$59,'418'!$O$63,'418'!$O$65,'418'!$O$72,'418'!$O$75,'418'!$O$77</definedName>
    <definedName name="OSRRefE20x_1" localSheetId="81">'423'!$O$18,'423'!$O$27,'423'!$O$38,'423'!$O$40,'423'!$O$42</definedName>
    <definedName name="OSRRefE20x_1" localSheetId="82">'424'!$O$18,'424'!$O$20</definedName>
    <definedName name="OSRRefE20x_1" localSheetId="83">'425'!$O$20,'425'!$O$22,'425'!$O$24,'425'!$O$26,'425'!$O$28</definedName>
    <definedName name="OSRRefE20x_1" localSheetId="86">'430'!$O$18,'430'!$O$28,'430'!$O$39,'430'!$O$41,'430'!$O$43,'430'!$O$45,'430'!$O$48,'430'!$O$51,'430'!$O$53</definedName>
    <definedName name="OSRRefE20x_1" localSheetId="87">'433'!$O$25,'433'!$O$36,'433'!$O$47,'433'!$O$49,'433'!$O$51,'433'!$O$53,'433'!$O$55,'433'!$O$57,'433'!$O$59,'433'!$O$61,'433'!$O$63,'433'!$O$65,'433'!$O$69,'433'!$O$74,'433'!$O$83,'433'!$O$85</definedName>
    <definedName name="OSRRefE20x_1" localSheetId="88">'435'!$O$21,'435'!$O$24,'435'!$O$26,'435'!$O$28,'435'!$O$30</definedName>
    <definedName name="OSRRefE20x_1" localSheetId="89">'444'!$O$25,'444'!$O$36,'444'!$O$47,'444'!$O$49,'444'!$O$51,'444'!$O$53,'444'!$O$55,'444'!$O$57,'444'!$O$59,'444'!$O$61,'444'!$O$63,'444'!$O$65,'444'!$O$68,'444'!$O$73,'444'!$O$83,'444'!$O$85</definedName>
    <definedName name="OSRRefE20x_1" localSheetId="90">'450'!$O$25,'450'!$O$36,'450'!$O$47,'450'!$O$49,'450'!$O$51,'450'!$O$53,'450'!$O$55,'450'!$O$57,'450'!$O$59,'450'!$O$61,'450'!$O$63,'450'!$O$65,'450'!$O$68,'450'!$O$73,'450'!$O$81,'450'!$O$83,'450'!$O$85</definedName>
    <definedName name="OSRRefE20x_1" localSheetId="72">'491'!$O$26,'491'!$O$37,'491'!$O$48,'491'!$O$50,'491'!$O$52,'491'!$O$54,'491'!$O$57,'491'!$O$59,'491'!$O$61,'491'!$O$63,'491'!$O$65,'491'!$O$67,'491'!$O$69,'491'!$O$73,'491'!$O$75,'491'!$O$81,'491'!$O$83,'491'!$O$93,'491'!$O$96,'491'!$O$98,'491'!$O$101</definedName>
    <definedName name="OSRRefE20x_1" localSheetId="85">'492'!$O$27,'492'!$O$38,'492'!$O$49,'492'!$O$51,'492'!$O$53,'492'!$O$55,'492'!$O$57,'492'!$O$59,'492'!$O$61,'492'!$O$63,'492'!$O$65,'492'!$O$67,'492'!$O$69,'492'!$O$73,'492'!$O$78,'492'!$O$88,'492'!$O$91,'492'!$O$93</definedName>
    <definedName name="OSRRefE20x_1" localSheetId="92">'501'!$O$19,'501'!$O$30,'501'!$O$41,'501'!$O$43,'501'!$O$45,'501'!$O$47,'501'!$O$50,'501'!$O$52,'501'!$O$54,'501'!$O$56,'501'!$O$60,'501'!$O$62,'501'!$O$66,'501'!$O$68</definedName>
    <definedName name="OSRRefE20x_1" localSheetId="39">'Div 2'!$O$18,'Div 2'!$O$30,'Div 2'!$O$41,'Div 2'!$O$43,'Div 2'!$O$45,'Div 2'!$O$47,'Div 2'!$O$50,'Div 2'!$O$52,'Div 2'!$O$54,'Div 2'!$O$56,'Div 2'!$O$58,'Div 2'!$O$60,'Div 2'!$O$62,'Div 2'!$O$67,'Div 2'!$O$72,'Div 2'!$O$75,'Div 2'!$O$78,'Div 2'!$O$84,'Div 2'!$O$87,'Div 2'!$O$89</definedName>
    <definedName name="OSRRefE20x_1" localSheetId="47">'Div 3'!$O$58,'Div 3'!$O$69,'Div 3'!$O$80,'Div 3'!$O$82,'Div 3'!$O$84,'Div 3'!$O$86,'Div 3'!$O$89,'Div 3'!$O$92,'Div 3'!$O$94,'Div 3'!$O$96,'Div 3'!$O$98,'Div 3'!$O$101,'Div 3'!$O$103,'Div 3'!$O$105,'Div 3'!$O$107,'Div 3'!$O$109,'Div 3'!$O$111,'Div 3'!$O$113,'Div 3'!$O$118,'Div 3'!$O$123,'Div 3'!$O$128,'Div 3'!$O$131,'Div 3'!$O$139,'Div 3'!$O$142,'Div 3'!$O$144,'Div 3'!$O$148</definedName>
    <definedName name="OSRRefE20x_1" localSheetId="70">'Div 4'!$O$29,'Div 4'!$O$40,'Div 4'!$O$51,'Div 4'!$O$53,'Div 4'!$O$55,'Div 4'!$O$57,'Div 4'!$O$60,'Div 4'!$O$62,'Div 4'!$O$64,'Div 4'!$O$66,'Div 4'!$O$68,'Div 4'!$O$70,'Div 4'!$O$72,'Div 4'!$O$74,'Div 4'!$O$76,'Div 4'!$O$80,'Div 4'!$O$82,'Div 4'!$O$88,'Div 4'!$O$90,'Div 4'!$O$101,'Div 4'!$O$104,'Div 4'!$O$106,'Div 4'!$O$109</definedName>
    <definedName name="OSRRefE20x_1" localSheetId="91">'Div 5'!$O$19,'Div 5'!$O$30,'Div 5'!$O$41,'Div 5'!$O$43,'Div 5'!$O$45,'Div 5'!$O$47,'Div 5'!$O$50,'Div 5'!$O$52,'Div 5'!$O$54,'Div 5'!$O$56,'Div 5'!$O$60,'Div 5'!$O$62,'Div 5'!$O$66,'Div 5'!$O$68</definedName>
    <definedName name="OSRRefE20x_1" localSheetId="61">'Div 6'!$O$33,'Div 6'!$O$44,'Div 6'!$O$55,'Div 6'!$O$57,'Div 6'!$O$59,'Div 6'!$O$61,'Div 6'!$O$63,'Div 6'!$O$65,'Div 6'!$O$67,'Div 6'!$O$69,'Div 6'!$O$72</definedName>
    <definedName name="OSRRefE20x_1" localSheetId="2">Summary!$O$66,Summary!$O$77,Summary!$O$88,Summary!$O$90,Summary!$O$92,Summary!$O$94,Summary!$O$97,Summary!$O$100,Summary!$O$102,Summary!$O$104,Summary!$O$106,Summary!$O$109,Summary!$O$111,Summary!$O$113,Summary!$O$115,Summary!$O$117,Summary!$O$119,Summary!$O$121,Summary!$O$123,Summary!$O$128,Summary!$O$133,Summary!$O$139,Summary!$O$142,Summary!$O$153,Summary!$O$156,Summary!$O$158,Summary!$O$162</definedName>
    <definedName name="OSRRefE21_0_0x" localSheetId="40">'200'!$N$19:$O$19</definedName>
    <definedName name="OSRRefE21_0_0x" localSheetId="41">'201'!$N$19:$O$19</definedName>
    <definedName name="OSRRefE21_0_0x" localSheetId="42">'202'!$N$19:$O$19</definedName>
    <definedName name="OSRRefE21_0_0x" localSheetId="43">'203'!$N$19:$O$19</definedName>
    <definedName name="OSRRefE21_0_0x" localSheetId="44">'204'!$N$19:$O$19</definedName>
    <definedName name="OSRRefE21_0_0x" localSheetId="45">'205'!$N$19:$O$19</definedName>
    <definedName name="OSRRefE21_0_0x" localSheetId="46">'206'!$N$19:$O$19</definedName>
    <definedName name="OSRRefE21_0_0x" localSheetId="48">'300'!$N$53:$O$53</definedName>
    <definedName name="OSRRefE21_0_0x" localSheetId="49">'300 &amp; 317'!$N$59:$O$59</definedName>
    <definedName name="OSRRefE21_0_0x" localSheetId="50">'301'!$N$20:$O$20</definedName>
    <definedName name="OSRRefE21_0_0x" localSheetId="55">'307'!$N$33:$O$33</definedName>
    <definedName name="OSRRefE21_0_0x" localSheetId="51">'308'!$N$34:$O$34</definedName>
    <definedName name="OSRRefE21_0_0x" localSheetId="64">'309'!$N$25:$O$25</definedName>
    <definedName name="OSRRefE21_0_0x" localSheetId="63">'310'!$N$28:$O$28</definedName>
    <definedName name="OSRRefE21_0_0x" localSheetId="71">'310 &amp; 491'!$N$28:$O$28</definedName>
    <definedName name="OSRRefE21_0_0x" localSheetId="52">'311'!$N$34:$O$34</definedName>
    <definedName name="OSRRefE21_0_0x" localSheetId="65">'313'!$N$19:$O$19</definedName>
    <definedName name="OSRRefE21_0_0x" localSheetId="57">'315'!$N$43:$O$43</definedName>
    <definedName name="OSRRefE21_0_0x" localSheetId="60">'316'!$N$26:$O$26</definedName>
    <definedName name="OSRRefE21_0_0x" localSheetId="62">'317'!$N$34:$O$34</definedName>
    <definedName name="OSRRefE21_0_0x" localSheetId="66">'321'!$N$23:$O$23</definedName>
    <definedName name="OSRRefE21_0_0x" localSheetId="67">'322'!$N$19:$O$19</definedName>
    <definedName name="OSRRefE21_0_0x" localSheetId="68">'325'!$N$24:$O$24</definedName>
    <definedName name="OSRRefE21_0_0x" localSheetId="58">'326'!$N$27:$O$27</definedName>
    <definedName name="OSRRefE21_0_0x" localSheetId="69">'327'!$N$25:$O$25</definedName>
    <definedName name="OSRRefE21_0_0x" localSheetId="56">'331'!$N$43:$O$43</definedName>
    <definedName name="OSRRefE21_0_0x" localSheetId="59">'332'!$N$26:$O$26</definedName>
    <definedName name="OSRRefE21_0_0x" localSheetId="54">'333'!$N$45:$O$45</definedName>
    <definedName name="OSRRefE21_0_0x" localSheetId="73">'405'!$N$26:$O$26</definedName>
    <definedName name="OSRRefE21_0_0x" localSheetId="74">'406'!$N$19:$O$19</definedName>
    <definedName name="OSRRefE21_0_0x" localSheetId="75">'411'!$N$19:$O$19</definedName>
    <definedName name="OSRRefE21_0_0x" localSheetId="76">'412'!$N$19:$O$19</definedName>
    <definedName name="OSRRefE21_0_0x" localSheetId="77">'413'!$N$19:$O$19</definedName>
    <definedName name="OSRRefE21_0_0x" localSheetId="78">'414'!$N$19:$O$19</definedName>
    <definedName name="OSRRefE21_0_0x" localSheetId="79">'415'!$N$26:$O$26</definedName>
    <definedName name="OSRRefE21_0_0x" localSheetId="80">'418'!$N$23:$O$23</definedName>
    <definedName name="OSRRefE21_0_0x" localSheetId="81">'423'!$N$19:$O$19</definedName>
    <definedName name="OSRRefE21_0_0x" localSheetId="82">'424'!$N$19:$O$19</definedName>
    <definedName name="OSRRefE21_0_0x" localSheetId="83">'425'!$N$21:$O$21</definedName>
    <definedName name="OSRRefE21_0_0x" localSheetId="86">'430'!$N$19:$O$19</definedName>
    <definedName name="OSRRefE21_0_0x" localSheetId="87">'433'!$N$26:$O$26</definedName>
    <definedName name="OSRRefE21_0_0x" localSheetId="88">'435'!$N$22:$O$22</definedName>
    <definedName name="OSRRefE21_0_0x" localSheetId="89">'444'!$N$26:$O$26</definedName>
    <definedName name="OSRRefE21_0_0x" localSheetId="90">'450'!$N$26:$O$26</definedName>
    <definedName name="OSRRefE21_0_0x" localSheetId="72">'491'!$N$27:$O$27</definedName>
    <definedName name="OSRRefE21_0_0x" localSheetId="85">'492'!$N$28:$O$28</definedName>
    <definedName name="OSRRefE21_0_0x" localSheetId="92">'501'!$N$20:$O$20</definedName>
    <definedName name="OSRRefE21_0_0x" localSheetId="39">'Div 2'!$N$19:$O$19</definedName>
    <definedName name="OSRRefE21_0_0x" localSheetId="47">'Div 3'!$N$59:$O$59</definedName>
    <definedName name="OSRRefE21_0_0x" localSheetId="70">'Div 4'!$N$30:$O$30</definedName>
    <definedName name="OSRRefE21_0_0x" localSheetId="91">'Div 5'!$N$20:$O$20</definedName>
    <definedName name="OSRRefE21_0_0x" localSheetId="61">'Div 6'!$N$34:$O$34</definedName>
    <definedName name="OSRRefE21_0_0x" localSheetId="2">Summary!$N$67:$O$67</definedName>
    <definedName name="OSRRefE21_0_10x" localSheetId="39">'Div 2'!$N$29:$O$29</definedName>
    <definedName name="OSRRefE21_0_1x" localSheetId="41">'201'!$N$20:$O$20</definedName>
    <definedName name="OSRRefE21_0_1x" localSheetId="42">'202'!$N$20:$O$20</definedName>
    <definedName name="OSRRefE21_0_1x" localSheetId="43">'203'!$N$20:$O$20</definedName>
    <definedName name="OSRRefE21_0_1x" localSheetId="44">'204'!$N$20:$O$20</definedName>
    <definedName name="OSRRefE21_0_1x" localSheetId="45">'205'!$N$20:$O$20</definedName>
    <definedName name="OSRRefE21_0_1x" localSheetId="46">'206'!$N$20:$O$20</definedName>
    <definedName name="OSRRefE21_0_1x" localSheetId="48">'300'!$N$54:$O$54</definedName>
    <definedName name="OSRRefE21_0_1x" localSheetId="49">'300 &amp; 317'!$N$60:$O$60</definedName>
    <definedName name="OSRRefE21_0_1x" localSheetId="50">'301'!$N$21:$O$21</definedName>
    <definedName name="OSRRefE21_0_1x" localSheetId="55">'307'!$N$34:$O$34</definedName>
    <definedName name="OSRRefE21_0_1x" localSheetId="51">'308'!$N$35:$O$35</definedName>
    <definedName name="OSRRefE21_0_1x" localSheetId="64">'309'!$N$26:$O$26</definedName>
    <definedName name="OSRRefE21_0_1x" localSheetId="63">'310'!$N$29:$O$29</definedName>
    <definedName name="OSRRefE21_0_1x" localSheetId="71">'310 &amp; 491'!$N$29:$O$29</definedName>
    <definedName name="OSRRefE21_0_1x" localSheetId="52">'311'!$N$35:$O$35</definedName>
    <definedName name="OSRRefE21_0_1x" localSheetId="57">'315'!$N$44:$O$44</definedName>
    <definedName name="OSRRefE21_0_1x" localSheetId="60">'316'!$N$27:$O$27</definedName>
    <definedName name="OSRRefE21_0_1x" localSheetId="62">'317'!$N$35:$O$35</definedName>
    <definedName name="OSRRefE21_0_1x" localSheetId="66">'321'!$N$24:$O$24</definedName>
    <definedName name="OSRRefE21_0_1x" localSheetId="68">'325'!$N$25:$O$25</definedName>
    <definedName name="OSRRefE21_0_1x" localSheetId="58">'326'!$N$28:$O$28</definedName>
    <definedName name="OSRRefE21_0_1x" localSheetId="56">'331'!$N$44:$O$44</definedName>
    <definedName name="OSRRefE21_0_1x" localSheetId="59">'332'!$N$27:$O$27</definedName>
    <definedName name="OSRRefE21_0_1x" localSheetId="54">'333'!$N$46:$O$46</definedName>
    <definedName name="OSRRefE21_0_1x" localSheetId="73">'405'!$N$27:$O$27</definedName>
    <definedName name="OSRRefE21_0_1x" localSheetId="75">'411'!$N$20:$O$20</definedName>
    <definedName name="OSRRefE21_0_1x" localSheetId="79">'415'!$N$27:$O$27</definedName>
    <definedName name="OSRRefE21_0_1x" localSheetId="80">'418'!$N$24:$O$24</definedName>
    <definedName name="OSRRefE21_0_1x" localSheetId="81">'423'!$N$20:$O$20</definedName>
    <definedName name="OSRRefE21_0_1x" localSheetId="86">'430'!$N$20:$O$20</definedName>
    <definedName name="OSRRefE21_0_1x" localSheetId="87">'433'!$N$27:$O$27</definedName>
    <definedName name="OSRRefE21_0_1x" localSheetId="88">'435'!$N$23:$O$23</definedName>
    <definedName name="OSRRefE21_0_1x" localSheetId="89">'444'!$N$27:$O$27</definedName>
    <definedName name="OSRRefE21_0_1x" localSheetId="90">'450'!$N$27:$O$27</definedName>
    <definedName name="OSRRefE21_0_1x" localSheetId="72">'491'!$N$28:$O$28</definedName>
    <definedName name="OSRRefE21_0_1x" localSheetId="85">'492'!$N$29:$O$29</definedName>
    <definedName name="OSRRefE21_0_1x" localSheetId="92">'501'!$N$21:$O$21</definedName>
    <definedName name="OSRRefE21_0_1x" localSheetId="39">'Div 2'!$N$20:$O$20</definedName>
    <definedName name="OSRRefE21_0_1x" localSheetId="47">'Div 3'!$N$60:$O$60</definedName>
    <definedName name="OSRRefE21_0_1x" localSheetId="70">'Div 4'!$N$31:$O$31</definedName>
    <definedName name="OSRRefE21_0_1x" localSheetId="91">'Div 5'!$N$21:$O$21</definedName>
    <definedName name="OSRRefE21_0_1x" localSheetId="61">'Div 6'!$N$35:$O$35</definedName>
    <definedName name="OSRRefE21_0_1x" localSheetId="2">Summary!$N$68:$O$68</definedName>
    <definedName name="OSRRefE21_0_2x" localSheetId="41">'201'!$N$21:$O$21</definedName>
    <definedName name="OSRRefE21_0_2x" localSheetId="42">'202'!$N$21:$O$21</definedName>
    <definedName name="OSRRefE21_0_2x" localSheetId="43">'203'!$N$21:$O$21</definedName>
    <definedName name="OSRRefE21_0_2x" localSheetId="44">'204'!$N$21:$O$21</definedName>
    <definedName name="OSRRefE21_0_2x" localSheetId="45">'205'!$N$21:$O$21</definedName>
    <definedName name="OSRRefE21_0_2x" localSheetId="46">'206'!$N$21:$O$21</definedName>
    <definedName name="OSRRefE21_0_2x" localSheetId="48">'300'!$N$55:$O$55</definedName>
    <definedName name="OSRRefE21_0_2x" localSheetId="49">'300 &amp; 317'!$N$61:$O$61</definedName>
    <definedName name="OSRRefE21_0_2x" localSheetId="50">'301'!$N$22:$O$22</definedName>
    <definedName name="OSRRefE21_0_2x" localSheetId="55">'307'!$N$35:$O$35</definedName>
    <definedName name="OSRRefE21_0_2x" localSheetId="51">'308'!$N$36:$O$36</definedName>
    <definedName name="OSRRefE21_0_2x" localSheetId="63">'310'!$N$30:$O$30</definedName>
    <definedName name="OSRRefE21_0_2x" localSheetId="71">'310 &amp; 491'!$N$30:$O$30</definedName>
    <definedName name="OSRRefE21_0_2x" localSheetId="52">'311'!$N$36:$O$36</definedName>
    <definedName name="OSRRefE21_0_2x" localSheetId="57">'315'!$N$45:$O$45</definedName>
    <definedName name="OSRRefE21_0_2x" localSheetId="60">'316'!$N$28:$O$28</definedName>
    <definedName name="OSRRefE21_0_2x" localSheetId="62">'317'!$N$36:$O$36</definedName>
    <definedName name="OSRRefE21_0_2x" localSheetId="66">'321'!$N$25:$O$25</definedName>
    <definedName name="OSRRefE21_0_2x" localSheetId="68">'325'!$N$26:$O$26</definedName>
    <definedName name="OSRRefE21_0_2x" localSheetId="58">'326'!$N$29:$O$29</definedName>
    <definedName name="OSRRefE21_0_2x" localSheetId="56">'331'!$N$45:$O$45</definedName>
    <definedName name="OSRRefE21_0_2x" localSheetId="59">'332'!$N$28:$O$28</definedName>
    <definedName name="OSRRefE21_0_2x" localSheetId="54">'333'!$N$47:$O$47</definedName>
    <definedName name="OSRRefE21_0_2x" localSheetId="73">'405'!$N$28:$O$28</definedName>
    <definedName name="OSRRefE21_0_2x" localSheetId="75">'411'!$N$21:$O$21</definedName>
    <definedName name="OSRRefE21_0_2x" localSheetId="79">'415'!$N$28:$O$28</definedName>
    <definedName name="OSRRefE21_0_2x" localSheetId="80">'418'!$N$25:$O$25</definedName>
    <definedName name="OSRRefE21_0_2x" localSheetId="81">'423'!$N$21:$O$21</definedName>
    <definedName name="OSRRefE21_0_2x" localSheetId="86">'430'!$N$21:$O$21</definedName>
    <definedName name="OSRRefE21_0_2x" localSheetId="87">'433'!$N$28:$O$28</definedName>
    <definedName name="OSRRefE21_0_2x" localSheetId="89">'444'!$N$28:$O$28</definedName>
    <definedName name="OSRRefE21_0_2x" localSheetId="90">'450'!$N$28:$O$28</definedName>
    <definedName name="OSRRefE21_0_2x" localSheetId="72">'491'!$N$29:$O$29</definedName>
    <definedName name="OSRRefE21_0_2x" localSheetId="85">'492'!$N$30:$O$30</definedName>
    <definedName name="OSRRefE21_0_2x" localSheetId="92">'501'!$N$22:$O$22</definedName>
    <definedName name="OSRRefE21_0_2x" localSheetId="39">'Div 2'!$N$21:$O$21</definedName>
    <definedName name="OSRRefE21_0_2x" localSheetId="47">'Div 3'!$N$61:$O$61</definedName>
    <definedName name="OSRRefE21_0_2x" localSheetId="70">'Div 4'!$N$32:$O$32</definedName>
    <definedName name="OSRRefE21_0_2x" localSheetId="91">'Div 5'!$N$22:$O$22</definedName>
    <definedName name="OSRRefE21_0_2x" localSheetId="61">'Div 6'!$N$36:$O$36</definedName>
    <definedName name="OSRRefE21_0_2x" localSheetId="2">Summary!$N$69:$O$69</definedName>
    <definedName name="OSRRefE21_0_3x" localSheetId="41">'201'!$N$22:$O$22</definedName>
    <definedName name="OSRRefE21_0_3x" localSheetId="42">'202'!$N$22:$O$22</definedName>
    <definedName name="OSRRefE21_0_3x" localSheetId="43">'203'!$N$22:$O$22</definedName>
    <definedName name="OSRRefE21_0_3x" localSheetId="44">'204'!$N$22:$O$22</definedName>
    <definedName name="OSRRefE21_0_3x" localSheetId="45">'205'!$N$22:$O$22</definedName>
    <definedName name="OSRRefE21_0_3x" localSheetId="46">'206'!$N$22:$O$22</definedName>
    <definedName name="OSRRefE21_0_3x" localSheetId="48">'300'!$N$56:$O$56</definedName>
    <definedName name="OSRRefE21_0_3x" localSheetId="49">'300 &amp; 317'!$N$62:$O$62</definedName>
    <definedName name="OSRRefE21_0_3x" localSheetId="50">'301'!$N$23:$O$23</definedName>
    <definedName name="OSRRefE21_0_3x" localSheetId="55">'307'!$N$36:$O$36</definedName>
    <definedName name="OSRRefE21_0_3x" localSheetId="51">'308'!$N$37:$O$37</definedName>
    <definedName name="OSRRefE21_0_3x" localSheetId="63">'310'!$N$31:$O$31</definedName>
    <definedName name="OSRRefE21_0_3x" localSheetId="71">'310 &amp; 491'!$N$31:$O$31</definedName>
    <definedName name="OSRRefE21_0_3x" localSheetId="52">'311'!$N$37:$O$37</definedName>
    <definedName name="OSRRefE21_0_3x" localSheetId="57">'315'!$N$46:$O$46</definedName>
    <definedName name="OSRRefE21_0_3x" localSheetId="60">'316'!$N$29:$O$29</definedName>
    <definedName name="OSRRefE21_0_3x" localSheetId="62">'317'!$N$37:$O$37</definedName>
    <definedName name="OSRRefE21_0_3x" localSheetId="66">'321'!$N$26:$O$26</definedName>
    <definedName name="OSRRefE21_0_3x" localSheetId="68">'325'!$N$27:$O$27</definedName>
    <definedName name="OSRRefE21_0_3x" localSheetId="58">'326'!$N$30:$O$30</definedName>
    <definedName name="OSRRefE21_0_3x" localSheetId="56">'331'!$N$46:$O$46</definedName>
    <definedName name="OSRRefE21_0_3x" localSheetId="59">'332'!$N$29:$O$29</definedName>
    <definedName name="OSRRefE21_0_3x" localSheetId="54">'333'!$N$48:$O$48</definedName>
    <definedName name="OSRRefE21_0_3x" localSheetId="73">'405'!$N$29:$O$29</definedName>
    <definedName name="OSRRefE21_0_3x" localSheetId="75">'411'!$N$22:$O$22</definedName>
    <definedName name="OSRRefE21_0_3x" localSheetId="79">'415'!$N$29:$O$29</definedName>
    <definedName name="OSRRefE21_0_3x" localSheetId="80">'418'!$N$26:$O$26</definedName>
    <definedName name="OSRRefE21_0_3x" localSheetId="81">'423'!$N$22:$O$22</definedName>
    <definedName name="OSRRefE21_0_3x" localSheetId="86">'430'!$N$22:$O$22</definedName>
    <definedName name="OSRRefE21_0_3x" localSheetId="87">'433'!$N$29:$O$29</definedName>
    <definedName name="OSRRefE21_0_3x" localSheetId="89">'444'!$N$29:$O$29</definedName>
    <definedName name="OSRRefE21_0_3x" localSheetId="90">'450'!$N$29:$O$29</definedName>
    <definedName name="OSRRefE21_0_3x" localSheetId="72">'491'!$N$30:$O$30</definedName>
    <definedName name="OSRRefE21_0_3x" localSheetId="85">'492'!$N$31:$O$31</definedName>
    <definedName name="OSRRefE21_0_3x" localSheetId="92">'501'!$N$23:$O$23</definedName>
    <definedName name="OSRRefE21_0_3x" localSheetId="39">'Div 2'!$N$22:$O$22</definedName>
    <definedName name="OSRRefE21_0_3x" localSheetId="47">'Div 3'!$N$62:$O$62</definedName>
    <definedName name="OSRRefE21_0_3x" localSheetId="70">'Div 4'!$N$33:$O$33</definedName>
    <definedName name="OSRRefE21_0_3x" localSheetId="91">'Div 5'!$N$23:$O$23</definedName>
    <definedName name="OSRRefE21_0_3x" localSheetId="61">'Div 6'!$N$37:$O$37</definedName>
    <definedName name="OSRRefE21_0_3x" localSheetId="2">Summary!$N$70:$O$70</definedName>
    <definedName name="OSRRefE21_0_4x" localSheetId="41">'201'!$N$23:$O$23</definedName>
    <definedName name="OSRRefE21_0_4x" localSheetId="42">'202'!$N$23:$O$23</definedName>
    <definedName name="OSRRefE21_0_4x" localSheetId="43">'203'!$N$23:$O$23</definedName>
    <definedName name="OSRRefE21_0_4x" localSheetId="44">'204'!$N$23:$O$23</definedName>
    <definedName name="OSRRefE21_0_4x" localSheetId="45">'205'!$N$23:$O$23</definedName>
    <definedName name="OSRRefE21_0_4x" localSheetId="46">'206'!$N$23:$O$23</definedName>
    <definedName name="OSRRefE21_0_4x" localSheetId="48">'300'!$N$57:$O$57</definedName>
    <definedName name="OSRRefE21_0_4x" localSheetId="49">'300 &amp; 317'!$N$63:$O$63</definedName>
    <definedName name="OSRRefE21_0_4x" localSheetId="50">'301'!$N$24:$O$24</definedName>
    <definedName name="OSRRefE21_0_4x" localSheetId="55">'307'!$N$37:$O$37</definedName>
    <definedName name="OSRRefE21_0_4x" localSheetId="51">'308'!$N$38:$O$38</definedName>
    <definedName name="OSRRefE21_0_4x" localSheetId="63">'310'!$N$32:$O$32</definedName>
    <definedName name="OSRRefE21_0_4x" localSheetId="71">'310 &amp; 491'!$N$32:$O$32</definedName>
    <definedName name="OSRRefE21_0_4x" localSheetId="52">'311'!$N$38:$O$38</definedName>
    <definedName name="OSRRefE21_0_4x" localSheetId="57">'315'!$N$47:$O$47</definedName>
    <definedName name="OSRRefE21_0_4x" localSheetId="60">'316'!$N$30:$O$30</definedName>
    <definedName name="OSRRefE21_0_4x" localSheetId="62">'317'!$N$38:$O$38</definedName>
    <definedName name="OSRRefE21_0_4x" localSheetId="66">'321'!$N$27:$O$27</definedName>
    <definedName name="OSRRefE21_0_4x" localSheetId="68">'325'!$N$28:$O$28</definedName>
    <definedName name="OSRRefE21_0_4x" localSheetId="58">'326'!$N$31:$O$31</definedName>
    <definedName name="OSRRefE21_0_4x" localSheetId="56">'331'!$N$47:$O$47</definedName>
    <definedName name="OSRRefE21_0_4x" localSheetId="59">'332'!$N$30:$O$30</definedName>
    <definedName name="OSRRefE21_0_4x" localSheetId="54">'333'!$N$49:$O$49</definedName>
    <definedName name="OSRRefE21_0_4x" localSheetId="73">'405'!$N$30:$O$30</definedName>
    <definedName name="OSRRefE21_0_4x" localSheetId="75">'411'!$N$23:$O$23</definedName>
    <definedName name="OSRRefE21_0_4x" localSheetId="79">'415'!$N$30:$O$30</definedName>
    <definedName name="OSRRefE21_0_4x" localSheetId="80">'418'!$N$27:$O$27</definedName>
    <definedName name="OSRRefE21_0_4x" localSheetId="81">'423'!$N$23:$O$23</definedName>
    <definedName name="OSRRefE21_0_4x" localSheetId="86">'430'!$N$23:$O$23</definedName>
    <definedName name="OSRRefE21_0_4x" localSheetId="87">'433'!$N$30:$O$30</definedName>
    <definedName name="OSRRefE21_0_4x" localSheetId="89">'444'!$N$30:$O$30</definedName>
    <definedName name="OSRRefE21_0_4x" localSheetId="90">'450'!$N$30:$O$30</definedName>
    <definedName name="OSRRefE21_0_4x" localSheetId="72">'491'!$N$31:$O$31</definedName>
    <definedName name="OSRRefE21_0_4x" localSheetId="85">'492'!$N$32:$O$32</definedName>
    <definedName name="OSRRefE21_0_4x" localSheetId="92">'501'!$N$24:$O$24</definedName>
    <definedName name="OSRRefE21_0_4x" localSheetId="39">'Div 2'!$N$23:$O$23</definedName>
    <definedName name="OSRRefE21_0_4x" localSheetId="47">'Div 3'!$N$63:$O$63</definedName>
    <definedName name="OSRRefE21_0_4x" localSheetId="70">'Div 4'!$N$34:$O$34</definedName>
    <definedName name="OSRRefE21_0_4x" localSheetId="91">'Div 5'!$N$24:$O$24</definedName>
    <definedName name="OSRRefE21_0_4x" localSheetId="61">'Div 6'!$N$38:$O$38</definedName>
    <definedName name="OSRRefE21_0_4x" localSheetId="2">Summary!$N$71:$O$71</definedName>
    <definedName name="OSRRefE21_0_5x" localSheetId="41">'201'!$N$24:$O$24</definedName>
    <definedName name="OSRRefE21_0_5x" localSheetId="42">'202'!$N$24:$O$24</definedName>
    <definedName name="OSRRefE21_0_5x" localSheetId="43">'203'!$N$24:$O$24</definedName>
    <definedName name="OSRRefE21_0_5x" localSheetId="44">'204'!$N$24:$O$24</definedName>
    <definedName name="OSRRefE21_0_5x" localSheetId="45">'205'!$N$24:$O$24</definedName>
    <definedName name="OSRRefE21_0_5x" localSheetId="46">'206'!$N$24:$O$24</definedName>
    <definedName name="OSRRefE21_0_5x" localSheetId="48">'300'!$N$58:$O$58</definedName>
    <definedName name="OSRRefE21_0_5x" localSheetId="49">'300 &amp; 317'!$N$64:$O$64</definedName>
    <definedName name="OSRRefE21_0_5x" localSheetId="50">'301'!$N$25:$O$25</definedName>
    <definedName name="OSRRefE21_0_5x" localSheetId="55">'307'!$N$38:$O$38</definedName>
    <definedName name="OSRRefE21_0_5x" localSheetId="51">'308'!$N$39:$O$39</definedName>
    <definedName name="OSRRefE21_0_5x" localSheetId="63">'310'!$N$33:$O$33</definedName>
    <definedName name="OSRRefE21_0_5x" localSheetId="71">'310 &amp; 491'!$N$33:$O$33</definedName>
    <definedName name="OSRRefE21_0_5x" localSheetId="52">'311'!$N$39:$O$39</definedName>
    <definedName name="OSRRefE21_0_5x" localSheetId="57">'315'!$N$48:$O$48</definedName>
    <definedName name="OSRRefE21_0_5x" localSheetId="60">'316'!$N$31:$O$31</definedName>
    <definedName name="OSRRefE21_0_5x" localSheetId="62">'317'!$N$39:$O$39</definedName>
    <definedName name="OSRRefE21_0_5x" localSheetId="66">'321'!$N$28:$O$28</definedName>
    <definedName name="OSRRefE21_0_5x" localSheetId="68">'325'!$N$29:$O$29</definedName>
    <definedName name="OSRRefE21_0_5x" localSheetId="58">'326'!$N$32:$O$32</definedName>
    <definedName name="OSRRefE21_0_5x" localSheetId="56">'331'!$N$48:$O$48</definedName>
    <definedName name="OSRRefE21_0_5x" localSheetId="59">'332'!$N$31:$O$31</definedName>
    <definedName name="OSRRefE21_0_5x" localSheetId="54">'333'!$N$50:$O$50</definedName>
    <definedName name="OSRRefE21_0_5x" localSheetId="73">'405'!$N$31:$O$31</definedName>
    <definedName name="OSRRefE21_0_5x" localSheetId="75">'411'!$N$24:$O$24</definedName>
    <definedName name="OSRRefE21_0_5x" localSheetId="79">'415'!$N$31:$O$31</definedName>
    <definedName name="OSRRefE21_0_5x" localSheetId="80">'418'!$N$28:$O$28</definedName>
    <definedName name="OSRRefE21_0_5x" localSheetId="81">'423'!$N$24:$O$24</definedName>
    <definedName name="OSRRefE21_0_5x" localSheetId="86">'430'!$N$24:$O$24</definedName>
    <definedName name="OSRRefE21_0_5x" localSheetId="87">'433'!$N$31:$O$31</definedName>
    <definedName name="OSRRefE21_0_5x" localSheetId="89">'444'!$N$31:$O$31</definedName>
    <definedName name="OSRRefE21_0_5x" localSheetId="90">'450'!$N$31:$O$31</definedName>
    <definedName name="OSRRefE21_0_5x" localSheetId="72">'491'!$N$32:$O$32</definedName>
    <definedName name="OSRRefE21_0_5x" localSheetId="85">'492'!$N$33:$O$33</definedName>
    <definedName name="OSRRefE21_0_5x" localSheetId="92">'501'!$N$25:$O$25</definedName>
    <definedName name="OSRRefE21_0_5x" localSheetId="39">'Div 2'!$N$24:$O$24</definedName>
    <definedName name="OSRRefE21_0_5x" localSheetId="47">'Div 3'!$N$64:$O$64</definedName>
    <definedName name="OSRRefE21_0_5x" localSheetId="70">'Div 4'!$N$35:$O$35</definedName>
    <definedName name="OSRRefE21_0_5x" localSheetId="91">'Div 5'!$N$25:$O$25</definedName>
    <definedName name="OSRRefE21_0_5x" localSheetId="61">'Div 6'!$N$39:$O$39</definedName>
    <definedName name="OSRRefE21_0_5x" localSheetId="2">Summary!$N$72:$O$72</definedName>
    <definedName name="OSRRefE21_0_6x" localSheetId="41">'201'!$N$25:$O$25</definedName>
    <definedName name="OSRRefE21_0_6x" localSheetId="42">'202'!$N$25:$O$25</definedName>
    <definedName name="OSRRefE21_0_6x" localSheetId="43">'203'!$N$25:$O$25</definedName>
    <definedName name="OSRRefE21_0_6x" localSheetId="44">'204'!$N$25:$O$25</definedName>
    <definedName name="OSRRefE21_0_6x" localSheetId="45">'205'!$N$25:$O$25</definedName>
    <definedName name="OSRRefE21_0_6x" localSheetId="46">'206'!$N$25:$O$25</definedName>
    <definedName name="OSRRefE21_0_6x" localSheetId="48">'300'!$N$59:$O$59</definedName>
    <definedName name="OSRRefE21_0_6x" localSheetId="49">'300 &amp; 317'!$N$65:$O$65</definedName>
    <definedName name="OSRRefE21_0_6x" localSheetId="50">'301'!$N$26:$O$26</definedName>
    <definedName name="OSRRefE21_0_6x" localSheetId="55">'307'!$N$39:$O$39</definedName>
    <definedName name="OSRRefE21_0_6x" localSheetId="51">'308'!$N$40:$O$40</definedName>
    <definedName name="OSRRefE21_0_6x" localSheetId="63">'310'!$N$34:$O$34</definedName>
    <definedName name="OSRRefE21_0_6x" localSheetId="71">'310 &amp; 491'!$N$34:$O$34</definedName>
    <definedName name="OSRRefE21_0_6x" localSheetId="52">'311'!$N$40:$O$40</definedName>
    <definedName name="OSRRefE21_0_6x" localSheetId="57">'315'!$N$49:$O$49</definedName>
    <definedName name="OSRRefE21_0_6x" localSheetId="60">'316'!$N$32:$O$32</definedName>
    <definedName name="OSRRefE21_0_6x" localSheetId="62">'317'!$N$40:$O$40</definedName>
    <definedName name="OSRRefE21_0_6x" localSheetId="66">'321'!$N$29:$O$29</definedName>
    <definedName name="OSRRefE21_0_6x" localSheetId="68">'325'!$N$30:$O$30</definedName>
    <definedName name="OSRRefE21_0_6x" localSheetId="58">'326'!$N$33:$O$33</definedName>
    <definedName name="OSRRefE21_0_6x" localSheetId="56">'331'!$N$49:$O$49</definedName>
    <definedName name="OSRRefE21_0_6x" localSheetId="59">'332'!$N$32:$O$32</definedName>
    <definedName name="OSRRefE21_0_6x" localSheetId="54">'333'!$N$51:$O$51</definedName>
    <definedName name="OSRRefE21_0_6x" localSheetId="73">'405'!$N$32:$O$32</definedName>
    <definedName name="OSRRefE21_0_6x" localSheetId="75">'411'!$N$25:$O$25</definedName>
    <definedName name="OSRRefE21_0_6x" localSheetId="79">'415'!$N$32:$O$32</definedName>
    <definedName name="OSRRefE21_0_6x" localSheetId="80">'418'!$N$29:$O$29</definedName>
    <definedName name="OSRRefE21_0_6x" localSheetId="81">'423'!$N$25:$O$25</definedName>
    <definedName name="OSRRefE21_0_6x" localSheetId="86">'430'!$N$25:$O$25</definedName>
    <definedName name="OSRRefE21_0_6x" localSheetId="87">'433'!$N$32:$O$32</definedName>
    <definedName name="OSRRefE21_0_6x" localSheetId="89">'444'!$N$32:$O$32</definedName>
    <definedName name="OSRRefE21_0_6x" localSheetId="90">'450'!$N$32:$O$32</definedName>
    <definedName name="OSRRefE21_0_6x" localSheetId="72">'491'!$N$33:$O$33</definedName>
    <definedName name="OSRRefE21_0_6x" localSheetId="85">'492'!$N$34:$O$34</definedName>
    <definedName name="OSRRefE21_0_6x" localSheetId="92">'501'!$N$26:$O$26</definedName>
    <definedName name="OSRRefE21_0_6x" localSheetId="39">'Div 2'!$N$25:$O$25</definedName>
    <definedName name="OSRRefE21_0_6x" localSheetId="47">'Div 3'!$N$65:$O$65</definedName>
    <definedName name="OSRRefE21_0_6x" localSheetId="70">'Div 4'!$N$36:$O$36</definedName>
    <definedName name="OSRRefE21_0_6x" localSheetId="91">'Div 5'!$N$26:$O$26</definedName>
    <definedName name="OSRRefE21_0_6x" localSheetId="61">'Div 6'!$N$40:$O$40</definedName>
    <definedName name="OSRRefE21_0_6x" localSheetId="2">Summary!$N$73:$O$73</definedName>
    <definedName name="OSRRefE21_0_7x" localSheetId="41">'201'!$N$26:$O$26</definedName>
    <definedName name="OSRRefE21_0_7x" localSheetId="42">'202'!$N$26:$O$26</definedName>
    <definedName name="OSRRefE21_0_7x" localSheetId="43">'203'!$N$26:$O$26</definedName>
    <definedName name="OSRRefE21_0_7x" localSheetId="44">'204'!$N$26:$O$26</definedName>
    <definedName name="OSRRefE21_0_7x" localSheetId="45">'205'!$N$26:$O$26</definedName>
    <definedName name="OSRRefE21_0_7x" localSheetId="46">'206'!$N$26:$O$26</definedName>
    <definedName name="OSRRefE21_0_7x" localSheetId="48">'300'!$N$60:$O$60</definedName>
    <definedName name="OSRRefE21_0_7x" localSheetId="49">'300 &amp; 317'!$N$66:$O$66</definedName>
    <definedName name="OSRRefE21_0_7x" localSheetId="50">'301'!$N$27:$O$27</definedName>
    <definedName name="OSRRefE21_0_7x" localSheetId="55">'307'!$N$40:$O$40</definedName>
    <definedName name="OSRRefE21_0_7x" localSheetId="51">'308'!$N$41:$O$41</definedName>
    <definedName name="OSRRefE21_0_7x" localSheetId="63">'310'!$N$35:$O$35</definedName>
    <definedName name="OSRRefE21_0_7x" localSheetId="71">'310 &amp; 491'!$N$35:$O$35</definedName>
    <definedName name="OSRRefE21_0_7x" localSheetId="52">'311'!$N$41:$O$41</definedName>
    <definedName name="OSRRefE21_0_7x" localSheetId="57">'315'!$N$50:$O$50</definedName>
    <definedName name="OSRRefE21_0_7x" localSheetId="60">'316'!$N$33:$O$33</definedName>
    <definedName name="OSRRefE21_0_7x" localSheetId="62">'317'!$N$41:$O$41</definedName>
    <definedName name="OSRRefE21_0_7x" localSheetId="66">'321'!$N$30:$O$30</definedName>
    <definedName name="OSRRefE21_0_7x" localSheetId="68">'325'!$N$31:$O$31</definedName>
    <definedName name="OSRRefE21_0_7x" localSheetId="58">'326'!$N$34:$O$34</definedName>
    <definedName name="OSRRefE21_0_7x" localSheetId="56">'331'!$N$50:$O$50</definedName>
    <definedName name="OSRRefE21_0_7x" localSheetId="59">'332'!$N$33:$O$33</definedName>
    <definedName name="OSRRefE21_0_7x" localSheetId="54">'333'!$N$52:$O$52</definedName>
    <definedName name="OSRRefE21_0_7x" localSheetId="73">'405'!$N$33:$O$33</definedName>
    <definedName name="OSRRefE21_0_7x" localSheetId="75">'411'!$N$26:$O$26</definedName>
    <definedName name="OSRRefE21_0_7x" localSheetId="79">'415'!$N$33:$O$33</definedName>
    <definedName name="OSRRefE21_0_7x" localSheetId="80">'418'!$N$30:$O$30</definedName>
    <definedName name="OSRRefE21_0_7x" localSheetId="81">'423'!$N$26:$O$26</definedName>
    <definedName name="OSRRefE21_0_7x" localSheetId="86">'430'!$N$26:$O$26</definedName>
    <definedName name="OSRRefE21_0_7x" localSheetId="87">'433'!$N$33:$O$33</definedName>
    <definedName name="OSRRefE21_0_7x" localSheetId="89">'444'!$N$33:$O$33</definedName>
    <definedName name="OSRRefE21_0_7x" localSheetId="90">'450'!$N$33:$O$33</definedName>
    <definedName name="OSRRefE21_0_7x" localSheetId="72">'491'!$N$34:$O$34</definedName>
    <definedName name="OSRRefE21_0_7x" localSheetId="85">'492'!$N$35:$O$35</definedName>
    <definedName name="OSRRefE21_0_7x" localSheetId="92">'501'!$N$27:$O$27</definedName>
    <definedName name="OSRRefE21_0_7x" localSheetId="39">'Div 2'!$N$26:$O$26</definedName>
    <definedName name="OSRRefE21_0_7x" localSheetId="47">'Div 3'!$N$66:$O$66</definedName>
    <definedName name="OSRRefE21_0_7x" localSheetId="70">'Div 4'!$N$37:$O$37</definedName>
    <definedName name="OSRRefE21_0_7x" localSheetId="91">'Div 5'!$N$27:$O$27</definedName>
    <definedName name="OSRRefE21_0_7x" localSheetId="61">'Div 6'!$N$41:$O$41</definedName>
    <definedName name="OSRRefE21_0_7x" localSheetId="2">Summary!$N$74:$O$74</definedName>
    <definedName name="OSRRefE21_0_8x" localSheetId="41">'201'!$N$27:$O$27</definedName>
    <definedName name="OSRRefE21_0_8x" localSheetId="42">'202'!$N$27:$O$27</definedName>
    <definedName name="OSRRefE21_0_8x" localSheetId="43">'203'!$N$27:$O$27</definedName>
    <definedName name="OSRRefE21_0_8x" localSheetId="44">'204'!$N$27:$O$27</definedName>
    <definedName name="OSRRefE21_0_8x" localSheetId="45">'205'!$N$27:$O$27</definedName>
    <definedName name="OSRRefE21_0_8x" localSheetId="46">'206'!$N$27:$O$27</definedName>
    <definedName name="OSRRefE21_0_8x" localSheetId="48">'300'!$N$61:$O$61</definedName>
    <definedName name="OSRRefE21_0_8x" localSheetId="49">'300 &amp; 317'!$N$67:$O$67</definedName>
    <definedName name="OSRRefE21_0_8x" localSheetId="50">'301'!$N$28:$O$28</definedName>
    <definedName name="OSRRefE21_0_8x" localSheetId="55">'307'!$N$41:$O$41</definedName>
    <definedName name="OSRRefE21_0_8x" localSheetId="51">'308'!$N$42:$O$42</definedName>
    <definedName name="OSRRefE21_0_8x" localSheetId="63">'310'!$N$36:$O$36</definedName>
    <definedName name="OSRRefE21_0_8x" localSheetId="71">'310 &amp; 491'!$N$36:$O$36</definedName>
    <definedName name="OSRRefE21_0_8x" localSheetId="52">'311'!$N$42:$O$42</definedName>
    <definedName name="OSRRefE21_0_8x" localSheetId="57">'315'!$N$51:$O$51</definedName>
    <definedName name="OSRRefE21_0_8x" localSheetId="60">'316'!$N$34:$O$34</definedName>
    <definedName name="OSRRefE21_0_8x" localSheetId="62">'317'!$N$42:$O$42</definedName>
    <definedName name="OSRRefE21_0_8x" localSheetId="66">'321'!$N$31:$O$31</definedName>
    <definedName name="OSRRefE21_0_8x" localSheetId="68">'325'!$N$32:$O$32</definedName>
    <definedName name="OSRRefE21_0_8x" localSheetId="58">'326'!$N$35:$O$35</definedName>
    <definedName name="OSRRefE21_0_8x" localSheetId="56">'331'!$N$51:$O$51</definedName>
    <definedName name="OSRRefE21_0_8x" localSheetId="59">'332'!$N$34:$O$34</definedName>
    <definedName name="OSRRefE21_0_8x" localSheetId="54">'333'!$N$53:$O$53</definedName>
    <definedName name="OSRRefE21_0_8x" localSheetId="73">'405'!$N$34:$O$34</definedName>
    <definedName name="OSRRefE21_0_8x" localSheetId="75">'411'!$N$27:$O$27</definedName>
    <definedName name="OSRRefE21_0_8x" localSheetId="79">'415'!$N$34:$O$34</definedName>
    <definedName name="OSRRefE21_0_8x" localSheetId="80">'418'!$N$31:$O$31</definedName>
    <definedName name="OSRRefE21_0_8x" localSheetId="86">'430'!$N$27:$O$27</definedName>
    <definedName name="OSRRefE21_0_8x" localSheetId="87">'433'!$N$34:$O$34</definedName>
    <definedName name="OSRRefE21_0_8x" localSheetId="89">'444'!$N$34:$O$34</definedName>
    <definedName name="OSRRefE21_0_8x" localSheetId="90">'450'!$N$34:$O$34</definedName>
    <definedName name="OSRRefE21_0_8x" localSheetId="72">'491'!$N$35:$O$35</definedName>
    <definedName name="OSRRefE21_0_8x" localSheetId="85">'492'!$N$36:$O$36</definedName>
    <definedName name="OSRRefE21_0_8x" localSheetId="92">'501'!$N$28:$O$28</definedName>
    <definedName name="OSRRefE21_0_8x" localSheetId="39">'Div 2'!$N$27:$O$27</definedName>
    <definedName name="OSRRefE21_0_8x" localSheetId="47">'Div 3'!$N$67:$O$67</definedName>
    <definedName name="OSRRefE21_0_8x" localSheetId="70">'Div 4'!$N$38:$O$38</definedName>
    <definedName name="OSRRefE21_0_8x" localSheetId="91">'Div 5'!$N$28:$O$28</definedName>
    <definedName name="OSRRefE21_0_8x" localSheetId="61">'Div 6'!$N$42:$O$42</definedName>
    <definedName name="OSRRefE21_0_8x" localSheetId="2">Summary!$N$75:$O$75</definedName>
    <definedName name="OSRRefE21_0_9x" localSheetId="43">'203'!$N$28:$O$28</definedName>
    <definedName name="OSRRefE21_0_9x" localSheetId="48">'300'!$N$62:$O$62</definedName>
    <definedName name="OSRRefE21_0_9x" localSheetId="49">'300 &amp; 317'!$N$68:$O$68</definedName>
    <definedName name="OSRRefE21_0_9x" localSheetId="50">'301'!$N$29:$O$29</definedName>
    <definedName name="OSRRefE21_0_9x" localSheetId="51">'308'!$N$43:$O$43</definedName>
    <definedName name="OSRRefE21_0_9x" localSheetId="63">'310'!$N$37:$O$37</definedName>
    <definedName name="OSRRefE21_0_9x" localSheetId="71">'310 &amp; 491'!$N$37:$O$37</definedName>
    <definedName name="OSRRefE21_0_9x" localSheetId="52">'311'!$N$43:$O$43</definedName>
    <definedName name="OSRRefE21_0_9x" localSheetId="62">'317'!$N$43:$O$43</definedName>
    <definedName name="OSRRefE21_0_9x" localSheetId="66">'321'!$N$32:$O$32</definedName>
    <definedName name="OSRRefE21_0_9x" localSheetId="79">'415'!$N$35:$O$35</definedName>
    <definedName name="OSRRefE21_0_9x" localSheetId="87">'433'!$N$35:$O$35</definedName>
    <definedName name="OSRRefE21_0_9x" localSheetId="89">'444'!$N$35:$O$35</definedName>
    <definedName name="OSRRefE21_0_9x" localSheetId="90">'450'!$N$35:$O$35</definedName>
    <definedName name="OSRRefE21_0_9x" localSheetId="72">'491'!$N$36:$O$36</definedName>
    <definedName name="OSRRefE21_0_9x" localSheetId="85">'492'!$N$37:$O$37</definedName>
    <definedName name="OSRRefE21_0_9x" localSheetId="92">'501'!$N$29:$O$29</definedName>
    <definedName name="OSRRefE21_0_9x" localSheetId="39">'Div 2'!$N$28:$O$28</definedName>
    <definedName name="OSRRefE21_0_9x" localSheetId="47">'Div 3'!$N$68:$O$68</definedName>
    <definedName name="OSRRefE21_0_9x" localSheetId="70">'Div 4'!$N$39:$O$39</definedName>
    <definedName name="OSRRefE21_0_9x" localSheetId="91">'Div 5'!$N$29:$O$29</definedName>
    <definedName name="OSRRefE21_0_9x" localSheetId="61">'Div 6'!$N$43:$O$43</definedName>
    <definedName name="OSRRefE21_0_9x" localSheetId="2">Summary!$N$76:$O$76</definedName>
    <definedName name="OSRRefE21_0x_0" localSheetId="40">'200'!$N$19</definedName>
    <definedName name="OSRRefE21_0x_0" localSheetId="41">'201'!$N$19:$N$27</definedName>
    <definedName name="OSRRefE21_0x_0" localSheetId="42">'202'!$N$19:$N$27</definedName>
    <definedName name="OSRRefE21_0x_0" localSheetId="43">'203'!$N$19:$N$28</definedName>
    <definedName name="OSRRefE21_0x_0" localSheetId="44">'204'!$N$19:$N$27</definedName>
    <definedName name="OSRRefE21_0x_0" localSheetId="45">'205'!$N$19:$N$27</definedName>
    <definedName name="OSRRefE21_0x_0" localSheetId="46">'206'!$N$19:$N$27</definedName>
    <definedName name="OSRRefE21_0x_0" localSheetId="48">'300'!$N$53:$N$62</definedName>
    <definedName name="OSRRefE21_0x_0" localSheetId="49">'300 &amp; 317'!$N$59:$N$68</definedName>
    <definedName name="OSRRefE21_0x_0" localSheetId="50">'301'!$N$20:$N$29</definedName>
    <definedName name="OSRRefE21_0x_0" localSheetId="55">'307'!$N$33:$N$41</definedName>
    <definedName name="OSRRefE21_0x_0" localSheetId="51">'308'!$N$34:$N$43</definedName>
    <definedName name="OSRRefE21_0x_0" localSheetId="64">'309'!$N$25:$N$26</definedName>
    <definedName name="OSRRefE21_0x_0" localSheetId="63">'310'!$N$28:$N$37</definedName>
    <definedName name="OSRRefE21_0x_0" localSheetId="71">'310 &amp; 491'!$N$28:$N$37</definedName>
    <definedName name="OSRRefE21_0x_0" localSheetId="52">'311'!$N$34:$N$43</definedName>
    <definedName name="OSRRefE21_0x_0" localSheetId="65">'313'!$N$19</definedName>
    <definedName name="OSRRefE21_0x_0" localSheetId="57">'315'!$N$43:$N$51</definedName>
    <definedName name="OSRRefE21_0x_0" localSheetId="60">'316'!$N$26:$N$34</definedName>
    <definedName name="OSRRefE21_0x_0" localSheetId="62">'317'!$N$34:$N$43</definedName>
    <definedName name="OSRRefE21_0x_0" localSheetId="66">'321'!$N$23:$N$32</definedName>
    <definedName name="OSRRefE21_0x_0" localSheetId="67">'322'!$N$19</definedName>
    <definedName name="OSRRefE21_0x_0" localSheetId="68">'325'!$N$24:$N$32</definedName>
    <definedName name="OSRRefE21_0x_0" localSheetId="58">'326'!$N$27:$N$35</definedName>
    <definedName name="OSRRefE21_0x_0" localSheetId="69">'327'!$N$25</definedName>
    <definedName name="OSRRefE21_0x_0" localSheetId="56">'331'!$N$43:$N$51</definedName>
    <definedName name="OSRRefE21_0x_0" localSheetId="59">'332'!$N$26:$N$34</definedName>
    <definedName name="OSRRefE21_0x_0" localSheetId="54">'333'!$N$45:$N$53</definedName>
    <definedName name="OSRRefE21_0x_0" localSheetId="73">'405'!$N$26:$N$34</definedName>
    <definedName name="OSRRefE21_0x_0" localSheetId="74">'406'!$N$19</definedName>
    <definedName name="OSRRefE21_0x_0" localSheetId="75">'411'!$N$19:$N$27</definedName>
    <definedName name="OSRRefE21_0x_0" localSheetId="76">'412'!$N$19</definedName>
    <definedName name="OSRRefE21_0x_0" localSheetId="77">'413'!$N$19</definedName>
    <definedName name="OSRRefE21_0x_0" localSheetId="78">'414'!$N$19</definedName>
    <definedName name="OSRRefE21_0x_0" localSheetId="79">'415'!$N$26:$N$35</definedName>
    <definedName name="OSRRefE21_0x_0" localSheetId="80">'418'!$N$23:$N$31</definedName>
    <definedName name="OSRRefE21_0x_0" localSheetId="81">'423'!$N$19:$N$26</definedName>
    <definedName name="OSRRefE21_0x_0" localSheetId="82">'424'!$N$19</definedName>
    <definedName name="OSRRefE21_0x_0" localSheetId="83">'425'!$N$21</definedName>
    <definedName name="OSRRefE21_0x_0" localSheetId="86">'430'!$N$19:$N$27</definedName>
    <definedName name="OSRRefE21_0x_0" localSheetId="87">'433'!$N$26:$N$35</definedName>
    <definedName name="OSRRefE21_0x_0" localSheetId="88">'435'!$N$22:$N$23</definedName>
    <definedName name="OSRRefE21_0x_0" localSheetId="89">'444'!$N$26:$N$35</definedName>
    <definedName name="OSRRefE21_0x_0" localSheetId="90">'450'!$N$26:$N$35</definedName>
    <definedName name="OSRRefE21_0x_0" localSheetId="72">'491'!$N$27:$N$36</definedName>
    <definedName name="OSRRefE21_0x_0" localSheetId="85">'492'!$N$28:$N$37</definedName>
    <definedName name="OSRRefE21_0x_0" localSheetId="92">'501'!$N$20:$N$29</definedName>
    <definedName name="OSRRefE21_0x_0" localSheetId="39">'Div 2'!$N$19:$N$29</definedName>
    <definedName name="OSRRefE21_0x_0" localSheetId="47">'Div 3'!$N$59:$N$68</definedName>
    <definedName name="OSRRefE21_0x_0" localSheetId="70">'Div 4'!$N$30:$N$39</definedName>
    <definedName name="OSRRefE21_0x_0" localSheetId="91">'Div 5'!$N$20:$N$29</definedName>
    <definedName name="OSRRefE21_0x_0" localSheetId="61">'Div 6'!$N$34:$N$43</definedName>
    <definedName name="OSRRefE21_0x_0" localSheetId="2">Summary!$N$67:$N$76</definedName>
    <definedName name="OSRRefE21_0x_1" localSheetId="40">'200'!$O$19</definedName>
    <definedName name="OSRRefE21_0x_1" localSheetId="41">'201'!$O$19:$O$27</definedName>
    <definedName name="OSRRefE21_0x_1" localSheetId="42">'202'!$O$19:$O$27</definedName>
    <definedName name="OSRRefE21_0x_1" localSheetId="43">'203'!$O$19:$O$28</definedName>
    <definedName name="OSRRefE21_0x_1" localSheetId="44">'204'!$O$19:$O$27</definedName>
    <definedName name="OSRRefE21_0x_1" localSheetId="45">'205'!$O$19:$O$27</definedName>
    <definedName name="OSRRefE21_0x_1" localSheetId="46">'206'!$O$19:$O$27</definedName>
    <definedName name="OSRRefE21_0x_1" localSheetId="48">'300'!$O$53:$O$62</definedName>
    <definedName name="OSRRefE21_0x_1" localSheetId="49">'300 &amp; 317'!$O$59:$O$68</definedName>
    <definedName name="OSRRefE21_0x_1" localSheetId="50">'301'!$O$20:$O$29</definedName>
    <definedName name="OSRRefE21_0x_1" localSheetId="55">'307'!$O$33:$O$41</definedName>
    <definedName name="OSRRefE21_0x_1" localSheetId="51">'308'!$O$34:$O$43</definedName>
    <definedName name="OSRRefE21_0x_1" localSheetId="64">'309'!$O$25:$O$26</definedName>
    <definedName name="OSRRefE21_0x_1" localSheetId="63">'310'!$O$28:$O$37</definedName>
    <definedName name="OSRRefE21_0x_1" localSheetId="71">'310 &amp; 491'!$O$28:$O$37</definedName>
    <definedName name="OSRRefE21_0x_1" localSheetId="52">'311'!$O$34:$O$43</definedName>
    <definedName name="OSRRefE21_0x_1" localSheetId="65">'313'!$O$19</definedName>
    <definedName name="OSRRefE21_0x_1" localSheetId="57">'315'!$O$43:$O$51</definedName>
    <definedName name="OSRRefE21_0x_1" localSheetId="60">'316'!$O$26:$O$34</definedName>
    <definedName name="OSRRefE21_0x_1" localSheetId="62">'317'!$O$34:$O$43</definedName>
    <definedName name="OSRRefE21_0x_1" localSheetId="66">'321'!$O$23:$O$32</definedName>
    <definedName name="OSRRefE21_0x_1" localSheetId="67">'322'!$O$19</definedName>
    <definedName name="OSRRefE21_0x_1" localSheetId="68">'325'!$O$24:$O$32</definedName>
    <definedName name="OSRRefE21_0x_1" localSheetId="58">'326'!$O$27:$O$35</definedName>
    <definedName name="OSRRefE21_0x_1" localSheetId="69">'327'!$O$25</definedName>
    <definedName name="OSRRefE21_0x_1" localSheetId="56">'331'!$O$43:$O$51</definedName>
    <definedName name="OSRRefE21_0x_1" localSheetId="59">'332'!$O$26:$O$34</definedName>
    <definedName name="OSRRefE21_0x_1" localSheetId="54">'333'!$O$45:$O$53</definedName>
    <definedName name="OSRRefE21_0x_1" localSheetId="73">'405'!$O$26:$O$34</definedName>
    <definedName name="OSRRefE21_0x_1" localSheetId="74">'406'!$O$19</definedName>
    <definedName name="OSRRefE21_0x_1" localSheetId="75">'411'!$O$19:$O$27</definedName>
    <definedName name="OSRRefE21_0x_1" localSheetId="76">'412'!$O$19</definedName>
    <definedName name="OSRRefE21_0x_1" localSheetId="77">'413'!$O$19</definedName>
    <definedName name="OSRRefE21_0x_1" localSheetId="78">'414'!$O$19</definedName>
    <definedName name="OSRRefE21_0x_1" localSheetId="79">'415'!$O$26:$O$35</definedName>
    <definedName name="OSRRefE21_0x_1" localSheetId="80">'418'!$O$23:$O$31</definedName>
    <definedName name="OSRRefE21_0x_1" localSheetId="81">'423'!$O$19:$O$26</definedName>
    <definedName name="OSRRefE21_0x_1" localSheetId="82">'424'!$O$19</definedName>
    <definedName name="OSRRefE21_0x_1" localSheetId="83">'425'!$O$21</definedName>
    <definedName name="OSRRefE21_0x_1" localSheetId="86">'430'!$O$19:$O$27</definedName>
    <definedName name="OSRRefE21_0x_1" localSheetId="87">'433'!$O$26:$O$35</definedName>
    <definedName name="OSRRefE21_0x_1" localSheetId="88">'435'!$O$22:$O$23</definedName>
    <definedName name="OSRRefE21_0x_1" localSheetId="89">'444'!$O$26:$O$35</definedName>
    <definedName name="OSRRefE21_0x_1" localSheetId="90">'450'!$O$26:$O$35</definedName>
    <definedName name="OSRRefE21_0x_1" localSheetId="72">'491'!$O$27:$O$36</definedName>
    <definedName name="OSRRefE21_0x_1" localSheetId="85">'492'!$O$28:$O$37</definedName>
    <definedName name="OSRRefE21_0x_1" localSheetId="92">'501'!$O$20:$O$29</definedName>
    <definedName name="OSRRefE21_0x_1" localSheetId="39">'Div 2'!$O$19:$O$29</definedName>
    <definedName name="OSRRefE21_0x_1" localSheetId="47">'Div 3'!$O$59:$O$68</definedName>
    <definedName name="OSRRefE21_0x_1" localSheetId="70">'Div 4'!$O$30:$O$39</definedName>
    <definedName name="OSRRefE21_0x_1" localSheetId="91">'Div 5'!$O$20:$O$29</definedName>
    <definedName name="OSRRefE21_0x_1" localSheetId="61">'Div 6'!$O$34:$O$43</definedName>
    <definedName name="OSRRefE21_0x_1" localSheetId="2">Summary!$O$67:$O$76</definedName>
    <definedName name="OSRRefE21_1_0x" localSheetId="40">'200'!$N$21:$O$21</definedName>
    <definedName name="OSRRefE21_1_0x" localSheetId="41">'201'!$N$29:$O$29</definedName>
    <definedName name="OSRRefE21_1_0x" localSheetId="42">'202'!$N$29:$O$29</definedName>
    <definedName name="OSRRefE21_1_0x" localSheetId="43">'203'!$N$30:$O$30</definedName>
    <definedName name="OSRRefE21_1_0x" localSheetId="44">'204'!$N$29:$O$29</definedName>
    <definedName name="OSRRefE21_1_0x" localSheetId="45">'205'!$N$29:$O$29</definedName>
    <definedName name="OSRRefE21_1_0x" localSheetId="46">'206'!$N$29:$O$29</definedName>
    <definedName name="OSRRefE21_1_0x" localSheetId="48">'300'!$N$64:$O$64</definedName>
    <definedName name="OSRRefE21_1_0x" localSheetId="49">'300 &amp; 317'!$N$70:$O$70</definedName>
    <definedName name="OSRRefE21_1_0x" localSheetId="50">'301'!$N$31:$O$31</definedName>
    <definedName name="OSRRefE21_1_0x" localSheetId="55">'307'!$N$43:$O$43</definedName>
    <definedName name="OSRRefE21_1_0x" localSheetId="51">'308'!$N$45:$O$45</definedName>
    <definedName name="OSRRefE21_1_0x" localSheetId="64">'309'!$N$28:$O$28</definedName>
    <definedName name="OSRRefE21_1_0x" localSheetId="63">'310'!$N$39:$O$39</definedName>
    <definedName name="OSRRefE21_1_0x" localSheetId="71">'310 &amp; 491'!$N$39:$O$39</definedName>
    <definedName name="OSRRefE21_1_0x" localSheetId="52">'311'!$N$45:$O$45</definedName>
    <definedName name="OSRRefE21_1_0x" localSheetId="65">'313'!$N$21:$O$21</definedName>
    <definedName name="OSRRefE21_1_0x" localSheetId="57">'315'!$N$53:$O$53</definedName>
    <definedName name="OSRRefE21_1_0x" localSheetId="60">'316'!$N$36:$O$36</definedName>
    <definedName name="OSRRefE21_1_0x" localSheetId="62">'317'!$N$45:$O$45</definedName>
    <definedName name="OSRRefE21_1_0x" localSheetId="66">'321'!$N$34:$O$34</definedName>
    <definedName name="OSRRefE21_1_0x" localSheetId="68">'325'!$N$34:$O$34</definedName>
    <definedName name="OSRRefE21_1_0x" localSheetId="58">'326'!$N$37:$O$37</definedName>
    <definedName name="OSRRefE21_1_0x" localSheetId="69">'327'!$N$27:$O$27</definedName>
    <definedName name="OSRRefE21_1_0x" localSheetId="56">'331'!$N$53:$O$53</definedName>
    <definedName name="OSRRefE21_1_0x" localSheetId="59">'332'!$N$36:$O$36</definedName>
    <definedName name="OSRRefE21_1_0x" localSheetId="54">'333'!$N$55:$O$55</definedName>
    <definedName name="OSRRefE21_1_0x" localSheetId="73">'405'!$N$36:$O$36</definedName>
    <definedName name="OSRRefE21_1_0x" localSheetId="75">'411'!$N$29:$O$29</definedName>
    <definedName name="OSRRefE21_1_0x" localSheetId="76">'412'!$N$21:$O$21</definedName>
    <definedName name="OSRRefE21_1_0x" localSheetId="77">'413'!$N$21:$O$21</definedName>
    <definedName name="OSRRefE21_1_0x" localSheetId="78">'414'!$N$21:$O$21</definedName>
    <definedName name="OSRRefE21_1_0x" localSheetId="79">'415'!$N$37:$O$37</definedName>
    <definedName name="OSRRefE21_1_0x" localSheetId="80">'418'!$N$33:$O$33</definedName>
    <definedName name="OSRRefE21_1_0x" localSheetId="81">'423'!$N$28:$O$28</definedName>
    <definedName name="OSRRefE21_1_0x" localSheetId="82">'424'!$N$21:$O$21</definedName>
    <definedName name="OSRRefE21_1_0x" localSheetId="83">'425'!$N$23:$O$23</definedName>
    <definedName name="OSRRefE21_1_0x" localSheetId="86">'430'!$N$29:$O$29</definedName>
    <definedName name="OSRRefE21_1_0x" localSheetId="87">'433'!$N$37:$O$37</definedName>
    <definedName name="OSRRefE21_1_0x" localSheetId="88">'435'!$N$25:$O$25</definedName>
    <definedName name="OSRRefE21_1_0x" localSheetId="89">'444'!$N$37:$O$37</definedName>
    <definedName name="OSRRefE21_1_0x" localSheetId="90">'450'!$N$37:$O$37</definedName>
    <definedName name="OSRRefE21_1_0x" localSheetId="72">'491'!$N$38:$O$38</definedName>
    <definedName name="OSRRefE21_1_0x" localSheetId="85">'492'!$N$39:$O$39</definedName>
    <definedName name="OSRRefE21_1_0x" localSheetId="92">'501'!$N$31:$O$31</definedName>
    <definedName name="OSRRefE21_1_0x" localSheetId="39">'Div 2'!$N$31:$O$31</definedName>
    <definedName name="OSRRefE21_1_0x" localSheetId="47">'Div 3'!$N$70:$O$70</definedName>
    <definedName name="OSRRefE21_1_0x" localSheetId="70">'Div 4'!$N$41:$O$41</definedName>
    <definedName name="OSRRefE21_1_0x" localSheetId="91">'Div 5'!$N$31:$O$31</definedName>
    <definedName name="OSRRefE21_1_0x" localSheetId="61">'Div 6'!$N$45:$O$45</definedName>
    <definedName name="OSRRefE21_1_0x" localSheetId="2">Summary!$N$78:$O$78</definedName>
    <definedName name="OSRRefE21_1_1x" localSheetId="41">'201'!$N$30:$O$30</definedName>
    <definedName name="OSRRefE21_1_1x" localSheetId="42">'202'!$N$30:$O$30</definedName>
    <definedName name="OSRRefE21_1_1x" localSheetId="43">'203'!$N$31:$O$31</definedName>
    <definedName name="OSRRefE21_1_1x" localSheetId="44">'204'!$N$30:$O$30</definedName>
    <definedName name="OSRRefE21_1_1x" localSheetId="45">'205'!$N$30:$O$30</definedName>
    <definedName name="OSRRefE21_1_1x" localSheetId="46">'206'!$N$30:$O$30</definedName>
    <definedName name="OSRRefE21_1_1x" localSheetId="48">'300'!$N$65:$O$65</definedName>
    <definedName name="OSRRefE21_1_1x" localSheetId="49">'300 &amp; 317'!$N$71:$O$71</definedName>
    <definedName name="OSRRefE21_1_1x" localSheetId="50">'301'!$N$32:$O$32</definedName>
    <definedName name="OSRRefE21_1_1x" localSheetId="55">'307'!$N$44:$O$44</definedName>
    <definedName name="OSRRefE21_1_1x" localSheetId="51">'308'!$N$46:$O$46</definedName>
    <definedName name="OSRRefE21_1_1x" localSheetId="64">'309'!$N$29:$O$29</definedName>
    <definedName name="OSRRefE21_1_1x" localSheetId="63">'310'!$N$40:$O$40</definedName>
    <definedName name="OSRRefE21_1_1x" localSheetId="71">'310 &amp; 491'!$N$40:$O$40</definedName>
    <definedName name="OSRRefE21_1_1x" localSheetId="52">'311'!$N$46:$O$46</definedName>
    <definedName name="OSRRefE21_1_1x" localSheetId="57">'315'!$N$54:$O$54</definedName>
    <definedName name="OSRRefE21_1_1x" localSheetId="60">'316'!$N$37:$O$37</definedName>
    <definedName name="OSRRefE21_1_1x" localSheetId="62">'317'!$N$46:$O$46</definedName>
    <definedName name="OSRRefE21_1_1x" localSheetId="66">'321'!$N$35:$O$35</definedName>
    <definedName name="OSRRefE21_1_1x" localSheetId="68">'325'!$N$35:$O$35</definedName>
    <definedName name="OSRRefE21_1_1x" localSheetId="58">'326'!$N$38:$O$38</definedName>
    <definedName name="OSRRefE21_1_1x" localSheetId="56">'331'!$N$54:$O$54</definedName>
    <definedName name="OSRRefE21_1_1x" localSheetId="59">'332'!$N$37:$O$37</definedName>
    <definedName name="OSRRefE21_1_1x" localSheetId="54">'333'!$N$56:$O$56</definedName>
    <definedName name="OSRRefE21_1_1x" localSheetId="73">'405'!$N$37:$O$37</definedName>
    <definedName name="OSRRefE21_1_1x" localSheetId="75">'411'!$N$30:$O$30</definedName>
    <definedName name="OSRRefE21_1_1x" localSheetId="79">'415'!$N$38:$O$38</definedName>
    <definedName name="OSRRefE21_1_1x" localSheetId="80">'418'!$N$34:$O$34</definedName>
    <definedName name="OSRRefE21_1_1x" localSheetId="81">'423'!$N$29:$O$29</definedName>
    <definedName name="OSRRefE21_1_1x" localSheetId="86">'430'!$N$30:$O$30</definedName>
    <definedName name="OSRRefE21_1_1x" localSheetId="87">'433'!$N$38:$O$38</definedName>
    <definedName name="OSRRefE21_1_1x" localSheetId="89">'444'!$N$38:$O$38</definedName>
    <definedName name="OSRRefE21_1_1x" localSheetId="90">'450'!$N$38:$O$38</definedName>
    <definedName name="OSRRefE21_1_1x" localSheetId="72">'491'!$N$39:$O$39</definedName>
    <definedName name="OSRRefE21_1_1x" localSheetId="85">'492'!$N$40:$O$40</definedName>
    <definedName name="OSRRefE21_1_1x" localSheetId="92">'501'!$N$32:$O$32</definedName>
    <definedName name="OSRRefE21_1_1x" localSheetId="39">'Div 2'!$N$32:$O$32</definedName>
    <definedName name="OSRRefE21_1_1x" localSheetId="47">'Div 3'!$N$71:$O$71</definedName>
    <definedName name="OSRRefE21_1_1x" localSheetId="70">'Div 4'!$N$42:$O$42</definedName>
    <definedName name="OSRRefE21_1_1x" localSheetId="91">'Div 5'!$N$32:$O$32</definedName>
    <definedName name="OSRRefE21_1_1x" localSheetId="61">'Div 6'!$N$46:$O$46</definedName>
    <definedName name="OSRRefE21_1_1x" localSheetId="2">Summary!$N$79:$O$79</definedName>
    <definedName name="OSRRefE21_1_2x" localSheetId="41">'201'!$N$31:$O$31</definedName>
    <definedName name="OSRRefE21_1_2x" localSheetId="42">'202'!$N$31:$O$31</definedName>
    <definedName name="OSRRefE21_1_2x" localSheetId="43">'203'!$N$32:$O$32</definedName>
    <definedName name="OSRRefE21_1_2x" localSheetId="44">'204'!$N$31:$O$31</definedName>
    <definedName name="OSRRefE21_1_2x" localSheetId="45">'205'!$N$31:$O$31</definedName>
    <definedName name="OSRRefE21_1_2x" localSheetId="46">'206'!$N$31:$O$31</definedName>
    <definedName name="OSRRefE21_1_2x" localSheetId="48">'300'!$N$66:$O$66</definedName>
    <definedName name="OSRRefE21_1_2x" localSheetId="49">'300 &amp; 317'!$N$72:$O$72</definedName>
    <definedName name="OSRRefE21_1_2x" localSheetId="50">'301'!$N$33:$O$33</definedName>
    <definedName name="OSRRefE21_1_2x" localSheetId="55">'307'!$N$45:$O$45</definedName>
    <definedName name="OSRRefE21_1_2x" localSheetId="51">'308'!$N$47:$O$47</definedName>
    <definedName name="OSRRefE21_1_2x" localSheetId="63">'310'!$N$41:$O$41</definedName>
    <definedName name="OSRRefE21_1_2x" localSheetId="71">'310 &amp; 491'!$N$41:$O$41</definedName>
    <definedName name="OSRRefE21_1_2x" localSheetId="52">'311'!$N$47:$O$47</definedName>
    <definedName name="OSRRefE21_1_2x" localSheetId="57">'315'!$N$55:$O$55</definedName>
    <definedName name="OSRRefE21_1_2x" localSheetId="60">'316'!$N$38:$O$38</definedName>
    <definedName name="OSRRefE21_1_2x" localSheetId="62">'317'!$N$47:$O$47</definedName>
    <definedName name="OSRRefE21_1_2x" localSheetId="66">'321'!$N$36:$O$36</definedName>
    <definedName name="OSRRefE21_1_2x" localSheetId="68">'325'!$N$36:$O$36</definedName>
    <definedName name="OSRRefE21_1_2x" localSheetId="58">'326'!$N$39:$O$39</definedName>
    <definedName name="OSRRefE21_1_2x" localSheetId="56">'331'!$N$55:$O$55</definedName>
    <definedName name="OSRRefE21_1_2x" localSheetId="59">'332'!$N$38:$O$38</definedName>
    <definedName name="OSRRefE21_1_2x" localSheetId="54">'333'!$N$57:$O$57</definedName>
    <definedName name="OSRRefE21_1_2x" localSheetId="73">'405'!$N$38:$O$38</definedName>
    <definedName name="OSRRefE21_1_2x" localSheetId="75">'411'!$N$31:$O$31</definedName>
    <definedName name="OSRRefE21_1_2x" localSheetId="79">'415'!$N$39:$O$39</definedName>
    <definedName name="OSRRefE21_1_2x" localSheetId="80">'418'!$N$35:$O$35</definedName>
    <definedName name="OSRRefE21_1_2x" localSheetId="81">'423'!$N$30:$O$30</definedName>
    <definedName name="OSRRefE21_1_2x" localSheetId="86">'430'!$N$31:$O$31</definedName>
    <definedName name="OSRRefE21_1_2x" localSheetId="87">'433'!$N$39:$O$39</definedName>
    <definedName name="OSRRefE21_1_2x" localSheetId="89">'444'!$N$39:$O$39</definedName>
    <definedName name="OSRRefE21_1_2x" localSheetId="90">'450'!$N$39:$O$39</definedName>
    <definedName name="OSRRefE21_1_2x" localSheetId="72">'491'!$N$40:$O$40</definedName>
    <definedName name="OSRRefE21_1_2x" localSheetId="85">'492'!$N$41:$O$41</definedName>
    <definedName name="OSRRefE21_1_2x" localSheetId="92">'501'!$N$33:$O$33</definedName>
    <definedName name="OSRRefE21_1_2x" localSheetId="39">'Div 2'!$N$33:$O$33</definedName>
    <definedName name="OSRRefE21_1_2x" localSheetId="47">'Div 3'!$N$72:$O$72</definedName>
    <definedName name="OSRRefE21_1_2x" localSheetId="70">'Div 4'!$N$43:$O$43</definedName>
    <definedName name="OSRRefE21_1_2x" localSheetId="91">'Div 5'!$N$33:$O$33</definedName>
    <definedName name="OSRRefE21_1_2x" localSheetId="61">'Div 6'!$N$47:$O$47</definedName>
    <definedName name="OSRRefE21_1_2x" localSheetId="2">Summary!$N$80:$O$80</definedName>
    <definedName name="OSRRefE21_1_3x" localSheetId="41">'201'!$N$32:$O$32</definedName>
    <definedName name="OSRRefE21_1_3x" localSheetId="42">'202'!$N$32:$O$32</definedName>
    <definedName name="OSRRefE21_1_3x" localSheetId="43">'203'!$N$33:$O$33</definedName>
    <definedName name="OSRRefE21_1_3x" localSheetId="44">'204'!$N$32:$O$32</definedName>
    <definedName name="OSRRefE21_1_3x" localSheetId="45">'205'!$N$32:$O$32</definedName>
    <definedName name="OSRRefE21_1_3x" localSheetId="46">'206'!$N$32:$O$32</definedName>
    <definedName name="OSRRefE21_1_3x" localSheetId="48">'300'!$N$67:$O$67</definedName>
    <definedName name="OSRRefE21_1_3x" localSheetId="49">'300 &amp; 317'!$N$73:$O$73</definedName>
    <definedName name="OSRRefE21_1_3x" localSheetId="50">'301'!$N$34:$O$34</definedName>
    <definedName name="OSRRefE21_1_3x" localSheetId="55">'307'!$N$46:$O$46</definedName>
    <definedName name="OSRRefE21_1_3x" localSheetId="51">'308'!$N$48:$O$48</definedName>
    <definedName name="OSRRefE21_1_3x" localSheetId="63">'310'!$N$42:$O$42</definedName>
    <definedName name="OSRRefE21_1_3x" localSheetId="71">'310 &amp; 491'!$N$42:$O$42</definedName>
    <definedName name="OSRRefE21_1_3x" localSheetId="52">'311'!$N$48:$O$48</definedName>
    <definedName name="OSRRefE21_1_3x" localSheetId="57">'315'!$N$56:$O$56</definedName>
    <definedName name="OSRRefE21_1_3x" localSheetId="60">'316'!$N$39:$O$39</definedName>
    <definedName name="OSRRefE21_1_3x" localSheetId="62">'317'!$N$48:$O$48</definedName>
    <definedName name="OSRRefE21_1_3x" localSheetId="66">'321'!$N$37:$O$37</definedName>
    <definedName name="OSRRefE21_1_3x" localSheetId="68">'325'!$N$37:$O$37</definedName>
    <definedName name="OSRRefE21_1_3x" localSheetId="58">'326'!$N$40:$O$40</definedName>
    <definedName name="OSRRefE21_1_3x" localSheetId="56">'331'!$N$56:$O$56</definedName>
    <definedName name="OSRRefE21_1_3x" localSheetId="59">'332'!$N$39:$O$39</definedName>
    <definedName name="OSRRefE21_1_3x" localSheetId="54">'333'!$N$58:$O$58</definedName>
    <definedName name="OSRRefE21_1_3x" localSheetId="73">'405'!$N$39:$O$39</definedName>
    <definedName name="OSRRefE21_1_3x" localSheetId="75">'411'!$N$32:$O$32</definedName>
    <definedName name="OSRRefE21_1_3x" localSheetId="79">'415'!$N$40:$O$40</definedName>
    <definedName name="OSRRefE21_1_3x" localSheetId="80">'418'!$N$36:$O$36</definedName>
    <definedName name="OSRRefE21_1_3x" localSheetId="81">'423'!$N$31:$O$31</definedName>
    <definedName name="OSRRefE21_1_3x" localSheetId="86">'430'!$N$32:$O$32</definedName>
    <definedName name="OSRRefE21_1_3x" localSheetId="87">'433'!$N$40:$O$40</definedName>
    <definedName name="OSRRefE21_1_3x" localSheetId="89">'444'!$N$40:$O$40</definedName>
    <definedName name="OSRRefE21_1_3x" localSheetId="90">'450'!$N$40:$O$40</definedName>
    <definedName name="OSRRefE21_1_3x" localSheetId="72">'491'!$N$41:$O$41</definedName>
    <definedName name="OSRRefE21_1_3x" localSheetId="85">'492'!$N$42:$O$42</definedName>
    <definedName name="OSRRefE21_1_3x" localSheetId="92">'501'!$N$34:$O$34</definedName>
    <definedName name="OSRRefE21_1_3x" localSheetId="39">'Div 2'!$N$34:$O$34</definedName>
    <definedName name="OSRRefE21_1_3x" localSheetId="47">'Div 3'!$N$73:$O$73</definedName>
    <definedName name="OSRRefE21_1_3x" localSheetId="70">'Div 4'!$N$44:$O$44</definedName>
    <definedName name="OSRRefE21_1_3x" localSheetId="91">'Div 5'!$N$34:$O$34</definedName>
    <definedName name="OSRRefE21_1_3x" localSheetId="61">'Div 6'!$N$48:$O$48</definedName>
    <definedName name="OSRRefE21_1_3x" localSheetId="2">Summary!$N$81:$O$81</definedName>
    <definedName name="OSRRefE21_1_4x" localSheetId="41">'201'!$N$33:$O$33</definedName>
    <definedName name="OSRRefE21_1_4x" localSheetId="42">'202'!$N$33:$O$33</definedName>
    <definedName name="OSRRefE21_1_4x" localSheetId="43">'203'!$N$34:$O$34</definedName>
    <definedName name="OSRRefE21_1_4x" localSheetId="44">'204'!$N$33:$O$33</definedName>
    <definedName name="OSRRefE21_1_4x" localSheetId="45">'205'!$N$33:$O$33</definedName>
    <definedName name="OSRRefE21_1_4x" localSheetId="46">'206'!$N$33:$O$33</definedName>
    <definedName name="OSRRefE21_1_4x" localSheetId="48">'300'!$N$68:$O$68</definedName>
    <definedName name="OSRRefE21_1_4x" localSheetId="49">'300 &amp; 317'!$N$74:$O$74</definedName>
    <definedName name="OSRRefE21_1_4x" localSheetId="50">'301'!$N$35:$O$35</definedName>
    <definedName name="OSRRefE21_1_4x" localSheetId="55">'307'!$N$47:$O$47</definedName>
    <definedName name="OSRRefE21_1_4x" localSheetId="51">'308'!$N$49:$O$49</definedName>
    <definedName name="OSRRefE21_1_4x" localSheetId="63">'310'!$N$43:$O$43</definedName>
    <definedName name="OSRRefE21_1_4x" localSheetId="71">'310 &amp; 491'!$N$43:$O$43</definedName>
    <definedName name="OSRRefE21_1_4x" localSheetId="52">'311'!$N$49:$O$49</definedName>
    <definedName name="OSRRefE21_1_4x" localSheetId="57">'315'!$N$57:$O$57</definedName>
    <definedName name="OSRRefE21_1_4x" localSheetId="60">'316'!$N$40:$O$40</definedName>
    <definedName name="OSRRefE21_1_4x" localSheetId="62">'317'!$N$49:$O$49</definedName>
    <definedName name="OSRRefE21_1_4x" localSheetId="66">'321'!$N$38:$O$38</definedName>
    <definedName name="OSRRefE21_1_4x" localSheetId="68">'325'!$N$38:$O$38</definedName>
    <definedName name="OSRRefE21_1_4x" localSheetId="58">'326'!$N$41:$O$41</definedName>
    <definedName name="OSRRefE21_1_4x" localSheetId="56">'331'!$N$57:$O$57</definedName>
    <definedName name="OSRRefE21_1_4x" localSheetId="59">'332'!$N$40:$O$40</definedName>
    <definedName name="OSRRefE21_1_4x" localSheetId="54">'333'!$N$59:$O$59</definedName>
    <definedName name="OSRRefE21_1_4x" localSheetId="73">'405'!$N$40:$O$40</definedName>
    <definedName name="OSRRefE21_1_4x" localSheetId="75">'411'!$N$33:$O$33</definedName>
    <definedName name="OSRRefE21_1_4x" localSheetId="79">'415'!$N$41:$O$41</definedName>
    <definedName name="OSRRefE21_1_4x" localSheetId="80">'418'!$N$37:$O$37</definedName>
    <definedName name="OSRRefE21_1_4x" localSheetId="81">'423'!$N$32:$O$32</definedName>
    <definedName name="OSRRefE21_1_4x" localSheetId="86">'430'!$N$33:$O$33</definedName>
    <definedName name="OSRRefE21_1_4x" localSheetId="87">'433'!$N$41:$O$41</definedName>
    <definedName name="OSRRefE21_1_4x" localSheetId="89">'444'!$N$41:$O$41</definedName>
    <definedName name="OSRRefE21_1_4x" localSheetId="90">'450'!$N$41:$O$41</definedName>
    <definedName name="OSRRefE21_1_4x" localSheetId="72">'491'!$N$42:$O$42</definedName>
    <definedName name="OSRRefE21_1_4x" localSheetId="85">'492'!$N$43:$O$43</definedName>
    <definedName name="OSRRefE21_1_4x" localSheetId="92">'501'!$N$35:$O$35</definedName>
    <definedName name="OSRRefE21_1_4x" localSheetId="39">'Div 2'!$N$35:$O$35</definedName>
    <definedName name="OSRRefE21_1_4x" localSheetId="47">'Div 3'!$N$74:$O$74</definedName>
    <definedName name="OSRRefE21_1_4x" localSheetId="70">'Div 4'!$N$45:$O$45</definedName>
    <definedName name="OSRRefE21_1_4x" localSheetId="91">'Div 5'!$N$35:$O$35</definedName>
    <definedName name="OSRRefE21_1_4x" localSheetId="61">'Div 6'!$N$49:$O$49</definedName>
    <definedName name="OSRRefE21_1_4x" localSheetId="2">Summary!$N$82:$O$82</definedName>
    <definedName name="OSRRefE21_1_5x" localSheetId="41">'201'!$N$34:$O$34</definedName>
    <definedName name="OSRRefE21_1_5x" localSheetId="42">'202'!$N$34:$O$34</definedName>
    <definedName name="OSRRefE21_1_5x" localSheetId="43">'203'!$N$35:$O$35</definedName>
    <definedName name="OSRRefE21_1_5x" localSheetId="44">'204'!$N$34:$O$34</definedName>
    <definedName name="OSRRefE21_1_5x" localSheetId="45">'205'!$N$34:$O$34</definedName>
    <definedName name="OSRRefE21_1_5x" localSheetId="46">'206'!$N$34:$O$34</definedName>
    <definedName name="OSRRefE21_1_5x" localSheetId="48">'300'!$N$69:$O$69</definedName>
    <definedName name="OSRRefE21_1_5x" localSheetId="49">'300 &amp; 317'!$N$75:$O$75</definedName>
    <definedName name="OSRRefE21_1_5x" localSheetId="50">'301'!$N$36:$O$36</definedName>
    <definedName name="OSRRefE21_1_5x" localSheetId="55">'307'!$N$48:$O$48</definedName>
    <definedName name="OSRRefE21_1_5x" localSheetId="51">'308'!$N$50:$O$50</definedName>
    <definedName name="OSRRefE21_1_5x" localSheetId="63">'310'!$N$44:$O$44</definedName>
    <definedName name="OSRRefE21_1_5x" localSheetId="71">'310 &amp; 491'!$N$44:$O$44</definedName>
    <definedName name="OSRRefE21_1_5x" localSheetId="52">'311'!$N$50:$O$50</definedName>
    <definedName name="OSRRefE21_1_5x" localSheetId="57">'315'!$N$58:$O$58</definedName>
    <definedName name="OSRRefE21_1_5x" localSheetId="60">'316'!$N$41:$O$41</definedName>
    <definedName name="OSRRefE21_1_5x" localSheetId="62">'317'!$N$50:$O$50</definedName>
    <definedName name="OSRRefE21_1_5x" localSheetId="66">'321'!$N$39:$O$39</definedName>
    <definedName name="OSRRefE21_1_5x" localSheetId="68">'325'!$N$39:$O$39</definedName>
    <definedName name="OSRRefE21_1_5x" localSheetId="58">'326'!$N$42:$O$42</definedName>
    <definedName name="OSRRefE21_1_5x" localSheetId="56">'331'!$N$58:$O$58</definedName>
    <definedName name="OSRRefE21_1_5x" localSheetId="59">'332'!$N$41:$O$41</definedName>
    <definedName name="OSRRefE21_1_5x" localSheetId="54">'333'!$N$60:$O$60</definedName>
    <definedName name="OSRRefE21_1_5x" localSheetId="73">'405'!$N$41:$O$41</definedName>
    <definedName name="OSRRefE21_1_5x" localSheetId="75">'411'!$N$34:$O$34</definedName>
    <definedName name="OSRRefE21_1_5x" localSheetId="79">'415'!$N$42:$O$42</definedName>
    <definedName name="OSRRefE21_1_5x" localSheetId="80">'418'!$N$38:$O$38</definedName>
    <definedName name="OSRRefE21_1_5x" localSheetId="81">'423'!$N$33:$O$33</definedName>
    <definedName name="OSRRefE21_1_5x" localSheetId="86">'430'!$N$34:$O$34</definedName>
    <definedName name="OSRRefE21_1_5x" localSheetId="87">'433'!$N$42:$O$42</definedName>
    <definedName name="OSRRefE21_1_5x" localSheetId="89">'444'!$N$42:$O$42</definedName>
    <definedName name="OSRRefE21_1_5x" localSheetId="90">'450'!$N$42:$O$42</definedName>
    <definedName name="OSRRefE21_1_5x" localSheetId="72">'491'!$N$43:$O$43</definedName>
    <definedName name="OSRRefE21_1_5x" localSheetId="85">'492'!$N$44:$O$44</definedName>
    <definedName name="OSRRefE21_1_5x" localSheetId="92">'501'!$N$36:$O$36</definedName>
    <definedName name="OSRRefE21_1_5x" localSheetId="39">'Div 2'!$N$36:$O$36</definedName>
    <definedName name="OSRRefE21_1_5x" localSheetId="47">'Div 3'!$N$75:$O$75</definedName>
    <definedName name="OSRRefE21_1_5x" localSheetId="70">'Div 4'!$N$46:$O$46</definedName>
    <definedName name="OSRRefE21_1_5x" localSheetId="91">'Div 5'!$N$36:$O$36</definedName>
    <definedName name="OSRRefE21_1_5x" localSheetId="61">'Div 6'!$N$50:$O$50</definedName>
    <definedName name="OSRRefE21_1_5x" localSheetId="2">Summary!$N$83:$O$83</definedName>
    <definedName name="OSRRefE21_1_6x" localSheetId="41">'201'!$N$35:$O$35</definedName>
    <definedName name="OSRRefE21_1_6x" localSheetId="42">'202'!$N$35:$O$35</definedName>
    <definedName name="OSRRefE21_1_6x" localSheetId="43">'203'!$N$36:$O$36</definedName>
    <definedName name="OSRRefE21_1_6x" localSheetId="44">'204'!$N$35:$O$35</definedName>
    <definedName name="OSRRefE21_1_6x" localSheetId="45">'205'!$N$35:$O$35</definedName>
    <definedName name="OSRRefE21_1_6x" localSheetId="46">'206'!$N$35:$O$35</definedName>
    <definedName name="OSRRefE21_1_6x" localSheetId="48">'300'!$N$70:$O$70</definedName>
    <definedName name="OSRRefE21_1_6x" localSheetId="49">'300 &amp; 317'!$N$76:$O$76</definedName>
    <definedName name="OSRRefE21_1_6x" localSheetId="50">'301'!$N$37:$O$37</definedName>
    <definedName name="OSRRefE21_1_6x" localSheetId="55">'307'!$N$49:$O$49</definedName>
    <definedName name="OSRRefE21_1_6x" localSheetId="51">'308'!$N$51:$O$51</definedName>
    <definedName name="OSRRefE21_1_6x" localSheetId="63">'310'!$N$45:$O$45</definedName>
    <definedName name="OSRRefE21_1_6x" localSheetId="71">'310 &amp; 491'!$N$45:$O$45</definedName>
    <definedName name="OSRRefE21_1_6x" localSheetId="52">'311'!$N$51:$O$51</definedName>
    <definedName name="OSRRefE21_1_6x" localSheetId="57">'315'!$N$59:$O$59</definedName>
    <definedName name="OSRRefE21_1_6x" localSheetId="60">'316'!$N$42:$O$42</definedName>
    <definedName name="OSRRefE21_1_6x" localSheetId="62">'317'!$N$51:$O$51</definedName>
    <definedName name="OSRRefE21_1_6x" localSheetId="66">'321'!$N$40:$O$40</definedName>
    <definedName name="OSRRefE21_1_6x" localSheetId="68">'325'!$N$40:$O$40</definedName>
    <definedName name="OSRRefE21_1_6x" localSheetId="58">'326'!$N$43:$O$43</definedName>
    <definedName name="OSRRefE21_1_6x" localSheetId="56">'331'!$N$59:$O$59</definedName>
    <definedName name="OSRRefE21_1_6x" localSheetId="59">'332'!$N$42:$O$42</definedName>
    <definedName name="OSRRefE21_1_6x" localSheetId="54">'333'!$N$61:$O$61</definedName>
    <definedName name="OSRRefE21_1_6x" localSheetId="73">'405'!$N$42:$O$42</definedName>
    <definedName name="OSRRefE21_1_6x" localSheetId="75">'411'!$N$35:$O$35</definedName>
    <definedName name="OSRRefE21_1_6x" localSheetId="79">'415'!$N$43:$O$43</definedName>
    <definedName name="OSRRefE21_1_6x" localSheetId="80">'418'!$N$39:$O$39</definedName>
    <definedName name="OSRRefE21_1_6x" localSheetId="81">'423'!$N$34:$O$34</definedName>
    <definedName name="OSRRefE21_1_6x" localSheetId="86">'430'!$N$35:$O$35</definedName>
    <definedName name="OSRRefE21_1_6x" localSheetId="87">'433'!$N$43:$O$43</definedName>
    <definedName name="OSRRefE21_1_6x" localSheetId="89">'444'!$N$43:$O$43</definedName>
    <definedName name="OSRRefE21_1_6x" localSheetId="90">'450'!$N$43:$O$43</definedName>
    <definedName name="OSRRefE21_1_6x" localSheetId="72">'491'!$N$44:$O$44</definedName>
    <definedName name="OSRRefE21_1_6x" localSheetId="85">'492'!$N$45:$O$45</definedName>
    <definedName name="OSRRefE21_1_6x" localSheetId="92">'501'!$N$37:$O$37</definedName>
    <definedName name="OSRRefE21_1_6x" localSheetId="39">'Div 2'!$N$37:$O$37</definedName>
    <definedName name="OSRRefE21_1_6x" localSheetId="47">'Div 3'!$N$76:$O$76</definedName>
    <definedName name="OSRRefE21_1_6x" localSheetId="70">'Div 4'!$N$47:$O$47</definedName>
    <definedName name="OSRRefE21_1_6x" localSheetId="91">'Div 5'!$N$37:$O$37</definedName>
    <definedName name="OSRRefE21_1_6x" localSheetId="61">'Div 6'!$N$51:$O$51</definedName>
    <definedName name="OSRRefE21_1_6x" localSheetId="2">Summary!$N$84:$O$84</definedName>
    <definedName name="OSRRefE21_1_7x" localSheetId="41">'201'!$N$36:$O$36</definedName>
    <definedName name="OSRRefE21_1_7x" localSheetId="42">'202'!$N$36:$O$36</definedName>
    <definedName name="OSRRefE21_1_7x" localSheetId="43">'203'!$N$37:$O$37</definedName>
    <definedName name="OSRRefE21_1_7x" localSheetId="44">'204'!$N$36:$O$36</definedName>
    <definedName name="OSRRefE21_1_7x" localSheetId="45">'205'!$N$36:$O$36</definedName>
    <definedName name="OSRRefE21_1_7x" localSheetId="46">'206'!$N$36:$O$36</definedName>
    <definedName name="OSRRefE21_1_7x" localSheetId="48">'300'!$N$71:$O$71</definedName>
    <definedName name="OSRRefE21_1_7x" localSheetId="49">'300 &amp; 317'!$N$77:$O$77</definedName>
    <definedName name="OSRRefE21_1_7x" localSheetId="50">'301'!$N$38:$O$38</definedName>
    <definedName name="OSRRefE21_1_7x" localSheetId="55">'307'!$N$50:$O$50</definedName>
    <definedName name="OSRRefE21_1_7x" localSheetId="51">'308'!$N$52:$O$52</definedName>
    <definedName name="OSRRefE21_1_7x" localSheetId="63">'310'!$N$46:$O$46</definedName>
    <definedName name="OSRRefE21_1_7x" localSheetId="71">'310 &amp; 491'!$N$46:$O$46</definedName>
    <definedName name="OSRRefE21_1_7x" localSheetId="52">'311'!$N$52:$O$52</definedName>
    <definedName name="OSRRefE21_1_7x" localSheetId="57">'315'!$N$60:$O$60</definedName>
    <definedName name="OSRRefE21_1_7x" localSheetId="60">'316'!$N$43:$O$43</definedName>
    <definedName name="OSRRefE21_1_7x" localSheetId="62">'317'!$N$52:$O$52</definedName>
    <definedName name="OSRRefE21_1_7x" localSheetId="66">'321'!$N$41:$O$41</definedName>
    <definedName name="OSRRefE21_1_7x" localSheetId="68">'325'!$N$41:$O$41</definedName>
    <definedName name="OSRRefE21_1_7x" localSheetId="58">'326'!$N$44:$O$44</definedName>
    <definedName name="OSRRefE21_1_7x" localSheetId="56">'331'!$N$60:$O$60</definedName>
    <definedName name="OSRRefE21_1_7x" localSheetId="59">'332'!$N$43:$O$43</definedName>
    <definedName name="OSRRefE21_1_7x" localSheetId="54">'333'!$N$62:$O$62</definedName>
    <definedName name="OSRRefE21_1_7x" localSheetId="73">'405'!$N$43:$O$43</definedName>
    <definedName name="OSRRefE21_1_7x" localSheetId="75">'411'!$N$36:$O$36</definedName>
    <definedName name="OSRRefE21_1_7x" localSheetId="79">'415'!$N$44:$O$44</definedName>
    <definedName name="OSRRefE21_1_7x" localSheetId="80">'418'!$N$40:$O$40</definedName>
    <definedName name="OSRRefE21_1_7x" localSheetId="81">'423'!$N$35:$O$35</definedName>
    <definedName name="OSRRefE21_1_7x" localSheetId="86">'430'!$N$36:$O$36</definedName>
    <definedName name="OSRRefE21_1_7x" localSheetId="87">'433'!$N$44:$O$44</definedName>
    <definedName name="OSRRefE21_1_7x" localSheetId="89">'444'!$N$44:$O$44</definedName>
    <definedName name="OSRRefE21_1_7x" localSheetId="90">'450'!$N$44:$O$44</definedName>
    <definedName name="OSRRefE21_1_7x" localSheetId="72">'491'!$N$45:$O$45</definedName>
    <definedName name="OSRRefE21_1_7x" localSheetId="85">'492'!$N$46:$O$46</definedName>
    <definedName name="OSRRefE21_1_7x" localSheetId="92">'501'!$N$38:$O$38</definedName>
    <definedName name="OSRRefE21_1_7x" localSheetId="39">'Div 2'!$N$38:$O$38</definedName>
    <definedName name="OSRRefE21_1_7x" localSheetId="47">'Div 3'!$N$77:$O$77</definedName>
    <definedName name="OSRRefE21_1_7x" localSheetId="70">'Div 4'!$N$48:$O$48</definedName>
    <definedName name="OSRRefE21_1_7x" localSheetId="91">'Div 5'!$N$38:$O$38</definedName>
    <definedName name="OSRRefE21_1_7x" localSheetId="61">'Div 6'!$N$52:$O$52</definedName>
    <definedName name="OSRRefE21_1_7x" localSheetId="2">Summary!$N$85:$O$85</definedName>
    <definedName name="OSRRefE21_1_8x" localSheetId="41">'201'!$N$37:$O$37</definedName>
    <definedName name="OSRRefE21_1_8x" localSheetId="42">'202'!$N$37:$O$37</definedName>
    <definedName name="OSRRefE21_1_8x" localSheetId="43">'203'!$N$38:$O$38</definedName>
    <definedName name="OSRRefE21_1_8x" localSheetId="44">'204'!$N$37:$O$37</definedName>
    <definedName name="OSRRefE21_1_8x" localSheetId="45">'205'!$N$37:$O$37</definedName>
    <definedName name="OSRRefE21_1_8x" localSheetId="46">'206'!$N$37:$O$37</definedName>
    <definedName name="OSRRefE21_1_8x" localSheetId="48">'300'!$N$72:$O$72</definedName>
    <definedName name="OSRRefE21_1_8x" localSheetId="49">'300 &amp; 317'!$N$78:$O$78</definedName>
    <definedName name="OSRRefE21_1_8x" localSheetId="50">'301'!$N$39:$O$39</definedName>
    <definedName name="OSRRefE21_1_8x" localSheetId="55">'307'!$N$51:$O$51</definedName>
    <definedName name="OSRRefE21_1_8x" localSheetId="51">'308'!$N$53:$O$53</definedName>
    <definedName name="OSRRefE21_1_8x" localSheetId="63">'310'!$N$47:$O$47</definedName>
    <definedName name="OSRRefE21_1_8x" localSheetId="71">'310 &amp; 491'!$N$47:$O$47</definedName>
    <definedName name="OSRRefE21_1_8x" localSheetId="52">'311'!$N$53:$O$53</definedName>
    <definedName name="OSRRefE21_1_8x" localSheetId="57">'315'!$N$61:$O$61</definedName>
    <definedName name="OSRRefE21_1_8x" localSheetId="60">'316'!$N$44:$O$44</definedName>
    <definedName name="OSRRefE21_1_8x" localSheetId="62">'317'!$N$53:$O$53</definedName>
    <definedName name="OSRRefE21_1_8x" localSheetId="66">'321'!$N$42:$O$42</definedName>
    <definedName name="OSRRefE21_1_8x" localSheetId="68">'325'!$N$42:$O$42</definedName>
    <definedName name="OSRRefE21_1_8x" localSheetId="58">'326'!$N$45:$O$45</definedName>
    <definedName name="OSRRefE21_1_8x" localSheetId="56">'331'!$N$61:$O$61</definedName>
    <definedName name="OSRRefE21_1_8x" localSheetId="59">'332'!$N$44:$O$44</definedName>
    <definedName name="OSRRefE21_1_8x" localSheetId="54">'333'!$N$63:$O$63</definedName>
    <definedName name="OSRRefE21_1_8x" localSheetId="73">'405'!$N$44:$O$44</definedName>
    <definedName name="OSRRefE21_1_8x" localSheetId="75">'411'!$N$37:$O$37</definedName>
    <definedName name="OSRRefE21_1_8x" localSheetId="79">'415'!$N$45:$O$45</definedName>
    <definedName name="OSRRefE21_1_8x" localSheetId="80">'418'!$N$41:$O$41</definedName>
    <definedName name="OSRRefE21_1_8x" localSheetId="81">'423'!$N$36:$O$36</definedName>
    <definedName name="OSRRefE21_1_8x" localSheetId="86">'430'!$N$37:$O$37</definedName>
    <definedName name="OSRRefE21_1_8x" localSheetId="87">'433'!$N$45:$O$45</definedName>
    <definedName name="OSRRefE21_1_8x" localSheetId="89">'444'!$N$45:$O$45</definedName>
    <definedName name="OSRRefE21_1_8x" localSheetId="90">'450'!$N$45:$O$45</definedName>
    <definedName name="OSRRefE21_1_8x" localSheetId="72">'491'!$N$46:$O$46</definedName>
    <definedName name="OSRRefE21_1_8x" localSheetId="85">'492'!$N$47:$O$47</definedName>
    <definedName name="OSRRefE21_1_8x" localSheetId="92">'501'!$N$39:$O$39</definedName>
    <definedName name="OSRRefE21_1_8x" localSheetId="39">'Div 2'!$N$39:$O$39</definedName>
    <definedName name="OSRRefE21_1_8x" localSheetId="47">'Div 3'!$N$78:$O$78</definedName>
    <definedName name="OSRRefE21_1_8x" localSheetId="70">'Div 4'!$N$49:$O$49</definedName>
    <definedName name="OSRRefE21_1_8x" localSheetId="91">'Div 5'!$N$39:$O$39</definedName>
    <definedName name="OSRRefE21_1_8x" localSheetId="61">'Div 6'!$N$53:$O$53</definedName>
    <definedName name="OSRRefE21_1_8x" localSheetId="2">Summary!$N$86:$O$86</definedName>
    <definedName name="OSRRefE21_1_9x" localSheetId="41">'201'!$N$38:$O$38</definedName>
    <definedName name="OSRRefE21_1_9x" localSheetId="42">'202'!$N$38:$O$38</definedName>
    <definedName name="OSRRefE21_1_9x" localSheetId="43">'203'!$N$39:$O$39</definedName>
    <definedName name="OSRRefE21_1_9x" localSheetId="44">'204'!$N$38:$O$38</definedName>
    <definedName name="OSRRefE21_1_9x" localSheetId="45">'205'!$N$38:$O$38</definedName>
    <definedName name="OSRRefE21_1_9x" localSheetId="46">'206'!$N$38:$O$38</definedName>
    <definedName name="OSRRefE21_1_9x" localSheetId="48">'300'!$N$73:$O$73</definedName>
    <definedName name="OSRRefE21_1_9x" localSheetId="49">'300 &amp; 317'!$N$79:$O$79</definedName>
    <definedName name="OSRRefE21_1_9x" localSheetId="50">'301'!$N$40:$O$40</definedName>
    <definedName name="OSRRefE21_1_9x" localSheetId="55">'307'!$N$52:$O$52</definedName>
    <definedName name="OSRRefE21_1_9x" localSheetId="51">'308'!$N$54:$O$54</definedName>
    <definedName name="OSRRefE21_1_9x" localSheetId="63">'310'!$N$48:$O$48</definedName>
    <definedName name="OSRRefE21_1_9x" localSheetId="71">'310 &amp; 491'!$N$48:$O$48</definedName>
    <definedName name="OSRRefE21_1_9x" localSheetId="52">'311'!$N$54:$O$54</definedName>
    <definedName name="OSRRefE21_1_9x" localSheetId="57">'315'!$N$62:$O$62</definedName>
    <definedName name="OSRRefE21_1_9x" localSheetId="60">'316'!$N$45:$O$45</definedName>
    <definedName name="OSRRefE21_1_9x" localSheetId="62">'317'!$N$54:$O$54</definedName>
    <definedName name="OSRRefE21_1_9x" localSheetId="66">'321'!$N$43:$O$43</definedName>
    <definedName name="OSRRefE21_1_9x" localSheetId="68">'325'!$N$43:$O$43</definedName>
    <definedName name="OSRRefE21_1_9x" localSheetId="58">'326'!$N$46:$O$46</definedName>
    <definedName name="OSRRefE21_1_9x" localSheetId="56">'331'!$N$62:$O$62</definedName>
    <definedName name="OSRRefE21_1_9x" localSheetId="59">'332'!$N$45:$O$45</definedName>
    <definedName name="OSRRefE21_1_9x" localSheetId="54">'333'!$N$64:$O$64</definedName>
    <definedName name="OSRRefE21_1_9x" localSheetId="73">'405'!$N$45:$O$45</definedName>
    <definedName name="OSRRefE21_1_9x" localSheetId="75">'411'!$N$38:$O$38</definedName>
    <definedName name="OSRRefE21_1_9x" localSheetId="79">'415'!$N$46:$O$46</definedName>
    <definedName name="OSRRefE21_1_9x" localSheetId="80">'418'!$N$42:$O$42</definedName>
    <definedName name="OSRRefE21_1_9x" localSheetId="81">'423'!$N$37:$O$37</definedName>
    <definedName name="OSRRefE21_1_9x" localSheetId="86">'430'!$N$38:$O$38</definedName>
    <definedName name="OSRRefE21_1_9x" localSheetId="87">'433'!$N$46:$O$46</definedName>
    <definedName name="OSRRefE21_1_9x" localSheetId="89">'444'!$N$46:$O$46</definedName>
    <definedName name="OSRRefE21_1_9x" localSheetId="90">'450'!$N$46:$O$46</definedName>
    <definedName name="OSRRefE21_1_9x" localSheetId="72">'491'!$N$47:$O$47</definedName>
    <definedName name="OSRRefE21_1_9x" localSheetId="85">'492'!$N$48:$O$48</definedName>
    <definedName name="OSRRefE21_1_9x" localSheetId="92">'501'!$N$40:$O$40</definedName>
    <definedName name="OSRRefE21_1_9x" localSheetId="39">'Div 2'!$N$40:$O$40</definedName>
    <definedName name="OSRRefE21_1_9x" localSheetId="47">'Div 3'!$N$79:$O$79</definedName>
    <definedName name="OSRRefE21_1_9x" localSheetId="70">'Div 4'!$N$50:$O$50</definedName>
    <definedName name="OSRRefE21_1_9x" localSheetId="91">'Div 5'!$N$40:$O$40</definedName>
    <definedName name="OSRRefE21_1_9x" localSheetId="61">'Div 6'!$N$54:$O$54</definedName>
    <definedName name="OSRRefE21_1_9x" localSheetId="2">Summary!$N$87:$O$87</definedName>
    <definedName name="OSRRefE21_10_0x" localSheetId="41">'201'!$N$58:$O$58</definedName>
    <definedName name="OSRRefE21_10_0x" localSheetId="42">'202'!$N$59:$O$59</definedName>
    <definedName name="OSRRefE21_10_0x" localSheetId="43">'203'!$N$60:$O$60</definedName>
    <definedName name="OSRRefE21_10_0x" localSheetId="48">'300'!$N$93:$O$93</definedName>
    <definedName name="OSRRefE21_10_0x" localSheetId="49">'300 &amp; 317'!$N$99:$O$99</definedName>
    <definedName name="OSRRefE21_10_0x" localSheetId="50">'301'!$N$60:$O$60</definedName>
    <definedName name="OSRRefE21_10_0x" localSheetId="55">'307'!$N$71:$O$71</definedName>
    <definedName name="OSRRefE21_10_0x" localSheetId="51">'308'!$N$75:$O$75</definedName>
    <definedName name="OSRRefE21_10_0x" localSheetId="64">'309'!$N$49:$O$49</definedName>
    <definedName name="OSRRefE21_10_0x" localSheetId="63">'310'!$N$67:$O$67</definedName>
    <definedName name="OSRRefE21_10_0x" localSheetId="71">'310 &amp; 491'!$N$67:$O$67</definedName>
    <definedName name="OSRRefE21_10_0x" localSheetId="52">'311'!$N$75:$O$75</definedName>
    <definedName name="OSRRefE21_10_0x" localSheetId="57">'315'!$N$81:$O$81</definedName>
    <definedName name="OSRRefE21_10_0x" localSheetId="60">'316'!$N$65:$O$65</definedName>
    <definedName name="OSRRefE21_10_0x" localSheetId="62">'317'!$N$73:$O$73</definedName>
    <definedName name="OSRRefE21_10_0x" localSheetId="66">'321'!$N$65:$O$65</definedName>
    <definedName name="OSRRefE21_10_0x" localSheetId="68">'325'!$N$62:$O$62</definedName>
    <definedName name="OSRRefE21_10_0x" localSheetId="58">'326'!$N$64:$O$64</definedName>
    <definedName name="OSRRefE21_10_0x" localSheetId="56">'331'!$N$81:$O$81</definedName>
    <definedName name="OSRRefE21_10_0x" localSheetId="59">'332'!$N$65:$O$65</definedName>
    <definedName name="OSRRefE21_10_0x" localSheetId="54">'333'!$N$83:$O$83</definedName>
    <definedName name="OSRRefE21_10_0x" localSheetId="73">'405'!$N$65:$O$65</definedName>
    <definedName name="OSRRefE21_10_0x" localSheetId="75">'411'!$N$60:$O$60</definedName>
    <definedName name="OSRRefE21_10_0x" localSheetId="79">'415'!$N$65:$O$65</definedName>
    <definedName name="OSRRefE21_10_0x" localSheetId="80">'418'!$N$64:$O$64</definedName>
    <definedName name="OSRRefE21_10_0x" localSheetId="87">'433'!$N$64:$O$64</definedName>
    <definedName name="OSRRefE21_10_0x" localSheetId="89">'444'!$N$64:$O$64</definedName>
    <definedName name="OSRRefE21_10_0x" localSheetId="90">'450'!$N$64:$O$64</definedName>
    <definedName name="OSRRefE21_10_0x" localSheetId="72">'491'!$N$66:$O$66</definedName>
    <definedName name="OSRRefE21_10_0x" localSheetId="85">'492'!$N$66:$O$66</definedName>
    <definedName name="OSRRefE21_10_0x" localSheetId="92">'501'!$N$61:$O$61</definedName>
    <definedName name="OSRRefE21_10_0x" localSheetId="39">'Div 2'!$N$59:$O$59</definedName>
    <definedName name="OSRRefE21_10_0x" localSheetId="47">'Div 3'!$N$99:$O$99</definedName>
    <definedName name="OSRRefE21_10_0x" localSheetId="70">'Div 4'!$N$69:$O$69</definedName>
    <definedName name="OSRRefE21_10_0x" localSheetId="91">'Div 5'!$N$61:$O$61</definedName>
    <definedName name="OSRRefE21_10_0x" localSheetId="61">'Div 6'!$N$73:$O$73</definedName>
    <definedName name="OSRRefE21_10_0x" localSheetId="2">Summary!$N$107:$O$107</definedName>
    <definedName name="OSRRefE21_10_1x" localSheetId="41">'201'!$N$59:$O$59</definedName>
    <definedName name="OSRRefE21_10_1x" localSheetId="43">'203'!$N$61:$O$61</definedName>
    <definedName name="OSRRefE21_10_1x" localSheetId="48">'300'!$N$94:$O$94</definedName>
    <definedName name="OSRRefE21_10_1x" localSheetId="49">'300 &amp; 317'!$N$100:$O$100</definedName>
    <definedName name="OSRRefE21_10_1x" localSheetId="55">'307'!$N$72:$O$72</definedName>
    <definedName name="OSRRefE21_10_1x" localSheetId="51">'308'!$N$76:$O$76</definedName>
    <definedName name="OSRRefE21_10_1x" localSheetId="64">'309'!$N$50:$O$50</definedName>
    <definedName name="OSRRefE21_10_1x" localSheetId="52">'311'!$N$76:$O$76</definedName>
    <definedName name="OSRRefE21_10_1x" localSheetId="60">'316'!$N$66:$O$66</definedName>
    <definedName name="OSRRefE21_10_1x" localSheetId="66">'321'!$N$66:$O$66</definedName>
    <definedName name="OSRRefE21_10_1x" localSheetId="59">'332'!$N$66:$O$66</definedName>
    <definedName name="OSRRefE21_10_1x" localSheetId="73">'405'!$N$66:$O$66</definedName>
    <definedName name="OSRRefE21_10_1x" localSheetId="47">'Div 3'!$N$100:$O$100</definedName>
    <definedName name="OSRRefE21_10_1x" localSheetId="2">Summary!$N$108:$O$108</definedName>
    <definedName name="OSRRefE21_10_2x" localSheetId="60">'316'!$N$67:$O$67</definedName>
    <definedName name="OSRRefE21_10_2x" localSheetId="66">'321'!$N$67:$O$67</definedName>
    <definedName name="OSRRefE21_10_2x" localSheetId="59">'332'!$N$67:$O$67</definedName>
    <definedName name="OSRRefE21_10_2x" localSheetId="73">'405'!$N$67:$O$67</definedName>
    <definedName name="OSRRefE21_10_3x" localSheetId="60">'316'!$N$68:$O$68</definedName>
    <definedName name="OSRRefE21_10_3x" localSheetId="66">'321'!$N$68:$O$68</definedName>
    <definedName name="OSRRefE21_10_3x" localSheetId="59">'332'!$N$68:$O$68</definedName>
    <definedName name="OSRRefE21_10_4x" localSheetId="60">'316'!$N$69:$O$69</definedName>
    <definedName name="OSRRefE21_10_4x" localSheetId="59">'332'!$N$69:$O$69</definedName>
    <definedName name="OSRRefE21_10x_0" localSheetId="41">'201'!$N$58:$N$59</definedName>
    <definedName name="OSRRefE21_10x_0" localSheetId="42">'202'!$N$59</definedName>
    <definedName name="OSRRefE21_10x_0" localSheetId="43">'203'!$N$60:$N$61</definedName>
    <definedName name="OSRRefE21_10x_0" localSheetId="48">'300'!$N$93:$N$94</definedName>
    <definedName name="OSRRefE21_10x_0" localSheetId="49">'300 &amp; 317'!$N$99:$N$100</definedName>
    <definedName name="OSRRefE21_10x_0" localSheetId="50">'301'!$N$60</definedName>
    <definedName name="OSRRefE21_10x_0" localSheetId="55">'307'!$N$71:$N$72</definedName>
    <definedName name="OSRRefE21_10x_0" localSheetId="51">'308'!$N$75:$N$76</definedName>
    <definedName name="OSRRefE21_10x_0" localSheetId="64">'309'!$N$49:$N$50</definedName>
    <definedName name="OSRRefE21_10x_0" localSheetId="63">'310'!$N$67</definedName>
    <definedName name="OSRRefE21_10x_0" localSheetId="71">'310 &amp; 491'!$N$67</definedName>
    <definedName name="OSRRefE21_10x_0" localSheetId="52">'311'!$N$75:$N$76</definedName>
    <definedName name="OSRRefE21_10x_0" localSheetId="57">'315'!$N$81</definedName>
    <definedName name="OSRRefE21_10x_0" localSheetId="60">'316'!$N$65:$N$69</definedName>
    <definedName name="OSRRefE21_10x_0" localSheetId="62">'317'!$N$73</definedName>
    <definedName name="OSRRefE21_10x_0" localSheetId="66">'321'!$N$65:$N$68</definedName>
    <definedName name="OSRRefE21_10x_0" localSheetId="68">'325'!$N$62</definedName>
    <definedName name="OSRRefE21_10x_0" localSheetId="58">'326'!$N$64</definedName>
    <definedName name="OSRRefE21_10x_0" localSheetId="56">'331'!$N$81</definedName>
    <definedName name="OSRRefE21_10x_0" localSheetId="59">'332'!$N$65:$N$69</definedName>
    <definedName name="OSRRefE21_10x_0" localSheetId="54">'333'!$N$83</definedName>
    <definedName name="OSRRefE21_10x_0" localSheetId="73">'405'!$N$65:$N$67</definedName>
    <definedName name="OSRRefE21_10x_0" localSheetId="75">'411'!$N$60</definedName>
    <definedName name="OSRRefE21_10x_0" localSheetId="79">'415'!$N$65</definedName>
    <definedName name="OSRRefE21_10x_0" localSheetId="80">'418'!$N$64</definedName>
    <definedName name="OSRRefE21_10x_0" localSheetId="87">'433'!$N$64</definedName>
    <definedName name="OSRRefE21_10x_0" localSheetId="89">'444'!$N$64</definedName>
    <definedName name="OSRRefE21_10x_0" localSheetId="90">'450'!$N$64</definedName>
    <definedName name="OSRRefE21_10x_0" localSheetId="72">'491'!$N$66</definedName>
    <definedName name="OSRRefE21_10x_0" localSheetId="85">'492'!$N$66</definedName>
    <definedName name="OSRRefE21_10x_0" localSheetId="92">'501'!$N$61</definedName>
    <definedName name="OSRRefE21_10x_0" localSheetId="39">'Div 2'!$N$59</definedName>
    <definedName name="OSRRefE21_10x_0" localSheetId="47">'Div 3'!$N$99:$N$100</definedName>
    <definedName name="OSRRefE21_10x_0" localSheetId="70">'Div 4'!$N$69</definedName>
    <definedName name="OSRRefE21_10x_0" localSheetId="91">'Div 5'!$N$61</definedName>
    <definedName name="OSRRefE21_10x_0" localSheetId="61">'Div 6'!$N$73</definedName>
    <definedName name="OSRRefE21_10x_0" localSheetId="2">Summary!$N$107:$N$108</definedName>
    <definedName name="OSRRefE21_10x_1" localSheetId="41">'201'!$O$58:$O$59</definedName>
    <definedName name="OSRRefE21_10x_1" localSheetId="42">'202'!$O$59</definedName>
    <definedName name="OSRRefE21_10x_1" localSheetId="43">'203'!$O$60:$O$61</definedName>
    <definedName name="OSRRefE21_10x_1" localSheetId="48">'300'!$O$93:$O$94</definedName>
    <definedName name="OSRRefE21_10x_1" localSheetId="49">'300 &amp; 317'!$O$99:$O$100</definedName>
    <definedName name="OSRRefE21_10x_1" localSheetId="50">'301'!$O$60</definedName>
    <definedName name="OSRRefE21_10x_1" localSheetId="55">'307'!$O$71:$O$72</definedName>
    <definedName name="OSRRefE21_10x_1" localSheetId="51">'308'!$O$75:$O$76</definedName>
    <definedName name="OSRRefE21_10x_1" localSheetId="64">'309'!$O$49:$O$50</definedName>
    <definedName name="OSRRefE21_10x_1" localSheetId="63">'310'!$O$67</definedName>
    <definedName name="OSRRefE21_10x_1" localSheetId="71">'310 &amp; 491'!$O$67</definedName>
    <definedName name="OSRRefE21_10x_1" localSheetId="52">'311'!$O$75:$O$76</definedName>
    <definedName name="OSRRefE21_10x_1" localSheetId="57">'315'!$O$81</definedName>
    <definedName name="OSRRefE21_10x_1" localSheetId="60">'316'!$O$65:$O$69</definedName>
    <definedName name="OSRRefE21_10x_1" localSheetId="62">'317'!$O$73</definedName>
    <definedName name="OSRRefE21_10x_1" localSheetId="66">'321'!$O$65:$O$68</definedName>
    <definedName name="OSRRefE21_10x_1" localSheetId="68">'325'!$O$62</definedName>
    <definedName name="OSRRefE21_10x_1" localSheetId="58">'326'!$O$64</definedName>
    <definedName name="OSRRefE21_10x_1" localSheetId="56">'331'!$O$81</definedName>
    <definedName name="OSRRefE21_10x_1" localSheetId="59">'332'!$O$65:$O$69</definedName>
    <definedName name="OSRRefE21_10x_1" localSheetId="54">'333'!$O$83</definedName>
    <definedName name="OSRRefE21_10x_1" localSheetId="73">'405'!$O$65:$O$67</definedName>
    <definedName name="OSRRefE21_10x_1" localSheetId="75">'411'!$O$60</definedName>
    <definedName name="OSRRefE21_10x_1" localSheetId="79">'415'!$O$65</definedName>
    <definedName name="OSRRefE21_10x_1" localSheetId="80">'418'!$O$64</definedName>
    <definedName name="OSRRefE21_10x_1" localSheetId="87">'433'!$O$64</definedName>
    <definedName name="OSRRefE21_10x_1" localSheetId="89">'444'!$O$64</definedName>
    <definedName name="OSRRefE21_10x_1" localSheetId="90">'450'!$O$64</definedName>
    <definedName name="OSRRefE21_10x_1" localSheetId="72">'491'!$O$66</definedName>
    <definedName name="OSRRefE21_10x_1" localSheetId="85">'492'!$O$66</definedName>
    <definedName name="OSRRefE21_10x_1" localSheetId="92">'501'!$O$61</definedName>
    <definedName name="OSRRefE21_10x_1" localSheetId="39">'Div 2'!$O$59</definedName>
    <definedName name="OSRRefE21_10x_1" localSheetId="47">'Div 3'!$O$99:$O$100</definedName>
    <definedName name="OSRRefE21_10x_1" localSheetId="70">'Div 4'!$O$69</definedName>
    <definedName name="OSRRefE21_10x_1" localSheetId="91">'Div 5'!$O$61</definedName>
    <definedName name="OSRRefE21_10x_1" localSheetId="61">'Div 6'!$O$73</definedName>
    <definedName name="OSRRefE21_10x_1" localSheetId="2">Summary!$O$107:$O$108</definedName>
    <definedName name="OSRRefE21_11_0x" localSheetId="41">'201'!$N$61:$O$61</definedName>
    <definedName name="OSRRefE21_11_0x" localSheetId="42">'202'!$N$61:$O$61</definedName>
    <definedName name="OSRRefE21_11_0x" localSheetId="43">'203'!$N$63:$O$63</definedName>
    <definedName name="OSRRefE21_11_0x" localSheetId="48">'300'!$N$96:$O$96</definedName>
    <definedName name="OSRRefE21_11_0x" localSheetId="49">'300 &amp; 317'!$N$102:$O$102</definedName>
    <definedName name="OSRRefE21_11_0x" localSheetId="50">'301'!$N$62:$O$62</definedName>
    <definedName name="OSRRefE21_11_0x" localSheetId="55">'307'!$N$74:$O$74</definedName>
    <definedName name="OSRRefE21_11_0x" localSheetId="51">'308'!$N$78:$O$78</definedName>
    <definedName name="OSRRefE21_11_0x" localSheetId="64">'309'!$N$52:$O$52</definedName>
    <definedName name="OSRRefE21_11_0x" localSheetId="63">'310'!$N$69:$O$69</definedName>
    <definedName name="OSRRefE21_11_0x" localSheetId="71">'310 &amp; 491'!$N$69:$O$69</definedName>
    <definedName name="OSRRefE21_11_0x" localSheetId="52">'311'!$N$78:$O$78</definedName>
    <definedName name="OSRRefE21_11_0x" localSheetId="57">'315'!$N$83:$O$83</definedName>
    <definedName name="OSRRefE21_11_0x" localSheetId="60">'316'!$N$71:$O$71</definedName>
    <definedName name="OSRRefE21_11_0x" localSheetId="66">'321'!$N$70:$O$70</definedName>
    <definedName name="OSRRefE21_11_0x" localSheetId="68">'325'!$N$64:$O$64</definedName>
    <definedName name="OSRRefE21_11_0x" localSheetId="58">'326'!$N$66:$O$66</definedName>
    <definedName name="OSRRefE21_11_0x" localSheetId="56">'331'!$N$83:$O$83</definedName>
    <definedName name="OSRRefE21_11_0x" localSheetId="59">'332'!$N$71:$O$71</definedName>
    <definedName name="OSRRefE21_11_0x" localSheetId="54">'333'!$N$85:$O$85</definedName>
    <definedName name="OSRRefE21_11_0x" localSheetId="73">'405'!$N$69:$O$69</definedName>
    <definedName name="OSRRefE21_11_0x" localSheetId="75">'411'!$N$62:$O$62</definedName>
    <definedName name="OSRRefE21_11_0x" localSheetId="79">'415'!$N$67:$O$67</definedName>
    <definedName name="OSRRefE21_11_0x" localSheetId="80">'418'!$N$66:$O$66</definedName>
    <definedName name="OSRRefE21_11_0x" localSheetId="87">'433'!$N$66:$O$66</definedName>
    <definedName name="OSRRefE21_11_0x" localSheetId="89">'444'!$N$66:$O$66</definedName>
    <definedName name="OSRRefE21_11_0x" localSheetId="90">'450'!$N$66:$O$66</definedName>
    <definedName name="OSRRefE21_11_0x" localSheetId="72">'491'!$N$68:$O$68</definedName>
    <definedName name="OSRRefE21_11_0x" localSheetId="85">'492'!$N$68:$O$68</definedName>
    <definedName name="OSRRefE21_11_0x" localSheetId="92">'501'!$N$63:$O$63</definedName>
    <definedName name="OSRRefE21_11_0x" localSheetId="39">'Div 2'!$N$61:$O$61</definedName>
    <definedName name="OSRRefE21_11_0x" localSheetId="47">'Div 3'!$N$102:$O$102</definedName>
    <definedName name="OSRRefE21_11_0x" localSheetId="70">'Div 4'!$N$71:$O$71</definedName>
    <definedName name="OSRRefE21_11_0x" localSheetId="91">'Div 5'!$N$63:$O$63</definedName>
    <definedName name="OSRRefE21_11_0x" localSheetId="2">Summary!$N$110:$O$110</definedName>
    <definedName name="OSRRefE21_11_1x" localSheetId="43">'203'!$N$64:$O$64</definedName>
    <definedName name="OSRRefE21_11_1x" localSheetId="51">'308'!$N$79:$O$79</definedName>
    <definedName name="OSRRefE21_11_1x" localSheetId="63">'310'!$N$70:$O$70</definedName>
    <definedName name="OSRRefE21_11_1x" localSheetId="52">'311'!$N$79:$O$79</definedName>
    <definedName name="OSRRefE21_11_1x" localSheetId="68">'325'!$N$65:$O$65</definedName>
    <definedName name="OSRRefE21_11_1x" localSheetId="58">'326'!$N$67:$O$67</definedName>
    <definedName name="OSRRefE21_11_1x" localSheetId="75">'411'!$N$63:$O$63</definedName>
    <definedName name="OSRRefE21_11_1x" localSheetId="79">'415'!$N$68:$O$68</definedName>
    <definedName name="OSRRefE21_11_1x" localSheetId="80">'418'!$N$67:$O$67</definedName>
    <definedName name="OSRRefE21_11_1x" localSheetId="87">'433'!$N$67:$O$67</definedName>
    <definedName name="OSRRefE21_11_1x" localSheetId="89">'444'!$N$67:$O$67</definedName>
    <definedName name="OSRRefE21_11_1x" localSheetId="90">'450'!$N$67:$O$67</definedName>
    <definedName name="OSRRefE21_11_1x" localSheetId="92">'501'!$N$64:$O$64</definedName>
    <definedName name="OSRRefE21_11_1x" localSheetId="91">'Div 5'!$N$64:$O$64</definedName>
    <definedName name="OSRRefE21_11_2x" localSheetId="43">'203'!$N$65:$O$65</definedName>
    <definedName name="OSRRefE21_11_2x" localSheetId="80">'418'!$N$68:$O$68</definedName>
    <definedName name="OSRRefE21_11_2x" localSheetId="87">'433'!$N$68:$O$68</definedName>
    <definedName name="OSRRefE21_11_2x" localSheetId="92">'501'!$N$65:$O$65</definedName>
    <definedName name="OSRRefE21_11_2x" localSheetId="91">'Div 5'!$N$65:$O$65</definedName>
    <definedName name="OSRRefE21_11_3x" localSheetId="43">'203'!$N$66:$O$66</definedName>
    <definedName name="OSRRefE21_11_3x" localSheetId="80">'418'!$N$69:$O$69</definedName>
    <definedName name="OSRRefE21_11_4x" localSheetId="80">'418'!$N$70:$O$70</definedName>
    <definedName name="OSRRefE21_11_5x" localSheetId="80">'418'!$N$71:$O$71</definedName>
    <definedName name="OSRRefE21_11x_0" localSheetId="41">'201'!$N$61</definedName>
    <definedName name="OSRRefE21_11x_0" localSheetId="42">'202'!$N$61</definedName>
    <definedName name="OSRRefE21_11x_0" localSheetId="43">'203'!$N$63:$N$66</definedName>
    <definedName name="OSRRefE21_11x_0" localSheetId="48">'300'!$N$96</definedName>
    <definedName name="OSRRefE21_11x_0" localSheetId="49">'300 &amp; 317'!$N$102</definedName>
    <definedName name="OSRRefE21_11x_0" localSheetId="50">'301'!$N$62</definedName>
    <definedName name="OSRRefE21_11x_0" localSheetId="55">'307'!$N$74</definedName>
    <definedName name="OSRRefE21_11x_0" localSheetId="51">'308'!$N$78:$N$79</definedName>
    <definedName name="OSRRefE21_11x_0" localSheetId="64">'309'!$N$52</definedName>
    <definedName name="OSRRefE21_11x_0" localSheetId="63">'310'!$N$69:$N$70</definedName>
    <definedName name="OSRRefE21_11x_0" localSheetId="71">'310 &amp; 491'!$N$69</definedName>
    <definedName name="OSRRefE21_11x_0" localSheetId="52">'311'!$N$78:$N$79</definedName>
    <definedName name="OSRRefE21_11x_0" localSheetId="57">'315'!$N$83</definedName>
    <definedName name="OSRRefE21_11x_0" localSheetId="60">'316'!$N$71</definedName>
    <definedName name="OSRRefE21_11x_0" localSheetId="66">'321'!$N$70</definedName>
    <definedName name="OSRRefE21_11x_0" localSheetId="68">'325'!$N$64:$N$65</definedName>
    <definedName name="OSRRefE21_11x_0" localSheetId="58">'326'!$N$66:$N$67</definedName>
    <definedName name="OSRRefE21_11x_0" localSheetId="56">'331'!$N$83</definedName>
    <definedName name="OSRRefE21_11x_0" localSheetId="59">'332'!$N$71</definedName>
    <definedName name="OSRRefE21_11x_0" localSheetId="54">'333'!$N$85</definedName>
    <definedName name="OSRRefE21_11x_0" localSheetId="73">'405'!$N$69</definedName>
    <definedName name="OSRRefE21_11x_0" localSheetId="75">'411'!$N$62:$N$63</definedName>
    <definedName name="OSRRefE21_11x_0" localSheetId="79">'415'!$N$67:$N$68</definedName>
    <definedName name="OSRRefE21_11x_0" localSheetId="80">'418'!$N$66:$N$71</definedName>
    <definedName name="OSRRefE21_11x_0" localSheetId="87">'433'!$N$66:$N$68</definedName>
    <definedName name="OSRRefE21_11x_0" localSheetId="89">'444'!$N$66:$N$67</definedName>
    <definedName name="OSRRefE21_11x_0" localSheetId="90">'450'!$N$66:$N$67</definedName>
    <definedName name="OSRRefE21_11x_0" localSheetId="72">'491'!$N$68</definedName>
    <definedName name="OSRRefE21_11x_0" localSheetId="85">'492'!$N$68</definedName>
    <definedName name="OSRRefE21_11x_0" localSheetId="92">'501'!$N$63:$N$65</definedName>
    <definedName name="OSRRefE21_11x_0" localSheetId="39">'Div 2'!$N$61</definedName>
    <definedName name="OSRRefE21_11x_0" localSheetId="47">'Div 3'!$N$102</definedName>
    <definedName name="OSRRefE21_11x_0" localSheetId="70">'Div 4'!$N$71</definedName>
    <definedName name="OSRRefE21_11x_0" localSheetId="91">'Div 5'!$N$63:$N$65</definedName>
    <definedName name="OSRRefE21_11x_0" localSheetId="2">Summary!$N$110</definedName>
    <definedName name="OSRRefE21_11x_1" localSheetId="41">'201'!$O$61</definedName>
    <definedName name="OSRRefE21_11x_1" localSheetId="42">'202'!$O$61</definedName>
    <definedName name="OSRRefE21_11x_1" localSheetId="43">'203'!$O$63:$O$66</definedName>
    <definedName name="OSRRefE21_11x_1" localSheetId="48">'300'!$O$96</definedName>
    <definedName name="OSRRefE21_11x_1" localSheetId="49">'300 &amp; 317'!$O$102</definedName>
    <definedName name="OSRRefE21_11x_1" localSheetId="50">'301'!$O$62</definedName>
    <definedName name="OSRRefE21_11x_1" localSheetId="55">'307'!$O$74</definedName>
    <definedName name="OSRRefE21_11x_1" localSheetId="51">'308'!$O$78:$O$79</definedName>
    <definedName name="OSRRefE21_11x_1" localSheetId="64">'309'!$O$52</definedName>
    <definedName name="OSRRefE21_11x_1" localSheetId="63">'310'!$O$69:$O$70</definedName>
    <definedName name="OSRRefE21_11x_1" localSheetId="71">'310 &amp; 491'!$O$69</definedName>
    <definedName name="OSRRefE21_11x_1" localSheetId="52">'311'!$O$78:$O$79</definedName>
    <definedName name="OSRRefE21_11x_1" localSheetId="57">'315'!$O$83</definedName>
    <definedName name="OSRRefE21_11x_1" localSheetId="60">'316'!$O$71</definedName>
    <definedName name="OSRRefE21_11x_1" localSheetId="66">'321'!$O$70</definedName>
    <definedName name="OSRRefE21_11x_1" localSheetId="68">'325'!$O$64:$O$65</definedName>
    <definedName name="OSRRefE21_11x_1" localSheetId="58">'326'!$O$66:$O$67</definedName>
    <definedName name="OSRRefE21_11x_1" localSheetId="56">'331'!$O$83</definedName>
    <definedName name="OSRRefE21_11x_1" localSheetId="59">'332'!$O$71</definedName>
    <definedName name="OSRRefE21_11x_1" localSheetId="54">'333'!$O$85</definedName>
    <definedName name="OSRRefE21_11x_1" localSheetId="73">'405'!$O$69</definedName>
    <definedName name="OSRRefE21_11x_1" localSheetId="75">'411'!$O$62:$O$63</definedName>
    <definedName name="OSRRefE21_11x_1" localSheetId="79">'415'!$O$67:$O$68</definedName>
    <definedName name="OSRRefE21_11x_1" localSheetId="80">'418'!$O$66:$O$71</definedName>
    <definedName name="OSRRefE21_11x_1" localSheetId="87">'433'!$O$66:$O$68</definedName>
    <definedName name="OSRRefE21_11x_1" localSheetId="89">'444'!$O$66:$O$67</definedName>
    <definedName name="OSRRefE21_11x_1" localSheetId="90">'450'!$O$66:$O$67</definedName>
    <definedName name="OSRRefE21_11x_1" localSheetId="72">'491'!$O$68</definedName>
    <definedName name="OSRRefE21_11x_1" localSheetId="85">'492'!$O$68</definedName>
    <definedName name="OSRRefE21_11x_1" localSheetId="92">'501'!$O$63:$O$65</definedName>
    <definedName name="OSRRefE21_11x_1" localSheetId="39">'Div 2'!$O$61</definedName>
    <definedName name="OSRRefE21_11x_1" localSheetId="47">'Div 3'!$O$102</definedName>
    <definedName name="OSRRefE21_11x_1" localSheetId="70">'Div 4'!$O$71</definedName>
    <definedName name="OSRRefE21_11x_1" localSheetId="91">'Div 5'!$O$63:$O$65</definedName>
    <definedName name="OSRRefE21_11x_1" localSheetId="2">Summary!$O$110</definedName>
    <definedName name="OSRRefE21_12_0x" localSheetId="41">'201'!$N$63:$O$63</definedName>
    <definedName name="OSRRefE21_12_0x" localSheetId="42">'202'!$N$63:$O$63</definedName>
    <definedName name="OSRRefE21_12_0x" localSheetId="43">'203'!$N$68:$O$68</definedName>
    <definedName name="OSRRefE21_12_0x" localSheetId="48">'300'!$N$98:$O$98</definedName>
    <definedName name="OSRRefE21_12_0x" localSheetId="49">'300 &amp; 317'!$N$104:$O$104</definedName>
    <definedName name="OSRRefE21_12_0x" localSheetId="50">'301'!$N$64:$O$64</definedName>
    <definedName name="OSRRefE21_12_0x" localSheetId="55">'307'!$N$76:$O$76</definedName>
    <definedName name="OSRRefE21_12_0x" localSheetId="51">'308'!$N$81:$O$81</definedName>
    <definedName name="OSRRefE21_12_0x" localSheetId="64">'309'!$N$54:$O$54</definedName>
    <definedName name="OSRRefE21_12_0x" localSheetId="63">'310'!$N$72:$O$72</definedName>
    <definedName name="OSRRefE21_12_0x" localSheetId="71">'310 &amp; 491'!$N$71:$O$71</definedName>
    <definedName name="OSRRefE21_12_0x" localSheetId="52">'311'!$N$81:$O$81</definedName>
    <definedName name="OSRRefE21_12_0x" localSheetId="57">'315'!$N$85:$O$85</definedName>
    <definedName name="OSRRefE21_12_0x" localSheetId="66">'321'!$N$72:$O$72</definedName>
    <definedName name="OSRRefE21_12_0x" localSheetId="68">'325'!$N$67:$O$67</definedName>
    <definedName name="OSRRefE21_12_0x" localSheetId="58">'326'!$N$69:$O$69</definedName>
    <definedName name="OSRRefE21_12_0x" localSheetId="56">'331'!$N$85:$O$85</definedName>
    <definedName name="OSRRefE21_12_0x" localSheetId="54">'333'!$N$87:$O$87</definedName>
    <definedName name="OSRRefE21_12_0x" localSheetId="73">'405'!$N$71:$O$71</definedName>
    <definedName name="OSRRefE21_12_0x" localSheetId="75">'411'!$N$65:$O$65</definedName>
    <definedName name="OSRRefE21_12_0x" localSheetId="79">'415'!$N$70:$O$70</definedName>
    <definedName name="OSRRefE21_12_0x" localSheetId="80">'418'!$N$73:$O$73</definedName>
    <definedName name="OSRRefE21_12_0x" localSheetId="87">'433'!$N$70:$O$70</definedName>
    <definedName name="OSRRefE21_12_0x" localSheetId="89">'444'!$N$69:$O$69</definedName>
    <definedName name="OSRRefE21_12_0x" localSheetId="90">'450'!$N$69:$O$69</definedName>
    <definedName name="OSRRefE21_12_0x" localSheetId="72">'491'!$N$70:$O$70</definedName>
    <definedName name="OSRRefE21_12_0x" localSheetId="85">'492'!$N$70:$O$70</definedName>
    <definedName name="OSRRefE21_12_0x" localSheetId="92">'501'!$N$67:$O$67</definedName>
    <definedName name="OSRRefE21_12_0x" localSheetId="39">'Div 2'!$N$63:$O$63</definedName>
    <definedName name="OSRRefE21_12_0x" localSheetId="47">'Div 3'!$N$104:$O$104</definedName>
    <definedName name="OSRRefE21_12_0x" localSheetId="70">'Div 4'!$N$73:$O$73</definedName>
    <definedName name="OSRRefE21_12_0x" localSheetId="91">'Div 5'!$N$67:$O$67</definedName>
    <definedName name="OSRRefE21_12_0x" localSheetId="2">Summary!$N$112:$O$112</definedName>
    <definedName name="OSRRefE21_12_1x" localSheetId="41">'201'!$N$64:$O$64</definedName>
    <definedName name="OSRRefE21_12_1x" localSheetId="55">'307'!$N$77:$O$77</definedName>
    <definedName name="OSRRefE21_12_1x" localSheetId="51">'308'!$N$82:$O$82</definedName>
    <definedName name="OSRRefE21_12_1x" localSheetId="63">'310'!$N$73:$O$73</definedName>
    <definedName name="OSRRefE21_12_1x" localSheetId="71">'310 &amp; 491'!$N$72:$O$72</definedName>
    <definedName name="OSRRefE21_12_1x" localSheetId="52">'311'!$N$82:$O$82</definedName>
    <definedName name="OSRRefE21_12_1x" localSheetId="57">'315'!$N$86:$O$86</definedName>
    <definedName name="OSRRefE21_12_1x" localSheetId="68">'325'!$N$68:$O$68</definedName>
    <definedName name="OSRRefE21_12_1x" localSheetId="58">'326'!$N$70:$O$70</definedName>
    <definedName name="OSRRefE21_12_1x" localSheetId="73">'405'!$N$72:$O$72</definedName>
    <definedName name="OSRRefE21_12_1x" localSheetId="79">'415'!$N$71:$O$71</definedName>
    <definedName name="OSRRefE21_12_1x" localSheetId="80">'418'!$N$74:$O$74</definedName>
    <definedName name="OSRRefE21_12_1x" localSheetId="87">'433'!$N$71:$O$71</definedName>
    <definedName name="OSRRefE21_12_1x" localSheetId="89">'444'!$N$70:$O$70</definedName>
    <definedName name="OSRRefE21_12_1x" localSheetId="90">'450'!$N$70:$O$70</definedName>
    <definedName name="OSRRefE21_12_1x" localSheetId="72">'491'!$N$71:$O$71</definedName>
    <definedName name="OSRRefE21_12_1x" localSheetId="85">'492'!$N$71:$O$71</definedName>
    <definedName name="OSRRefE21_12_1x" localSheetId="39">'Div 2'!$N$64:$O$64</definedName>
    <definedName name="OSRRefE21_12_2x" localSheetId="55">'307'!$N$78:$O$78</definedName>
    <definedName name="OSRRefE21_12_2x" localSheetId="71">'310 &amp; 491'!$N$73:$O$73</definedName>
    <definedName name="OSRRefE21_12_2x" localSheetId="68">'325'!$N$69:$O$69</definedName>
    <definedName name="OSRRefE21_12_2x" localSheetId="73">'405'!$N$73:$O$73</definedName>
    <definedName name="OSRRefE21_12_2x" localSheetId="79">'415'!$N$72:$O$72</definedName>
    <definedName name="OSRRefE21_12_2x" localSheetId="87">'433'!$N$72:$O$72</definedName>
    <definedName name="OSRRefE21_12_2x" localSheetId="89">'444'!$N$71:$O$71</definedName>
    <definedName name="OSRRefE21_12_2x" localSheetId="90">'450'!$N$71:$O$71</definedName>
    <definedName name="OSRRefE21_12_2x" localSheetId="72">'491'!$N$72:$O$72</definedName>
    <definedName name="OSRRefE21_12_2x" localSheetId="85">'492'!$N$72:$O$72</definedName>
    <definedName name="OSRRefE21_12_2x" localSheetId="39">'Div 2'!$N$65:$O$65</definedName>
    <definedName name="OSRRefE21_12_3x" localSheetId="55">'307'!$N$79:$O$79</definedName>
    <definedName name="OSRRefE21_12_3x" localSheetId="73">'405'!$N$74:$O$74</definedName>
    <definedName name="OSRRefE21_12_3x" localSheetId="79">'415'!$N$73:$O$73</definedName>
    <definedName name="OSRRefE21_12_3x" localSheetId="87">'433'!$N$73:$O$73</definedName>
    <definedName name="OSRRefE21_12_3x" localSheetId="89">'444'!$N$72:$O$72</definedName>
    <definedName name="OSRRefE21_12_3x" localSheetId="90">'450'!$N$72:$O$72</definedName>
    <definedName name="OSRRefE21_12_3x" localSheetId="39">'Div 2'!$N$66:$O$66</definedName>
    <definedName name="OSRRefE21_12_4x" localSheetId="73">'405'!$N$75:$O$75</definedName>
    <definedName name="OSRRefE21_12_5x" localSheetId="73">'405'!$N$76:$O$76</definedName>
    <definedName name="OSRRefE21_12_6x" localSheetId="73">'405'!$N$77:$O$77</definedName>
    <definedName name="OSRRefE21_12_7x" localSheetId="73">'405'!$N$78:$O$78</definedName>
    <definedName name="OSRRefE21_12_8x" localSheetId="73">'405'!$N$79:$O$79</definedName>
    <definedName name="OSRRefE21_12x_0" localSheetId="41">'201'!$N$63:$N$64</definedName>
    <definedName name="OSRRefE21_12x_0" localSheetId="42">'202'!$N$63</definedName>
    <definedName name="OSRRefE21_12x_0" localSheetId="43">'203'!$N$68</definedName>
    <definedName name="OSRRefE21_12x_0" localSheetId="48">'300'!$N$98</definedName>
    <definedName name="OSRRefE21_12x_0" localSheetId="49">'300 &amp; 317'!$N$104</definedName>
    <definedName name="OSRRefE21_12x_0" localSheetId="50">'301'!$N$64</definedName>
    <definedName name="OSRRefE21_12x_0" localSheetId="55">'307'!$N$76:$N$79</definedName>
    <definedName name="OSRRefE21_12x_0" localSheetId="51">'308'!$N$81:$N$82</definedName>
    <definedName name="OSRRefE21_12x_0" localSheetId="64">'309'!$N$54</definedName>
    <definedName name="OSRRefE21_12x_0" localSheetId="63">'310'!$N$72:$N$73</definedName>
    <definedName name="OSRRefE21_12x_0" localSheetId="71">'310 &amp; 491'!$N$71:$N$73</definedName>
    <definedName name="OSRRefE21_12x_0" localSheetId="52">'311'!$N$81:$N$82</definedName>
    <definedName name="OSRRefE21_12x_0" localSheetId="57">'315'!$N$85:$N$86</definedName>
    <definedName name="OSRRefE21_12x_0" localSheetId="66">'321'!$N$72</definedName>
    <definedName name="OSRRefE21_12x_0" localSheetId="68">'325'!$N$67:$N$69</definedName>
    <definedName name="OSRRefE21_12x_0" localSheetId="58">'326'!$N$69:$N$70</definedName>
    <definedName name="OSRRefE21_12x_0" localSheetId="56">'331'!$N$85</definedName>
    <definedName name="OSRRefE21_12x_0" localSheetId="54">'333'!$N$87</definedName>
    <definedName name="OSRRefE21_12x_0" localSheetId="73">'405'!$N$71:$N$79</definedName>
    <definedName name="OSRRefE21_12x_0" localSheetId="75">'411'!$N$65</definedName>
    <definedName name="OSRRefE21_12x_0" localSheetId="79">'415'!$N$70:$N$73</definedName>
    <definedName name="OSRRefE21_12x_0" localSheetId="80">'418'!$N$73:$N$74</definedName>
    <definedName name="OSRRefE21_12x_0" localSheetId="87">'433'!$N$70:$N$73</definedName>
    <definedName name="OSRRefE21_12x_0" localSheetId="89">'444'!$N$69:$N$72</definedName>
    <definedName name="OSRRefE21_12x_0" localSheetId="90">'450'!$N$69:$N$72</definedName>
    <definedName name="OSRRefE21_12x_0" localSheetId="72">'491'!$N$70:$N$72</definedName>
    <definedName name="OSRRefE21_12x_0" localSheetId="85">'492'!$N$70:$N$72</definedName>
    <definedName name="OSRRefE21_12x_0" localSheetId="92">'501'!$N$67</definedName>
    <definedName name="OSRRefE21_12x_0" localSheetId="39">'Div 2'!$N$63:$N$66</definedName>
    <definedName name="OSRRefE21_12x_0" localSheetId="47">'Div 3'!$N$104</definedName>
    <definedName name="OSRRefE21_12x_0" localSheetId="70">'Div 4'!$N$73</definedName>
    <definedName name="OSRRefE21_12x_0" localSheetId="91">'Div 5'!$N$67</definedName>
    <definedName name="OSRRefE21_12x_0" localSheetId="2">Summary!$N$112</definedName>
    <definedName name="OSRRefE21_12x_1" localSheetId="41">'201'!$O$63:$O$64</definedName>
    <definedName name="OSRRefE21_12x_1" localSheetId="42">'202'!$O$63</definedName>
    <definedName name="OSRRefE21_12x_1" localSheetId="43">'203'!$O$68</definedName>
    <definedName name="OSRRefE21_12x_1" localSheetId="48">'300'!$O$98</definedName>
    <definedName name="OSRRefE21_12x_1" localSheetId="49">'300 &amp; 317'!$O$104</definedName>
    <definedName name="OSRRefE21_12x_1" localSheetId="50">'301'!$O$64</definedName>
    <definedName name="OSRRefE21_12x_1" localSheetId="55">'307'!$O$76:$O$79</definedName>
    <definedName name="OSRRefE21_12x_1" localSheetId="51">'308'!$O$81:$O$82</definedName>
    <definedName name="OSRRefE21_12x_1" localSheetId="64">'309'!$O$54</definedName>
    <definedName name="OSRRefE21_12x_1" localSheetId="63">'310'!$O$72:$O$73</definedName>
    <definedName name="OSRRefE21_12x_1" localSheetId="71">'310 &amp; 491'!$O$71:$O$73</definedName>
    <definedName name="OSRRefE21_12x_1" localSheetId="52">'311'!$O$81:$O$82</definedName>
    <definedName name="OSRRefE21_12x_1" localSheetId="57">'315'!$O$85:$O$86</definedName>
    <definedName name="OSRRefE21_12x_1" localSheetId="66">'321'!$O$72</definedName>
    <definedName name="OSRRefE21_12x_1" localSheetId="68">'325'!$O$67:$O$69</definedName>
    <definedName name="OSRRefE21_12x_1" localSheetId="58">'326'!$O$69:$O$70</definedName>
    <definedName name="OSRRefE21_12x_1" localSheetId="56">'331'!$O$85</definedName>
    <definedName name="OSRRefE21_12x_1" localSheetId="54">'333'!$O$87</definedName>
    <definedName name="OSRRefE21_12x_1" localSheetId="73">'405'!$O$71:$O$79</definedName>
    <definedName name="OSRRefE21_12x_1" localSheetId="75">'411'!$O$65</definedName>
    <definedName name="OSRRefE21_12x_1" localSheetId="79">'415'!$O$70:$O$73</definedName>
    <definedName name="OSRRefE21_12x_1" localSheetId="80">'418'!$O$73:$O$74</definedName>
    <definedName name="OSRRefE21_12x_1" localSheetId="87">'433'!$O$70:$O$73</definedName>
    <definedName name="OSRRefE21_12x_1" localSheetId="89">'444'!$O$69:$O$72</definedName>
    <definedName name="OSRRefE21_12x_1" localSheetId="90">'450'!$O$69:$O$72</definedName>
    <definedName name="OSRRefE21_12x_1" localSheetId="72">'491'!$O$70:$O$72</definedName>
    <definedName name="OSRRefE21_12x_1" localSheetId="85">'492'!$O$70:$O$72</definedName>
    <definedName name="OSRRefE21_12x_1" localSheetId="92">'501'!$O$67</definedName>
    <definedName name="OSRRefE21_12x_1" localSheetId="39">'Div 2'!$O$63:$O$66</definedName>
    <definedName name="OSRRefE21_12x_1" localSheetId="47">'Div 3'!$O$104</definedName>
    <definedName name="OSRRefE21_12x_1" localSheetId="70">'Div 4'!$O$73</definedName>
    <definedName name="OSRRefE21_12x_1" localSheetId="91">'Div 5'!$O$67</definedName>
    <definedName name="OSRRefE21_12x_1" localSheetId="2">Summary!$O$112</definedName>
    <definedName name="OSRRefE21_13_0x" localSheetId="41">'201'!$N$66:$O$66</definedName>
    <definedName name="OSRRefE21_13_0x" localSheetId="43">'203'!$N$70:$O$70</definedName>
    <definedName name="OSRRefE21_13_0x" localSheetId="48">'300'!$N$100:$O$100</definedName>
    <definedName name="OSRRefE21_13_0x" localSheetId="49">'300 &amp; 317'!$N$106:$O$106</definedName>
    <definedName name="OSRRefE21_13_0x" localSheetId="50">'301'!$N$66:$O$66</definedName>
    <definedName name="OSRRefE21_13_0x" localSheetId="55">'307'!$N$81:$O$81</definedName>
    <definedName name="OSRRefE21_13_0x" localSheetId="51">'308'!$N$84:$O$84</definedName>
    <definedName name="OSRRefE21_13_0x" localSheetId="63">'310'!$N$75:$O$75</definedName>
    <definedName name="OSRRefE21_13_0x" localSheetId="71">'310 &amp; 491'!$N$75:$O$75</definedName>
    <definedName name="OSRRefE21_13_0x" localSheetId="52">'311'!$N$84:$O$84</definedName>
    <definedName name="OSRRefE21_13_0x" localSheetId="57">'315'!$N$88:$O$88</definedName>
    <definedName name="OSRRefE21_13_0x" localSheetId="68">'325'!$N$71:$O$71</definedName>
    <definedName name="OSRRefE21_13_0x" localSheetId="58">'326'!$N$72:$O$72</definedName>
    <definedName name="OSRRefE21_13_0x" localSheetId="56">'331'!$N$87:$O$87</definedName>
    <definedName name="OSRRefE21_13_0x" localSheetId="54">'333'!$N$89:$O$89</definedName>
    <definedName name="OSRRefE21_13_0x" localSheetId="73">'405'!$N$81:$O$81</definedName>
    <definedName name="OSRRefE21_13_0x" localSheetId="75">'411'!$N$67:$O$67</definedName>
    <definedName name="OSRRefE21_13_0x" localSheetId="79">'415'!$N$75:$O$75</definedName>
    <definedName name="OSRRefE21_13_0x" localSheetId="80">'418'!$N$76:$O$76</definedName>
    <definedName name="OSRRefE21_13_0x" localSheetId="87">'433'!$N$75:$O$75</definedName>
    <definedName name="OSRRefE21_13_0x" localSheetId="89">'444'!$N$74:$O$74</definedName>
    <definedName name="OSRRefE21_13_0x" localSheetId="90">'450'!$N$74:$O$74</definedName>
    <definedName name="OSRRefE21_13_0x" localSheetId="72">'491'!$N$74:$O$74</definedName>
    <definedName name="OSRRefE21_13_0x" localSheetId="85">'492'!$N$74:$O$74</definedName>
    <definedName name="OSRRefE21_13_0x" localSheetId="92">'501'!$N$69:$O$69</definedName>
    <definedName name="OSRRefE21_13_0x" localSheetId="39">'Div 2'!$N$68:$O$68</definedName>
    <definedName name="OSRRefE21_13_0x" localSheetId="47">'Div 3'!$N$106:$O$106</definedName>
    <definedName name="OSRRefE21_13_0x" localSheetId="70">'Div 4'!$N$75:$O$75</definedName>
    <definedName name="OSRRefE21_13_0x" localSheetId="91">'Div 5'!$N$69:$O$69</definedName>
    <definedName name="OSRRefE21_13_0x" localSheetId="2">Summary!$N$114:$O$114</definedName>
    <definedName name="OSRRefE21_13_1x" localSheetId="63">'310'!$N$76:$O$76</definedName>
    <definedName name="OSRRefE21_13_1x" localSheetId="71">'310 &amp; 491'!$N$76:$O$76</definedName>
    <definedName name="OSRRefE21_13_1x" localSheetId="57">'315'!$N$89:$O$89</definedName>
    <definedName name="OSRRefE21_13_1x" localSheetId="68">'325'!$N$72:$O$72</definedName>
    <definedName name="OSRRefE21_13_1x" localSheetId="58">'326'!$N$73:$O$73</definedName>
    <definedName name="OSRRefE21_13_1x" localSheetId="75">'411'!$N$68:$O$68</definedName>
    <definedName name="OSRRefE21_13_1x" localSheetId="87">'433'!$N$76:$O$76</definedName>
    <definedName name="OSRRefE21_13_1x" localSheetId="89">'444'!$N$75:$O$75</definedName>
    <definedName name="OSRRefE21_13_1x" localSheetId="90">'450'!$N$75:$O$75</definedName>
    <definedName name="OSRRefE21_13_1x" localSheetId="85">'492'!$N$75:$O$75</definedName>
    <definedName name="OSRRefE21_13_1x" localSheetId="39">'Div 2'!$N$69:$O$69</definedName>
    <definedName name="OSRRefE21_13_2x" localSheetId="63">'310'!$N$77:$O$77</definedName>
    <definedName name="OSRRefE21_13_2x" localSheetId="57">'315'!$N$90:$O$90</definedName>
    <definedName name="OSRRefE21_13_2x" localSheetId="68">'325'!$N$73:$O$73</definedName>
    <definedName name="OSRRefE21_13_2x" localSheetId="87">'433'!$N$77:$O$77</definedName>
    <definedName name="OSRRefE21_13_2x" localSheetId="89">'444'!$N$76:$O$76</definedName>
    <definedName name="OSRRefE21_13_2x" localSheetId="90">'450'!$N$76:$O$76</definedName>
    <definedName name="OSRRefE21_13_2x" localSheetId="85">'492'!$N$76:$O$76</definedName>
    <definedName name="OSRRefE21_13_2x" localSheetId="39">'Div 2'!$N$70:$O$70</definedName>
    <definedName name="OSRRefE21_13_3x" localSheetId="68">'325'!$N$74:$O$74</definedName>
    <definedName name="OSRRefE21_13_3x" localSheetId="87">'433'!$N$78:$O$78</definedName>
    <definedName name="OSRRefE21_13_3x" localSheetId="89">'444'!$N$77:$O$77</definedName>
    <definedName name="OSRRefE21_13_3x" localSheetId="90">'450'!$N$77:$O$77</definedName>
    <definedName name="OSRRefE21_13_3x" localSheetId="85">'492'!$N$77:$O$77</definedName>
    <definedName name="OSRRefE21_13_3x" localSheetId="39">'Div 2'!$N$71:$O$71</definedName>
    <definedName name="OSRRefE21_13_4x" localSheetId="68">'325'!$N$75:$O$75</definedName>
    <definedName name="OSRRefE21_13_4x" localSheetId="87">'433'!$N$79:$O$79</definedName>
    <definedName name="OSRRefE21_13_4x" localSheetId="89">'444'!$N$78:$O$78</definedName>
    <definedName name="OSRRefE21_13_4x" localSheetId="90">'450'!$N$78:$O$78</definedName>
    <definedName name="OSRRefE21_13_5x" localSheetId="68">'325'!$N$76:$O$76</definedName>
    <definedName name="OSRRefE21_13_5x" localSheetId="87">'433'!$N$80:$O$80</definedName>
    <definedName name="OSRRefE21_13_5x" localSheetId="89">'444'!$N$79:$O$79</definedName>
    <definedName name="OSRRefE21_13_5x" localSheetId="90">'450'!$N$79:$O$79</definedName>
    <definedName name="OSRRefE21_13_6x" localSheetId="87">'433'!$N$81:$O$81</definedName>
    <definedName name="OSRRefE21_13_6x" localSheetId="89">'444'!$N$80:$O$80</definedName>
    <definedName name="OSRRefE21_13_6x" localSheetId="90">'450'!$N$80:$O$80</definedName>
    <definedName name="OSRRefE21_13_7x" localSheetId="87">'433'!$N$82:$O$82</definedName>
    <definedName name="OSRRefE21_13_7x" localSheetId="89">'444'!$N$81:$O$81</definedName>
    <definedName name="OSRRefE21_13_8x" localSheetId="89">'444'!$N$82:$O$82</definedName>
    <definedName name="OSRRefE21_13x_0" localSheetId="41">'201'!$N$66</definedName>
    <definedName name="OSRRefE21_13x_0" localSheetId="43">'203'!$N$70</definedName>
    <definedName name="OSRRefE21_13x_0" localSheetId="48">'300'!$N$100</definedName>
    <definedName name="OSRRefE21_13x_0" localSheetId="49">'300 &amp; 317'!$N$106</definedName>
    <definedName name="OSRRefE21_13x_0" localSheetId="50">'301'!$N$66</definedName>
    <definedName name="OSRRefE21_13x_0" localSheetId="55">'307'!$N$81</definedName>
    <definedName name="OSRRefE21_13x_0" localSheetId="51">'308'!$N$84</definedName>
    <definedName name="OSRRefE21_13x_0" localSheetId="63">'310'!$N$75:$N$77</definedName>
    <definedName name="OSRRefE21_13x_0" localSheetId="71">'310 &amp; 491'!$N$75:$N$76</definedName>
    <definedName name="OSRRefE21_13x_0" localSheetId="52">'311'!$N$84</definedName>
    <definedName name="OSRRefE21_13x_0" localSheetId="57">'315'!$N$88:$N$90</definedName>
    <definedName name="OSRRefE21_13x_0" localSheetId="68">'325'!$N$71:$N$76</definedName>
    <definedName name="OSRRefE21_13x_0" localSheetId="58">'326'!$N$72:$N$73</definedName>
    <definedName name="OSRRefE21_13x_0" localSheetId="56">'331'!$N$87</definedName>
    <definedName name="OSRRefE21_13x_0" localSheetId="54">'333'!$N$89</definedName>
    <definedName name="OSRRefE21_13x_0" localSheetId="73">'405'!$N$81</definedName>
    <definedName name="OSRRefE21_13x_0" localSheetId="75">'411'!$N$67:$N$68</definedName>
    <definedName name="OSRRefE21_13x_0" localSheetId="79">'415'!$N$75</definedName>
    <definedName name="OSRRefE21_13x_0" localSheetId="80">'418'!$N$76</definedName>
    <definedName name="OSRRefE21_13x_0" localSheetId="87">'433'!$N$75:$N$82</definedName>
    <definedName name="OSRRefE21_13x_0" localSheetId="89">'444'!$N$74:$N$82</definedName>
    <definedName name="OSRRefE21_13x_0" localSheetId="90">'450'!$N$74:$N$80</definedName>
    <definedName name="OSRRefE21_13x_0" localSheetId="72">'491'!$N$74</definedName>
    <definedName name="OSRRefE21_13x_0" localSheetId="85">'492'!$N$74:$N$77</definedName>
    <definedName name="OSRRefE21_13x_0" localSheetId="92">'501'!$N$69</definedName>
    <definedName name="OSRRefE21_13x_0" localSheetId="39">'Div 2'!$N$68:$N$71</definedName>
    <definedName name="OSRRefE21_13x_0" localSheetId="47">'Div 3'!$N$106</definedName>
    <definedName name="OSRRefE21_13x_0" localSheetId="70">'Div 4'!$N$75</definedName>
    <definedName name="OSRRefE21_13x_0" localSheetId="91">'Div 5'!$N$69</definedName>
    <definedName name="OSRRefE21_13x_0" localSheetId="2">Summary!$N$114</definedName>
    <definedName name="OSRRefE21_13x_1" localSheetId="41">'201'!$O$66</definedName>
    <definedName name="OSRRefE21_13x_1" localSheetId="43">'203'!$O$70</definedName>
    <definedName name="OSRRefE21_13x_1" localSheetId="48">'300'!$O$100</definedName>
    <definedName name="OSRRefE21_13x_1" localSheetId="49">'300 &amp; 317'!$O$106</definedName>
    <definedName name="OSRRefE21_13x_1" localSheetId="50">'301'!$O$66</definedName>
    <definedName name="OSRRefE21_13x_1" localSheetId="55">'307'!$O$81</definedName>
    <definedName name="OSRRefE21_13x_1" localSheetId="51">'308'!$O$84</definedName>
    <definedName name="OSRRefE21_13x_1" localSheetId="63">'310'!$O$75:$O$77</definedName>
    <definedName name="OSRRefE21_13x_1" localSheetId="71">'310 &amp; 491'!$O$75:$O$76</definedName>
    <definedName name="OSRRefE21_13x_1" localSheetId="52">'311'!$O$84</definedName>
    <definedName name="OSRRefE21_13x_1" localSheetId="57">'315'!$O$88:$O$90</definedName>
    <definedName name="OSRRefE21_13x_1" localSheetId="68">'325'!$O$71:$O$76</definedName>
    <definedName name="OSRRefE21_13x_1" localSheetId="58">'326'!$O$72:$O$73</definedName>
    <definedName name="OSRRefE21_13x_1" localSheetId="56">'331'!$O$87</definedName>
    <definedName name="OSRRefE21_13x_1" localSheetId="54">'333'!$O$89</definedName>
    <definedName name="OSRRefE21_13x_1" localSheetId="73">'405'!$O$81</definedName>
    <definedName name="OSRRefE21_13x_1" localSheetId="75">'411'!$O$67:$O$68</definedName>
    <definedName name="OSRRefE21_13x_1" localSheetId="79">'415'!$O$75</definedName>
    <definedName name="OSRRefE21_13x_1" localSheetId="80">'418'!$O$76</definedName>
    <definedName name="OSRRefE21_13x_1" localSheetId="87">'433'!$O$75:$O$82</definedName>
    <definedName name="OSRRefE21_13x_1" localSheetId="89">'444'!$O$74:$O$82</definedName>
    <definedName name="OSRRefE21_13x_1" localSheetId="90">'450'!$O$74:$O$80</definedName>
    <definedName name="OSRRefE21_13x_1" localSheetId="72">'491'!$O$74</definedName>
    <definedName name="OSRRefE21_13x_1" localSheetId="85">'492'!$O$74:$O$77</definedName>
    <definedName name="OSRRefE21_13x_1" localSheetId="92">'501'!$O$69</definedName>
    <definedName name="OSRRefE21_13x_1" localSheetId="39">'Div 2'!$O$68:$O$71</definedName>
    <definedName name="OSRRefE21_13x_1" localSheetId="47">'Div 3'!$O$106</definedName>
    <definedName name="OSRRefE21_13x_1" localSheetId="70">'Div 4'!$O$75</definedName>
    <definedName name="OSRRefE21_13x_1" localSheetId="91">'Div 5'!$O$69</definedName>
    <definedName name="OSRRefE21_13x_1" localSheetId="2">Summary!$O$114</definedName>
    <definedName name="OSRRefE21_14_0x" localSheetId="41">'201'!$N$68:$O$68</definedName>
    <definedName name="OSRRefE21_14_0x" localSheetId="48">'300'!$N$102:$O$102</definedName>
    <definedName name="OSRRefE21_14_0x" localSheetId="49">'300 &amp; 317'!$N$108:$O$108</definedName>
    <definedName name="OSRRefE21_14_0x" localSheetId="50">'301'!$N$68:$O$68</definedName>
    <definedName name="OSRRefE21_14_0x" localSheetId="63">'310'!$N$79:$O$79</definedName>
    <definedName name="OSRRefE21_14_0x" localSheetId="71">'310 &amp; 491'!$N$78:$O$78</definedName>
    <definedName name="OSRRefE21_14_0x" localSheetId="57">'315'!$N$92:$O$92</definedName>
    <definedName name="OSRRefE21_14_0x" localSheetId="68">'325'!$N$78:$O$78</definedName>
    <definedName name="OSRRefE21_14_0x" localSheetId="58">'326'!$N$75:$O$75</definedName>
    <definedName name="OSRRefE21_14_0x" localSheetId="56">'331'!$N$89:$O$89</definedName>
    <definedName name="OSRRefE21_14_0x" localSheetId="54">'333'!$N$91:$O$91</definedName>
    <definedName name="OSRRefE21_14_0x" localSheetId="73">'405'!$N$83:$O$83</definedName>
    <definedName name="OSRRefE21_14_0x" localSheetId="75">'411'!$N$70:$O$70</definedName>
    <definedName name="OSRRefE21_14_0x" localSheetId="79">'415'!$N$77:$O$77</definedName>
    <definedName name="OSRRefE21_14_0x" localSheetId="80">'418'!$N$78:$O$78</definedName>
    <definedName name="OSRRefE21_14_0x" localSheetId="87">'433'!$N$84:$O$84</definedName>
    <definedName name="OSRRefE21_14_0x" localSheetId="89">'444'!$N$84:$O$84</definedName>
    <definedName name="OSRRefE21_14_0x" localSheetId="90">'450'!$N$82:$O$82</definedName>
    <definedName name="OSRRefE21_14_0x" localSheetId="72">'491'!$N$76:$O$76</definedName>
    <definedName name="OSRRefE21_14_0x" localSheetId="85">'492'!$N$79:$O$79</definedName>
    <definedName name="OSRRefE21_14_0x" localSheetId="39">'Div 2'!$N$73:$O$73</definedName>
    <definedName name="OSRRefE21_14_0x" localSheetId="47">'Div 3'!$N$108:$O$108</definedName>
    <definedName name="OSRRefE21_14_0x" localSheetId="70">'Div 4'!$N$77:$O$77</definedName>
    <definedName name="OSRRefE21_14_0x" localSheetId="2">Summary!$N$116:$O$116</definedName>
    <definedName name="OSRRefE21_14_1x" localSheetId="63">'310'!$N$80:$O$80</definedName>
    <definedName name="OSRRefE21_14_1x" localSheetId="71">'310 &amp; 491'!$N$79:$O$79</definedName>
    <definedName name="OSRRefE21_14_1x" localSheetId="57">'315'!$N$93:$O$93</definedName>
    <definedName name="OSRRefE21_14_1x" localSheetId="68">'325'!$N$79:$O$79</definedName>
    <definedName name="OSRRefE21_14_1x" localSheetId="58">'326'!$N$76:$O$76</definedName>
    <definedName name="OSRRefE21_14_1x" localSheetId="56">'331'!$N$90:$O$90</definedName>
    <definedName name="OSRRefE21_14_1x" localSheetId="54">'333'!$N$92:$O$92</definedName>
    <definedName name="OSRRefE21_14_1x" localSheetId="79">'415'!$N$78:$O$78</definedName>
    <definedName name="OSRRefE21_14_1x" localSheetId="72">'491'!$N$77:$O$77</definedName>
    <definedName name="OSRRefE21_14_1x" localSheetId="85">'492'!$N$80:$O$80</definedName>
    <definedName name="OSRRefE21_14_1x" localSheetId="39">'Div 2'!$N$74:$O$74</definedName>
    <definedName name="OSRRefE21_14_1x" localSheetId="70">'Div 4'!$N$78:$O$78</definedName>
    <definedName name="OSRRefE21_14_2x" localSheetId="63">'310'!$N$81:$O$81</definedName>
    <definedName name="OSRRefE21_14_2x" localSheetId="71">'310 &amp; 491'!$N$80:$O$80</definedName>
    <definedName name="OSRRefE21_14_2x" localSheetId="58">'326'!$N$77:$O$77</definedName>
    <definedName name="OSRRefE21_14_2x" localSheetId="79">'415'!$N$79:$O$79</definedName>
    <definedName name="OSRRefE21_14_2x" localSheetId="72">'491'!$N$78:$O$78</definedName>
    <definedName name="OSRRefE21_14_2x" localSheetId="85">'492'!$N$81:$O$81</definedName>
    <definedName name="OSRRefE21_14_2x" localSheetId="70">'Div 4'!$N$79:$O$79</definedName>
    <definedName name="OSRRefE21_14_3x" localSheetId="63">'310'!$N$82:$O$82</definedName>
    <definedName name="OSRRefE21_14_3x" localSheetId="71">'310 &amp; 491'!$N$81:$O$81</definedName>
    <definedName name="OSRRefE21_14_3x" localSheetId="79">'415'!$N$80:$O$80</definedName>
    <definedName name="OSRRefE21_14_3x" localSheetId="72">'491'!$N$79:$O$79</definedName>
    <definedName name="OSRRefE21_14_3x" localSheetId="85">'492'!$N$82:$O$82</definedName>
    <definedName name="OSRRefE21_14_4x" localSheetId="63">'310'!$N$83:$O$83</definedName>
    <definedName name="OSRRefE21_14_4x" localSheetId="71">'310 &amp; 491'!$N$82:$O$82</definedName>
    <definedName name="OSRRefE21_14_4x" localSheetId="79">'415'!$N$81:$O$81</definedName>
    <definedName name="OSRRefE21_14_4x" localSheetId="72">'491'!$N$80:$O$80</definedName>
    <definedName name="OSRRefE21_14_4x" localSheetId="85">'492'!$N$83:$O$83</definedName>
    <definedName name="OSRRefE21_14_5x" localSheetId="63">'310'!$N$84:$O$84</definedName>
    <definedName name="OSRRefE21_14_5x" localSheetId="79">'415'!$N$82:$O$82</definedName>
    <definedName name="OSRRefE21_14_5x" localSheetId="85">'492'!$N$84:$O$84</definedName>
    <definedName name="OSRRefE21_14_6x" localSheetId="85">'492'!$N$85:$O$85</definedName>
    <definedName name="OSRRefE21_14_7x" localSheetId="85">'492'!$N$86:$O$86</definedName>
    <definedName name="OSRRefE21_14_8x" localSheetId="85">'492'!$N$87:$O$87</definedName>
    <definedName name="OSRRefE21_14x_0" localSheetId="41">'201'!$N$68</definedName>
    <definedName name="OSRRefE21_14x_0" localSheetId="48">'300'!$N$102</definedName>
    <definedName name="OSRRefE21_14x_0" localSheetId="49">'300 &amp; 317'!$N$108</definedName>
    <definedName name="OSRRefE21_14x_0" localSheetId="50">'301'!$N$68</definedName>
    <definedName name="OSRRefE21_14x_0" localSheetId="63">'310'!$N$79:$N$84</definedName>
    <definedName name="OSRRefE21_14x_0" localSheetId="71">'310 &amp; 491'!$N$78:$N$82</definedName>
    <definedName name="OSRRefE21_14x_0" localSheetId="57">'315'!$N$92:$N$93</definedName>
    <definedName name="OSRRefE21_14x_0" localSheetId="68">'325'!$N$78:$N$79</definedName>
    <definedName name="OSRRefE21_14x_0" localSheetId="58">'326'!$N$75:$N$77</definedName>
    <definedName name="OSRRefE21_14x_0" localSheetId="56">'331'!$N$89:$N$90</definedName>
    <definedName name="OSRRefE21_14x_0" localSheetId="54">'333'!$N$91:$N$92</definedName>
    <definedName name="OSRRefE21_14x_0" localSheetId="73">'405'!$N$83</definedName>
    <definedName name="OSRRefE21_14x_0" localSheetId="75">'411'!$N$70</definedName>
    <definedName name="OSRRefE21_14x_0" localSheetId="79">'415'!$N$77:$N$82</definedName>
    <definedName name="OSRRefE21_14x_0" localSheetId="80">'418'!$N$78</definedName>
    <definedName name="OSRRefE21_14x_0" localSheetId="87">'433'!$N$84</definedName>
    <definedName name="OSRRefE21_14x_0" localSheetId="89">'444'!$N$84</definedName>
    <definedName name="OSRRefE21_14x_0" localSheetId="90">'450'!$N$82</definedName>
    <definedName name="OSRRefE21_14x_0" localSheetId="72">'491'!$N$76:$N$80</definedName>
    <definedName name="OSRRefE21_14x_0" localSheetId="85">'492'!$N$79:$N$87</definedName>
    <definedName name="OSRRefE21_14x_0" localSheetId="39">'Div 2'!$N$73:$N$74</definedName>
    <definedName name="OSRRefE21_14x_0" localSheetId="47">'Div 3'!$N$108</definedName>
    <definedName name="OSRRefE21_14x_0" localSheetId="70">'Div 4'!$N$77:$N$79</definedName>
    <definedName name="OSRRefE21_14x_0" localSheetId="2">Summary!$N$116</definedName>
    <definedName name="OSRRefE21_14x_1" localSheetId="41">'201'!$O$68</definedName>
    <definedName name="OSRRefE21_14x_1" localSheetId="48">'300'!$O$102</definedName>
    <definedName name="OSRRefE21_14x_1" localSheetId="49">'300 &amp; 317'!$O$108</definedName>
    <definedName name="OSRRefE21_14x_1" localSheetId="50">'301'!$O$68</definedName>
    <definedName name="OSRRefE21_14x_1" localSheetId="63">'310'!$O$79:$O$84</definedName>
    <definedName name="OSRRefE21_14x_1" localSheetId="71">'310 &amp; 491'!$O$78:$O$82</definedName>
    <definedName name="OSRRefE21_14x_1" localSheetId="57">'315'!$O$92:$O$93</definedName>
    <definedName name="OSRRefE21_14x_1" localSheetId="68">'325'!$O$78:$O$79</definedName>
    <definedName name="OSRRefE21_14x_1" localSheetId="58">'326'!$O$75:$O$77</definedName>
    <definedName name="OSRRefE21_14x_1" localSheetId="56">'331'!$O$89:$O$90</definedName>
    <definedName name="OSRRefE21_14x_1" localSheetId="54">'333'!$O$91:$O$92</definedName>
    <definedName name="OSRRefE21_14x_1" localSheetId="73">'405'!$O$83</definedName>
    <definedName name="OSRRefE21_14x_1" localSheetId="75">'411'!$O$70</definedName>
    <definedName name="OSRRefE21_14x_1" localSheetId="79">'415'!$O$77:$O$82</definedName>
    <definedName name="OSRRefE21_14x_1" localSheetId="80">'418'!$O$78</definedName>
    <definedName name="OSRRefE21_14x_1" localSheetId="87">'433'!$O$84</definedName>
    <definedName name="OSRRefE21_14x_1" localSheetId="89">'444'!$O$84</definedName>
    <definedName name="OSRRefE21_14x_1" localSheetId="90">'450'!$O$82</definedName>
    <definedName name="OSRRefE21_14x_1" localSheetId="72">'491'!$O$76:$O$80</definedName>
    <definedName name="OSRRefE21_14x_1" localSheetId="85">'492'!$O$79:$O$87</definedName>
    <definedName name="OSRRefE21_14x_1" localSheetId="39">'Div 2'!$O$73:$O$74</definedName>
    <definedName name="OSRRefE21_14x_1" localSheetId="47">'Div 3'!$O$108</definedName>
    <definedName name="OSRRefE21_14x_1" localSheetId="70">'Div 4'!$O$77:$O$79</definedName>
    <definedName name="OSRRefE21_14x_1" localSheetId="2">Summary!$O$116</definedName>
    <definedName name="OSRRefE21_15_0x" localSheetId="48">'300'!$N$104:$O$104</definedName>
    <definedName name="OSRRefE21_15_0x" localSheetId="49">'300 &amp; 317'!$N$110:$O$110</definedName>
    <definedName name="OSRRefE21_15_0x" localSheetId="50">'301'!$N$70:$O$70</definedName>
    <definedName name="OSRRefE21_15_0x" localSheetId="63">'310'!$N$86:$O$86</definedName>
    <definedName name="OSRRefE21_15_0x" localSheetId="71">'310 &amp; 491'!$N$84:$O$84</definedName>
    <definedName name="OSRRefE21_15_0x" localSheetId="57">'315'!$N$95:$O$95</definedName>
    <definedName name="OSRRefE21_15_0x" localSheetId="68">'325'!$N$81:$O$81</definedName>
    <definedName name="OSRRefE21_15_0x" localSheetId="58">'326'!$N$79:$O$79</definedName>
    <definedName name="OSRRefE21_15_0x" localSheetId="56">'331'!$N$92:$O$92</definedName>
    <definedName name="OSRRefE21_15_0x" localSheetId="54">'333'!$N$94:$O$94</definedName>
    <definedName name="OSRRefE21_15_0x" localSheetId="73">'405'!$N$85:$O$85</definedName>
    <definedName name="OSRRefE21_15_0x" localSheetId="79">'415'!$N$84:$O$84</definedName>
    <definedName name="OSRRefE21_15_0x" localSheetId="87">'433'!$N$86:$O$86</definedName>
    <definedName name="OSRRefE21_15_0x" localSheetId="89">'444'!$N$86:$O$86</definedName>
    <definedName name="OSRRefE21_15_0x" localSheetId="90">'450'!$N$84:$O$84</definedName>
    <definedName name="OSRRefE21_15_0x" localSheetId="72">'491'!$N$82:$O$82</definedName>
    <definedName name="OSRRefE21_15_0x" localSheetId="85">'492'!$N$89:$O$89</definedName>
    <definedName name="OSRRefE21_15_0x" localSheetId="39">'Div 2'!$N$76:$O$76</definedName>
    <definedName name="OSRRefE21_15_0x" localSheetId="47">'Div 3'!$N$110:$O$110</definedName>
    <definedName name="OSRRefE21_15_0x" localSheetId="70">'Div 4'!$N$81:$O$81</definedName>
    <definedName name="OSRRefE21_15_0x" localSheetId="2">Summary!$N$118:$O$118</definedName>
    <definedName name="OSRRefE21_15_1x" localSheetId="50">'301'!$N$71:$O$71</definedName>
    <definedName name="OSRRefE21_15_1x" localSheetId="63">'310'!$N$87:$O$87</definedName>
    <definedName name="OSRRefE21_15_1x" localSheetId="57">'315'!$N$96:$O$96</definedName>
    <definedName name="OSRRefE21_15_1x" localSheetId="56">'331'!$N$93:$O$93</definedName>
    <definedName name="OSRRefE21_15_1x" localSheetId="54">'333'!$N$95:$O$95</definedName>
    <definedName name="OSRRefE21_15_1x" localSheetId="79">'415'!$N$85:$O$85</definedName>
    <definedName name="OSRRefE21_15_1x" localSheetId="85">'492'!$N$90:$O$90</definedName>
    <definedName name="OSRRefE21_15_1x" localSheetId="39">'Div 2'!$N$77:$O$77</definedName>
    <definedName name="OSRRefE21_15_2x" localSheetId="50">'301'!$N$72:$O$72</definedName>
    <definedName name="OSRRefE21_15_2x" localSheetId="57">'315'!$N$97:$O$97</definedName>
    <definedName name="OSRRefE21_15_2x" localSheetId="56">'331'!$N$94:$O$94</definedName>
    <definedName name="OSRRefE21_15_2x" localSheetId="54">'333'!$N$96:$O$96</definedName>
    <definedName name="OSRRefE21_15_3x" localSheetId="50">'301'!$N$73:$O$73</definedName>
    <definedName name="OSRRefE21_15_3x" localSheetId="57">'315'!$N$98:$O$98</definedName>
    <definedName name="OSRRefE21_15x_0" localSheetId="48">'300'!$N$104</definedName>
    <definedName name="OSRRefE21_15x_0" localSheetId="49">'300 &amp; 317'!$N$110</definedName>
    <definedName name="OSRRefE21_15x_0" localSheetId="50">'301'!$N$70:$N$73</definedName>
    <definedName name="OSRRefE21_15x_0" localSheetId="63">'310'!$N$86:$N$87</definedName>
    <definedName name="OSRRefE21_15x_0" localSheetId="71">'310 &amp; 491'!$N$84</definedName>
    <definedName name="OSRRefE21_15x_0" localSheetId="57">'315'!$N$95:$N$98</definedName>
    <definedName name="OSRRefE21_15x_0" localSheetId="68">'325'!$N$81</definedName>
    <definedName name="OSRRefE21_15x_0" localSheetId="58">'326'!$N$79</definedName>
    <definedName name="OSRRefE21_15x_0" localSheetId="56">'331'!$N$92:$N$94</definedName>
    <definedName name="OSRRefE21_15x_0" localSheetId="54">'333'!$N$94:$N$96</definedName>
    <definedName name="OSRRefE21_15x_0" localSheetId="73">'405'!$N$85</definedName>
    <definedName name="OSRRefE21_15x_0" localSheetId="79">'415'!$N$84:$N$85</definedName>
    <definedName name="OSRRefE21_15x_0" localSheetId="87">'433'!$N$86</definedName>
    <definedName name="OSRRefE21_15x_0" localSheetId="89">'444'!$N$86</definedName>
    <definedName name="OSRRefE21_15x_0" localSheetId="90">'450'!$N$84</definedName>
    <definedName name="OSRRefE21_15x_0" localSheetId="72">'491'!$N$82</definedName>
    <definedName name="OSRRefE21_15x_0" localSheetId="85">'492'!$N$89:$N$90</definedName>
    <definedName name="OSRRefE21_15x_0" localSheetId="39">'Div 2'!$N$76:$N$77</definedName>
    <definedName name="OSRRefE21_15x_0" localSheetId="47">'Div 3'!$N$110</definedName>
    <definedName name="OSRRefE21_15x_0" localSheetId="70">'Div 4'!$N$81</definedName>
    <definedName name="OSRRefE21_15x_0" localSheetId="2">Summary!$N$118</definedName>
    <definedName name="OSRRefE21_15x_1" localSheetId="48">'300'!$O$104</definedName>
    <definedName name="OSRRefE21_15x_1" localSheetId="49">'300 &amp; 317'!$O$110</definedName>
    <definedName name="OSRRefE21_15x_1" localSheetId="50">'301'!$O$70:$O$73</definedName>
    <definedName name="OSRRefE21_15x_1" localSheetId="63">'310'!$O$86:$O$87</definedName>
    <definedName name="OSRRefE21_15x_1" localSheetId="71">'310 &amp; 491'!$O$84</definedName>
    <definedName name="OSRRefE21_15x_1" localSheetId="57">'315'!$O$95:$O$98</definedName>
    <definedName name="OSRRefE21_15x_1" localSheetId="68">'325'!$O$81</definedName>
    <definedName name="OSRRefE21_15x_1" localSheetId="58">'326'!$O$79</definedName>
    <definedName name="OSRRefE21_15x_1" localSheetId="56">'331'!$O$92:$O$94</definedName>
    <definedName name="OSRRefE21_15x_1" localSheetId="54">'333'!$O$94:$O$96</definedName>
    <definedName name="OSRRefE21_15x_1" localSheetId="73">'405'!$O$85</definedName>
    <definedName name="OSRRefE21_15x_1" localSheetId="79">'415'!$O$84:$O$85</definedName>
    <definedName name="OSRRefE21_15x_1" localSheetId="87">'433'!$O$86</definedName>
    <definedName name="OSRRefE21_15x_1" localSheetId="89">'444'!$O$86</definedName>
    <definedName name="OSRRefE21_15x_1" localSheetId="90">'450'!$O$84</definedName>
    <definedName name="OSRRefE21_15x_1" localSheetId="72">'491'!$O$82</definedName>
    <definedName name="OSRRefE21_15x_1" localSheetId="85">'492'!$O$89:$O$90</definedName>
    <definedName name="OSRRefE21_15x_1" localSheetId="39">'Div 2'!$O$76:$O$77</definedName>
    <definedName name="OSRRefE21_15x_1" localSheetId="47">'Div 3'!$O$110</definedName>
    <definedName name="OSRRefE21_15x_1" localSheetId="70">'Div 4'!$O$81</definedName>
    <definedName name="OSRRefE21_15x_1" localSheetId="2">Summary!$O$118</definedName>
    <definedName name="OSRRefE21_16_0x" localSheetId="48">'300'!$N$106:$O$106</definedName>
    <definedName name="OSRRefE21_16_0x" localSheetId="49">'300 &amp; 317'!$N$112:$O$112</definedName>
    <definedName name="OSRRefE21_16_0x" localSheetId="50">'301'!$N$75:$O$75</definedName>
    <definedName name="OSRRefE21_16_0x" localSheetId="63">'310'!$N$89:$O$89</definedName>
    <definedName name="OSRRefE21_16_0x" localSheetId="71">'310 &amp; 491'!$N$86:$O$86</definedName>
    <definedName name="OSRRefE21_16_0x" localSheetId="57">'315'!$N$100:$O$100</definedName>
    <definedName name="OSRRefE21_16_0x" localSheetId="68">'325'!$N$83:$O$83</definedName>
    <definedName name="OSRRefE21_16_0x" localSheetId="58">'326'!$N$81:$O$81</definedName>
    <definedName name="OSRRefE21_16_0x" localSheetId="56">'331'!$N$96:$O$96</definedName>
    <definedName name="OSRRefE21_16_0x" localSheetId="54">'333'!$N$98:$O$98</definedName>
    <definedName name="OSRRefE21_16_0x" localSheetId="79">'415'!$N$87:$O$87</definedName>
    <definedName name="OSRRefE21_16_0x" localSheetId="90">'450'!$N$86:$O$86</definedName>
    <definedName name="OSRRefE21_16_0x" localSheetId="72">'491'!$N$84:$O$84</definedName>
    <definedName name="OSRRefE21_16_0x" localSheetId="85">'492'!$N$92:$O$92</definedName>
    <definedName name="OSRRefE21_16_0x" localSheetId="39">'Div 2'!$N$79:$O$79</definedName>
    <definedName name="OSRRefE21_16_0x" localSheetId="47">'Div 3'!$N$112:$O$112</definedName>
    <definedName name="OSRRefE21_16_0x" localSheetId="70">'Div 4'!$N$83:$O$83</definedName>
    <definedName name="OSRRefE21_16_0x" localSheetId="2">Summary!$N$120:$O$120</definedName>
    <definedName name="OSRRefE21_16_1x" localSheetId="48">'300'!$N$107:$O$107</definedName>
    <definedName name="OSRRefE21_16_1x" localSheetId="49">'300 &amp; 317'!$N$113:$O$113</definedName>
    <definedName name="OSRRefE21_16_1x" localSheetId="50">'301'!$N$76:$O$76</definedName>
    <definedName name="OSRRefE21_16_1x" localSheetId="71">'310 &amp; 491'!$N$87:$O$87</definedName>
    <definedName name="OSRRefE21_16_1x" localSheetId="58">'326'!$N$82:$O$82</definedName>
    <definedName name="OSRRefE21_16_1x" localSheetId="56">'331'!$N$97:$O$97</definedName>
    <definedName name="OSRRefE21_16_1x" localSheetId="54">'333'!$N$99:$O$99</definedName>
    <definedName name="OSRRefE21_16_1x" localSheetId="72">'491'!$N$85:$O$85</definedName>
    <definedName name="OSRRefE21_16_1x" localSheetId="39">'Div 2'!$N$80:$O$80</definedName>
    <definedName name="OSRRefE21_16_1x" localSheetId="70">'Div 4'!$N$84:$O$84</definedName>
    <definedName name="OSRRefE21_16_2x" localSheetId="48">'300'!$N$108:$O$108</definedName>
    <definedName name="OSRRefE21_16_2x" localSheetId="49">'300 &amp; 317'!$N$114:$O$114</definedName>
    <definedName name="OSRRefE21_16_2x" localSheetId="71">'310 &amp; 491'!$N$88:$O$88</definedName>
    <definedName name="OSRRefE21_16_2x" localSheetId="54">'333'!$N$100:$O$100</definedName>
    <definedName name="OSRRefE21_16_2x" localSheetId="72">'491'!$N$86:$O$86</definedName>
    <definedName name="OSRRefE21_16_2x" localSheetId="39">'Div 2'!$N$81:$O$81</definedName>
    <definedName name="OSRRefE21_16_2x" localSheetId="70">'Div 4'!$N$85:$O$85</definedName>
    <definedName name="OSRRefE21_16_3x" localSheetId="48">'300'!$N$109:$O$109</definedName>
    <definedName name="OSRRefE21_16_3x" localSheetId="49">'300 &amp; 317'!$N$115:$O$115</definedName>
    <definedName name="OSRRefE21_16_3x" localSheetId="71">'310 &amp; 491'!$N$89:$O$89</definedName>
    <definedName name="OSRRefE21_16_3x" localSheetId="72">'491'!$N$87:$O$87</definedName>
    <definedName name="OSRRefE21_16_3x" localSheetId="39">'Div 2'!$N$82:$O$82</definedName>
    <definedName name="OSRRefE21_16_3x" localSheetId="70">'Div 4'!$N$86:$O$86</definedName>
    <definedName name="OSRRefE21_16_4x" localSheetId="71">'310 &amp; 491'!$N$90:$O$90</definedName>
    <definedName name="OSRRefE21_16_4x" localSheetId="72">'491'!$N$88:$O$88</definedName>
    <definedName name="OSRRefE21_16_4x" localSheetId="39">'Div 2'!$N$83:$O$83</definedName>
    <definedName name="OSRRefE21_16_4x" localSheetId="70">'Div 4'!$N$87:$O$87</definedName>
    <definedName name="OSRRefE21_16_5x" localSheetId="71">'310 &amp; 491'!$N$91:$O$91</definedName>
    <definedName name="OSRRefE21_16_5x" localSheetId="72">'491'!$N$89:$O$89</definedName>
    <definedName name="OSRRefE21_16_6x" localSheetId="71">'310 &amp; 491'!$N$92:$O$92</definedName>
    <definedName name="OSRRefE21_16_6x" localSheetId="72">'491'!$N$90:$O$90</definedName>
    <definedName name="OSRRefE21_16_7x" localSheetId="71">'310 &amp; 491'!$N$93:$O$93</definedName>
    <definedName name="OSRRefE21_16_7x" localSheetId="72">'491'!$N$91:$O$91</definedName>
    <definedName name="OSRRefE21_16_8x" localSheetId="71">'310 &amp; 491'!$N$94:$O$94</definedName>
    <definedName name="OSRRefE21_16_8x" localSheetId="72">'491'!$N$92:$O$92</definedName>
    <definedName name="OSRRefE21_16x_0" localSheetId="48">'300'!$N$106:$N$109</definedName>
    <definedName name="OSRRefE21_16x_0" localSheetId="49">'300 &amp; 317'!$N$112:$N$115</definedName>
    <definedName name="OSRRefE21_16x_0" localSheetId="50">'301'!$N$75:$N$76</definedName>
    <definedName name="OSRRefE21_16x_0" localSheetId="63">'310'!$N$89</definedName>
    <definedName name="OSRRefE21_16x_0" localSheetId="71">'310 &amp; 491'!$N$86:$N$94</definedName>
    <definedName name="OSRRefE21_16x_0" localSheetId="57">'315'!$N$100</definedName>
    <definedName name="OSRRefE21_16x_0" localSheetId="68">'325'!$N$83</definedName>
    <definedName name="OSRRefE21_16x_0" localSheetId="58">'326'!$N$81:$N$82</definedName>
    <definedName name="OSRRefE21_16x_0" localSheetId="56">'331'!$N$96:$N$97</definedName>
    <definedName name="OSRRefE21_16x_0" localSheetId="54">'333'!$N$98:$N$100</definedName>
    <definedName name="OSRRefE21_16x_0" localSheetId="79">'415'!$N$87</definedName>
    <definedName name="OSRRefE21_16x_0" localSheetId="90">'450'!$N$86</definedName>
    <definedName name="OSRRefE21_16x_0" localSheetId="72">'491'!$N$84:$N$92</definedName>
    <definedName name="OSRRefE21_16x_0" localSheetId="85">'492'!$N$92</definedName>
    <definedName name="OSRRefE21_16x_0" localSheetId="39">'Div 2'!$N$79:$N$83</definedName>
    <definedName name="OSRRefE21_16x_0" localSheetId="47">'Div 3'!$N$112</definedName>
    <definedName name="OSRRefE21_16x_0" localSheetId="70">'Div 4'!$N$83:$N$87</definedName>
    <definedName name="OSRRefE21_16x_0" localSheetId="2">Summary!$N$120</definedName>
    <definedName name="OSRRefE21_16x_1" localSheetId="48">'300'!$O$106:$O$109</definedName>
    <definedName name="OSRRefE21_16x_1" localSheetId="49">'300 &amp; 317'!$O$112:$O$115</definedName>
    <definedName name="OSRRefE21_16x_1" localSheetId="50">'301'!$O$75:$O$76</definedName>
    <definedName name="OSRRefE21_16x_1" localSheetId="63">'310'!$O$89</definedName>
    <definedName name="OSRRefE21_16x_1" localSheetId="71">'310 &amp; 491'!$O$86:$O$94</definedName>
    <definedName name="OSRRefE21_16x_1" localSheetId="57">'315'!$O$100</definedName>
    <definedName name="OSRRefE21_16x_1" localSheetId="68">'325'!$O$83</definedName>
    <definedName name="OSRRefE21_16x_1" localSheetId="58">'326'!$O$81:$O$82</definedName>
    <definedName name="OSRRefE21_16x_1" localSheetId="56">'331'!$O$96:$O$97</definedName>
    <definedName name="OSRRefE21_16x_1" localSheetId="54">'333'!$O$98:$O$100</definedName>
    <definedName name="OSRRefE21_16x_1" localSheetId="79">'415'!$O$87</definedName>
    <definedName name="OSRRefE21_16x_1" localSheetId="90">'450'!$O$86</definedName>
    <definedName name="OSRRefE21_16x_1" localSheetId="72">'491'!$O$84:$O$92</definedName>
    <definedName name="OSRRefE21_16x_1" localSheetId="85">'492'!$O$92</definedName>
    <definedName name="OSRRefE21_16x_1" localSheetId="39">'Div 2'!$O$79:$O$83</definedName>
    <definedName name="OSRRefE21_16x_1" localSheetId="47">'Div 3'!$O$112</definedName>
    <definedName name="OSRRefE21_16x_1" localSheetId="70">'Div 4'!$O$83:$O$87</definedName>
    <definedName name="OSRRefE21_16x_1" localSheetId="2">Summary!$O$120</definedName>
    <definedName name="OSRRefE21_17_0x" localSheetId="48">'300'!$N$111:$O$111</definedName>
    <definedName name="OSRRefE21_17_0x" localSheetId="49">'300 &amp; 317'!$N$117:$O$117</definedName>
    <definedName name="OSRRefE21_17_0x" localSheetId="50">'301'!$N$78:$O$78</definedName>
    <definedName name="OSRRefE21_17_0x" localSheetId="63">'310'!$N$91:$O$91</definedName>
    <definedName name="OSRRefE21_17_0x" localSheetId="71">'310 &amp; 491'!$N$96:$O$96</definedName>
    <definedName name="OSRRefE21_17_0x" localSheetId="57">'315'!$N$102:$O$102</definedName>
    <definedName name="OSRRefE21_17_0x" localSheetId="58">'326'!$N$84:$O$84</definedName>
    <definedName name="OSRRefE21_17_0x" localSheetId="56">'331'!$N$99:$O$99</definedName>
    <definedName name="OSRRefE21_17_0x" localSheetId="54">'333'!$N$102:$O$102</definedName>
    <definedName name="OSRRefE21_17_0x" localSheetId="79">'415'!$N$89:$O$89</definedName>
    <definedName name="OSRRefE21_17_0x" localSheetId="72">'491'!$N$94:$O$94</definedName>
    <definedName name="OSRRefE21_17_0x" localSheetId="85">'492'!$N$94:$O$94</definedName>
    <definedName name="OSRRefE21_17_0x" localSheetId="39">'Div 2'!$N$85:$O$85</definedName>
    <definedName name="OSRRefE21_17_0x" localSheetId="47">'Div 3'!$N$114:$O$114</definedName>
    <definedName name="OSRRefE21_17_0x" localSheetId="70">'Div 4'!$N$89:$O$89</definedName>
    <definedName name="OSRRefE21_17_0x" localSheetId="2">Summary!$N$122:$O$122</definedName>
    <definedName name="OSRRefE21_17_1x" localSheetId="48">'300'!$N$112:$O$112</definedName>
    <definedName name="OSRRefE21_17_1x" localSheetId="49">'300 &amp; 317'!$N$118:$O$118</definedName>
    <definedName name="OSRRefE21_17_1x" localSheetId="71">'310 &amp; 491'!$N$97:$O$97</definedName>
    <definedName name="OSRRefE21_17_1x" localSheetId="56">'331'!$N$100:$O$100</definedName>
    <definedName name="OSRRefE21_17_1x" localSheetId="54">'333'!$N$103:$O$103</definedName>
    <definedName name="OSRRefE21_17_1x" localSheetId="72">'491'!$N$95:$O$95</definedName>
    <definedName name="OSRRefE21_17_1x" localSheetId="85">'492'!$N$95:$O$95</definedName>
    <definedName name="OSRRefE21_17_1x" localSheetId="39">'Div 2'!$N$86:$O$86</definedName>
    <definedName name="OSRRefE21_17_1x" localSheetId="47">'Div 3'!$N$115:$O$115</definedName>
    <definedName name="OSRRefE21_17_2x" localSheetId="48">'300'!$N$113:$O$113</definedName>
    <definedName name="OSRRefE21_17_2x" localSheetId="49">'300 &amp; 317'!$N$119:$O$119</definedName>
    <definedName name="OSRRefE21_17_2x" localSheetId="47">'Div 3'!$N$116:$O$116</definedName>
    <definedName name="OSRRefE21_17_3x" localSheetId="48">'300'!$N$114:$O$114</definedName>
    <definedName name="OSRRefE21_17_3x" localSheetId="49">'300 &amp; 317'!$N$120:$O$120</definedName>
    <definedName name="OSRRefE21_17_3x" localSheetId="47">'Div 3'!$N$117:$O$117</definedName>
    <definedName name="OSRRefE21_17x_0" localSheetId="48">'300'!$N$111:$N$114</definedName>
    <definedName name="OSRRefE21_17x_0" localSheetId="49">'300 &amp; 317'!$N$117:$N$120</definedName>
    <definedName name="OSRRefE21_17x_0" localSheetId="50">'301'!$N$78</definedName>
    <definedName name="OSRRefE21_17x_0" localSheetId="63">'310'!$N$91</definedName>
    <definedName name="OSRRefE21_17x_0" localSheetId="71">'310 &amp; 491'!$N$96:$N$97</definedName>
    <definedName name="OSRRefE21_17x_0" localSheetId="57">'315'!$N$102</definedName>
    <definedName name="OSRRefE21_17x_0" localSheetId="58">'326'!$N$84</definedName>
    <definedName name="OSRRefE21_17x_0" localSheetId="56">'331'!$N$99:$N$100</definedName>
    <definedName name="OSRRefE21_17x_0" localSheetId="54">'333'!$N$102:$N$103</definedName>
    <definedName name="OSRRefE21_17x_0" localSheetId="79">'415'!$N$89</definedName>
    <definedName name="OSRRefE21_17x_0" localSheetId="72">'491'!$N$94:$N$95</definedName>
    <definedName name="OSRRefE21_17x_0" localSheetId="85">'492'!$N$94:$N$95</definedName>
    <definedName name="OSRRefE21_17x_0" localSheetId="39">'Div 2'!$N$85:$N$86</definedName>
    <definedName name="OSRRefE21_17x_0" localSheetId="47">'Div 3'!$N$114:$N$117</definedName>
    <definedName name="OSRRefE21_17x_0" localSheetId="70">'Div 4'!$N$89</definedName>
    <definedName name="OSRRefE21_17x_0" localSheetId="2">Summary!$N$122</definedName>
    <definedName name="OSRRefE21_17x_1" localSheetId="48">'300'!$O$111:$O$114</definedName>
    <definedName name="OSRRefE21_17x_1" localSheetId="49">'300 &amp; 317'!$O$117:$O$120</definedName>
    <definedName name="OSRRefE21_17x_1" localSheetId="50">'301'!$O$78</definedName>
    <definedName name="OSRRefE21_17x_1" localSheetId="63">'310'!$O$91</definedName>
    <definedName name="OSRRefE21_17x_1" localSheetId="71">'310 &amp; 491'!$O$96:$O$97</definedName>
    <definedName name="OSRRefE21_17x_1" localSheetId="57">'315'!$O$102</definedName>
    <definedName name="OSRRefE21_17x_1" localSheetId="58">'326'!$O$84</definedName>
    <definedName name="OSRRefE21_17x_1" localSheetId="56">'331'!$O$99:$O$100</definedName>
    <definedName name="OSRRefE21_17x_1" localSheetId="54">'333'!$O$102:$O$103</definedName>
    <definedName name="OSRRefE21_17x_1" localSheetId="79">'415'!$O$89</definedName>
    <definedName name="OSRRefE21_17x_1" localSheetId="72">'491'!$O$94:$O$95</definedName>
    <definedName name="OSRRefE21_17x_1" localSheetId="85">'492'!$O$94:$O$95</definedName>
    <definedName name="OSRRefE21_17x_1" localSheetId="39">'Div 2'!$O$85:$O$86</definedName>
    <definedName name="OSRRefE21_17x_1" localSheetId="47">'Div 3'!$O$114:$O$117</definedName>
    <definedName name="OSRRefE21_17x_1" localSheetId="70">'Div 4'!$O$89</definedName>
    <definedName name="OSRRefE21_17x_1" localSheetId="2">Summary!$O$122</definedName>
    <definedName name="OSRRefE21_18_0x" localSheetId="48">'300'!$N$116:$O$116</definedName>
    <definedName name="OSRRefE21_18_0x" localSheetId="49">'300 &amp; 317'!$N$122:$O$122</definedName>
    <definedName name="OSRRefE21_18_0x" localSheetId="50">'301'!$N$80:$O$80</definedName>
    <definedName name="OSRRefE21_18_0x" localSheetId="71">'310 &amp; 491'!$N$99:$O$99</definedName>
    <definedName name="OSRRefE21_18_0x" localSheetId="57">'315'!$N$104:$O$104</definedName>
    <definedName name="OSRRefE21_18_0x" localSheetId="56">'331'!$N$102:$O$102</definedName>
    <definedName name="OSRRefE21_18_0x" localSheetId="54">'333'!$N$105:$O$105</definedName>
    <definedName name="OSRRefE21_18_0x" localSheetId="72">'491'!$N$97:$O$97</definedName>
    <definedName name="OSRRefE21_18_0x" localSheetId="39">'Div 2'!$N$88:$O$88</definedName>
    <definedName name="OSRRefE21_18_0x" localSheetId="47">'Div 3'!$N$119:$O$119</definedName>
    <definedName name="OSRRefE21_18_0x" localSheetId="70">'Div 4'!$N$91:$O$91</definedName>
    <definedName name="OSRRefE21_18_0x" localSheetId="2">Summary!$N$124:$O$124</definedName>
    <definedName name="OSRRefE21_18_1x" localSheetId="48">'300'!$N$117:$O$117</definedName>
    <definedName name="OSRRefE21_18_1x" localSheetId="49">'300 &amp; 317'!$N$123:$O$123</definedName>
    <definedName name="OSRRefE21_18_1x" localSheetId="50">'301'!$N$81:$O$81</definedName>
    <definedName name="OSRRefE21_18_1x" localSheetId="56">'331'!$N$103:$O$103</definedName>
    <definedName name="OSRRefE21_18_1x" localSheetId="54">'333'!$N$106:$O$106</definedName>
    <definedName name="OSRRefE21_18_1x" localSheetId="47">'Div 3'!$N$120:$O$120</definedName>
    <definedName name="OSRRefE21_18_1x" localSheetId="70">'Div 4'!$N$92:$O$92</definedName>
    <definedName name="OSRRefE21_18_1x" localSheetId="2">Summary!$N$125:$O$125</definedName>
    <definedName name="OSRRefE21_18_2x" localSheetId="48">'300'!$N$118:$O$118</definedName>
    <definedName name="OSRRefE21_18_2x" localSheetId="49">'300 &amp; 317'!$N$124:$O$124</definedName>
    <definedName name="OSRRefE21_18_2x" localSheetId="50">'301'!$N$82:$O$82</definedName>
    <definedName name="OSRRefE21_18_2x" localSheetId="56">'331'!$N$104:$O$104</definedName>
    <definedName name="OSRRefE21_18_2x" localSheetId="54">'333'!$N$107:$O$107</definedName>
    <definedName name="OSRRefE21_18_2x" localSheetId="47">'Div 3'!$N$121:$O$121</definedName>
    <definedName name="OSRRefE21_18_2x" localSheetId="70">'Div 4'!$N$93:$O$93</definedName>
    <definedName name="OSRRefE21_18_2x" localSheetId="2">Summary!$N$126:$O$126</definedName>
    <definedName name="OSRRefE21_18_3x" localSheetId="50">'301'!$N$83:$O$83</definedName>
    <definedName name="OSRRefE21_18_3x" localSheetId="56">'331'!$N$105:$O$105</definedName>
    <definedName name="OSRRefE21_18_3x" localSheetId="54">'333'!$N$108:$O$108</definedName>
    <definedName name="OSRRefE21_18_3x" localSheetId="47">'Div 3'!$N$122:$O$122</definedName>
    <definedName name="OSRRefE21_18_3x" localSheetId="70">'Div 4'!$N$94:$O$94</definedName>
    <definedName name="OSRRefE21_18_3x" localSheetId="2">Summary!$N$127:$O$127</definedName>
    <definedName name="OSRRefE21_18_4x" localSheetId="50">'301'!$N$84:$O$84</definedName>
    <definedName name="OSRRefE21_18_4x" localSheetId="56">'331'!$N$106:$O$106</definedName>
    <definedName name="OSRRefE21_18_4x" localSheetId="54">'333'!$N$109:$O$109</definedName>
    <definedName name="OSRRefE21_18_4x" localSheetId="70">'Div 4'!$N$95:$O$95</definedName>
    <definedName name="OSRRefE21_18_5x" localSheetId="50">'301'!$N$85:$O$85</definedName>
    <definedName name="OSRRefE21_18_5x" localSheetId="54">'333'!$N$110:$O$110</definedName>
    <definedName name="OSRRefE21_18_5x" localSheetId="70">'Div 4'!$N$96:$O$96</definedName>
    <definedName name="OSRRefE21_18_6x" localSheetId="70">'Div 4'!$N$97:$O$97</definedName>
    <definedName name="OSRRefE21_18_7x" localSheetId="70">'Div 4'!$N$98:$O$98</definedName>
    <definedName name="OSRRefE21_18_8x" localSheetId="70">'Div 4'!$N$99:$O$99</definedName>
    <definedName name="OSRRefE21_18_9x" localSheetId="70">'Div 4'!$N$100:$O$100</definedName>
    <definedName name="OSRRefE21_18x_0" localSheetId="48">'300'!$N$116:$N$118</definedName>
    <definedName name="OSRRefE21_18x_0" localSheetId="49">'300 &amp; 317'!$N$122:$N$124</definedName>
    <definedName name="OSRRefE21_18x_0" localSheetId="50">'301'!$N$80:$N$85</definedName>
    <definedName name="OSRRefE21_18x_0" localSheetId="71">'310 &amp; 491'!$N$99</definedName>
    <definedName name="OSRRefE21_18x_0" localSheetId="57">'315'!$N$104</definedName>
    <definedName name="OSRRefE21_18x_0" localSheetId="56">'331'!$N$102:$N$106</definedName>
    <definedName name="OSRRefE21_18x_0" localSheetId="54">'333'!$N$105:$N$110</definedName>
    <definedName name="OSRRefE21_18x_0" localSheetId="72">'491'!$N$97</definedName>
    <definedName name="OSRRefE21_18x_0" localSheetId="39">'Div 2'!$N$88</definedName>
    <definedName name="OSRRefE21_18x_0" localSheetId="47">'Div 3'!$N$119:$N$122</definedName>
    <definedName name="OSRRefE21_18x_0" localSheetId="70">'Div 4'!$N$91:$N$100</definedName>
    <definedName name="OSRRefE21_18x_0" localSheetId="2">Summary!$N$124:$N$127</definedName>
    <definedName name="OSRRefE21_18x_1" localSheetId="48">'300'!$O$116:$O$118</definedName>
    <definedName name="OSRRefE21_18x_1" localSheetId="49">'300 &amp; 317'!$O$122:$O$124</definedName>
    <definedName name="OSRRefE21_18x_1" localSheetId="50">'301'!$O$80:$O$85</definedName>
    <definedName name="OSRRefE21_18x_1" localSheetId="71">'310 &amp; 491'!$O$99</definedName>
    <definedName name="OSRRefE21_18x_1" localSheetId="57">'315'!$O$104</definedName>
    <definedName name="OSRRefE21_18x_1" localSheetId="56">'331'!$O$102:$O$106</definedName>
    <definedName name="OSRRefE21_18x_1" localSheetId="54">'333'!$O$105:$O$110</definedName>
    <definedName name="OSRRefE21_18x_1" localSheetId="72">'491'!$O$97</definedName>
    <definedName name="OSRRefE21_18x_1" localSheetId="39">'Div 2'!$O$88</definedName>
    <definedName name="OSRRefE21_18x_1" localSheetId="47">'Div 3'!$O$119:$O$122</definedName>
    <definedName name="OSRRefE21_18x_1" localSheetId="70">'Div 4'!$O$91:$O$100</definedName>
    <definedName name="OSRRefE21_18x_1" localSheetId="2">Summary!$O$124:$O$127</definedName>
    <definedName name="OSRRefE21_19_0x" localSheetId="48">'300'!$N$120:$O$120</definedName>
    <definedName name="OSRRefE21_19_0x" localSheetId="49">'300 &amp; 317'!$N$126:$O$126</definedName>
    <definedName name="OSRRefE21_19_0x" localSheetId="50">'301'!$N$87:$O$87</definedName>
    <definedName name="OSRRefE21_19_0x" localSheetId="71">'310 &amp; 491'!$N$101:$O$101</definedName>
    <definedName name="OSRRefE21_19_0x" localSheetId="56">'331'!$N$108:$O$108</definedName>
    <definedName name="OSRRefE21_19_0x" localSheetId="54">'333'!$N$112:$O$112</definedName>
    <definedName name="OSRRefE21_19_0x" localSheetId="72">'491'!$N$99:$O$99</definedName>
    <definedName name="OSRRefE21_19_0x" localSheetId="39">'Div 2'!$N$90:$O$90</definedName>
    <definedName name="OSRRefE21_19_0x" localSheetId="47">'Div 3'!$N$124:$O$124</definedName>
    <definedName name="OSRRefE21_19_0x" localSheetId="70">'Div 4'!$N$102:$O$102</definedName>
    <definedName name="OSRRefE21_19_0x" localSheetId="2">Summary!$N$129:$O$129</definedName>
    <definedName name="OSRRefE21_19_1x" localSheetId="48">'300'!$N$121:$O$121</definedName>
    <definedName name="OSRRefE21_19_1x" localSheetId="49">'300 &amp; 317'!$N$127:$O$127</definedName>
    <definedName name="OSRRefE21_19_1x" localSheetId="71">'310 &amp; 491'!$N$102:$O$102</definedName>
    <definedName name="OSRRefE21_19_1x" localSheetId="72">'491'!$N$100:$O$100</definedName>
    <definedName name="OSRRefE21_19_1x" localSheetId="39">'Div 2'!$N$91:$O$91</definedName>
    <definedName name="OSRRefE21_19_1x" localSheetId="47">'Div 3'!$N$125:$O$125</definedName>
    <definedName name="OSRRefE21_19_1x" localSheetId="70">'Div 4'!$N$103:$O$103</definedName>
    <definedName name="OSRRefE21_19_1x" localSheetId="2">Summary!$N$130:$O$130</definedName>
    <definedName name="OSRRefE21_19_2x" localSheetId="47">'Div 3'!$N$126:$O$126</definedName>
    <definedName name="OSRRefE21_19_2x" localSheetId="2">Summary!$N$131:$O$131</definedName>
    <definedName name="OSRRefE21_19_3x" localSheetId="47">'Div 3'!$N$127:$O$127</definedName>
    <definedName name="OSRRefE21_19_3x" localSheetId="2">Summary!$N$132:$O$132</definedName>
    <definedName name="OSRRefE21_19x_0" localSheetId="48">'300'!$N$120:$N$121</definedName>
    <definedName name="OSRRefE21_19x_0" localSheetId="49">'300 &amp; 317'!$N$126:$N$127</definedName>
    <definedName name="OSRRefE21_19x_0" localSheetId="50">'301'!$N$87</definedName>
    <definedName name="OSRRefE21_19x_0" localSheetId="71">'310 &amp; 491'!$N$101:$N$102</definedName>
    <definedName name="OSRRefE21_19x_0" localSheetId="56">'331'!$N$108</definedName>
    <definedName name="OSRRefE21_19x_0" localSheetId="54">'333'!$N$112</definedName>
    <definedName name="OSRRefE21_19x_0" localSheetId="72">'491'!$N$99:$N$100</definedName>
    <definedName name="OSRRefE21_19x_0" localSheetId="39">'Div 2'!$N$90:$N$91</definedName>
    <definedName name="OSRRefE21_19x_0" localSheetId="47">'Div 3'!$N$124:$N$127</definedName>
    <definedName name="OSRRefE21_19x_0" localSheetId="70">'Div 4'!$N$102:$N$103</definedName>
    <definedName name="OSRRefE21_19x_0" localSheetId="2">Summary!$N$129:$N$132</definedName>
    <definedName name="OSRRefE21_19x_1" localSheetId="48">'300'!$O$120:$O$121</definedName>
    <definedName name="OSRRefE21_19x_1" localSheetId="49">'300 &amp; 317'!$O$126:$O$127</definedName>
    <definedName name="OSRRefE21_19x_1" localSheetId="50">'301'!$O$87</definedName>
    <definedName name="OSRRefE21_19x_1" localSheetId="71">'310 &amp; 491'!$O$101:$O$102</definedName>
    <definedName name="OSRRefE21_19x_1" localSheetId="56">'331'!$O$108</definedName>
    <definedName name="OSRRefE21_19x_1" localSheetId="54">'333'!$O$112</definedName>
    <definedName name="OSRRefE21_19x_1" localSheetId="72">'491'!$O$99:$O$100</definedName>
    <definedName name="OSRRefE21_19x_1" localSheetId="39">'Div 2'!$O$90:$O$91</definedName>
    <definedName name="OSRRefE21_19x_1" localSheetId="47">'Div 3'!$O$124:$O$127</definedName>
    <definedName name="OSRRefE21_19x_1" localSheetId="70">'Div 4'!$O$102:$O$103</definedName>
    <definedName name="OSRRefE21_19x_1" localSheetId="2">Summary!$O$129:$O$132</definedName>
    <definedName name="OSRRefE21_1x_0" localSheetId="40">'200'!$N$21</definedName>
    <definedName name="OSRRefE21_1x_0" localSheetId="41">'201'!$N$29:$N$38</definedName>
    <definedName name="OSRRefE21_1x_0" localSheetId="42">'202'!$N$29:$N$38</definedName>
    <definedName name="OSRRefE21_1x_0" localSheetId="43">'203'!$N$30:$N$39</definedName>
    <definedName name="OSRRefE21_1x_0" localSheetId="44">'204'!$N$29:$N$38</definedName>
    <definedName name="OSRRefE21_1x_0" localSheetId="45">'205'!$N$29:$N$38</definedName>
    <definedName name="OSRRefE21_1x_0" localSheetId="46">'206'!$N$29:$N$38</definedName>
    <definedName name="OSRRefE21_1x_0" localSheetId="48">'300'!$N$64:$N$73</definedName>
    <definedName name="OSRRefE21_1x_0" localSheetId="49">'300 &amp; 317'!$N$70:$N$79</definedName>
    <definedName name="OSRRefE21_1x_0" localSheetId="50">'301'!$N$31:$N$40</definedName>
    <definedName name="OSRRefE21_1x_0" localSheetId="55">'307'!$N$43:$N$52</definedName>
    <definedName name="OSRRefE21_1x_0" localSheetId="51">'308'!$N$45:$N$54</definedName>
    <definedName name="OSRRefE21_1x_0" localSheetId="64">'309'!$N$28:$N$29</definedName>
    <definedName name="OSRRefE21_1x_0" localSheetId="63">'310'!$N$39:$N$48</definedName>
    <definedName name="OSRRefE21_1x_0" localSheetId="71">'310 &amp; 491'!$N$39:$N$48</definedName>
    <definedName name="OSRRefE21_1x_0" localSheetId="52">'311'!$N$45:$N$54</definedName>
    <definedName name="OSRRefE21_1x_0" localSheetId="65">'313'!$N$21</definedName>
    <definedName name="OSRRefE21_1x_0" localSheetId="57">'315'!$N$53:$N$62</definedName>
    <definedName name="OSRRefE21_1x_0" localSheetId="60">'316'!$N$36:$N$45</definedName>
    <definedName name="OSRRefE21_1x_0" localSheetId="62">'317'!$N$45:$N$54</definedName>
    <definedName name="OSRRefE21_1x_0" localSheetId="66">'321'!$N$34:$N$43</definedName>
    <definedName name="OSRRefE21_1x_0" localSheetId="68">'325'!$N$34:$N$43</definedName>
    <definedName name="OSRRefE21_1x_0" localSheetId="58">'326'!$N$37:$N$46</definedName>
    <definedName name="OSRRefE21_1x_0" localSheetId="69">'327'!$N$27</definedName>
    <definedName name="OSRRefE21_1x_0" localSheetId="56">'331'!$N$53:$N$62</definedName>
    <definedName name="OSRRefE21_1x_0" localSheetId="59">'332'!$N$36:$N$45</definedName>
    <definedName name="OSRRefE21_1x_0" localSheetId="54">'333'!$N$55:$N$64</definedName>
    <definedName name="OSRRefE21_1x_0" localSheetId="73">'405'!$N$36:$N$45</definedName>
    <definedName name="OSRRefE21_1x_0" localSheetId="75">'411'!$N$29:$N$38</definedName>
    <definedName name="OSRRefE21_1x_0" localSheetId="76">'412'!$N$21</definedName>
    <definedName name="OSRRefE21_1x_0" localSheetId="77">'413'!$N$21</definedName>
    <definedName name="OSRRefE21_1x_0" localSheetId="78">'414'!$N$21</definedName>
    <definedName name="OSRRefE21_1x_0" localSheetId="79">'415'!$N$37:$N$46</definedName>
    <definedName name="OSRRefE21_1x_0" localSheetId="80">'418'!$N$33:$N$42</definedName>
    <definedName name="OSRRefE21_1x_0" localSheetId="81">'423'!$N$28:$N$37</definedName>
    <definedName name="OSRRefE21_1x_0" localSheetId="82">'424'!$N$21</definedName>
    <definedName name="OSRRefE21_1x_0" localSheetId="83">'425'!$N$23</definedName>
    <definedName name="OSRRefE21_1x_0" localSheetId="86">'430'!$N$29:$N$38</definedName>
    <definedName name="OSRRefE21_1x_0" localSheetId="87">'433'!$N$37:$N$46</definedName>
    <definedName name="OSRRefE21_1x_0" localSheetId="88">'435'!$N$25</definedName>
    <definedName name="OSRRefE21_1x_0" localSheetId="89">'444'!$N$37:$N$46</definedName>
    <definedName name="OSRRefE21_1x_0" localSheetId="90">'450'!$N$37:$N$46</definedName>
    <definedName name="OSRRefE21_1x_0" localSheetId="72">'491'!$N$38:$N$47</definedName>
    <definedName name="OSRRefE21_1x_0" localSheetId="85">'492'!$N$39:$N$48</definedName>
    <definedName name="OSRRefE21_1x_0" localSheetId="92">'501'!$N$31:$N$40</definedName>
    <definedName name="OSRRefE21_1x_0" localSheetId="39">'Div 2'!$N$31:$N$40</definedName>
    <definedName name="OSRRefE21_1x_0" localSheetId="47">'Div 3'!$N$70:$N$79</definedName>
    <definedName name="OSRRefE21_1x_0" localSheetId="70">'Div 4'!$N$41:$N$50</definedName>
    <definedName name="OSRRefE21_1x_0" localSheetId="91">'Div 5'!$N$31:$N$40</definedName>
    <definedName name="OSRRefE21_1x_0" localSheetId="61">'Div 6'!$N$45:$N$54</definedName>
    <definedName name="OSRRefE21_1x_0" localSheetId="2">Summary!$N$78:$N$87</definedName>
    <definedName name="OSRRefE21_1x_1" localSheetId="40">'200'!$O$21</definedName>
    <definedName name="OSRRefE21_1x_1" localSheetId="41">'201'!$O$29:$O$38</definedName>
    <definedName name="OSRRefE21_1x_1" localSheetId="42">'202'!$O$29:$O$38</definedName>
    <definedName name="OSRRefE21_1x_1" localSheetId="43">'203'!$O$30:$O$39</definedName>
    <definedName name="OSRRefE21_1x_1" localSheetId="44">'204'!$O$29:$O$38</definedName>
    <definedName name="OSRRefE21_1x_1" localSheetId="45">'205'!$O$29:$O$38</definedName>
    <definedName name="OSRRefE21_1x_1" localSheetId="46">'206'!$O$29:$O$38</definedName>
    <definedName name="OSRRefE21_1x_1" localSheetId="48">'300'!$O$64:$O$73</definedName>
    <definedName name="OSRRefE21_1x_1" localSheetId="49">'300 &amp; 317'!$O$70:$O$79</definedName>
    <definedName name="OSRRefE21_1x_1" localSheetId="50">'301'!$O$31:$O$40</definedName>
    <definedName name="OSRRefE21_1x_1" localSheetId="55">'307'!$O$43:$O$52</definedName>
    <definedName name="OSRRefE21_1x_1" localSheetId="51">'308'!$O$45:$O$54</definedName>
    <definedName name="OSRRefE21_1x_1" localSheetId="64">'309'!$O$28:$O$29</definedName>
    <definedName name="OSRRefE21_1x_1" localSheetId="63">'310'!$O$39:$O$48</definedName>
    <definedName name="OSRRefE21_1x_1" localSheetId="71">'310 &amp; 491'!$O$39:$O$48</definedName>
    <definedName name="OSRRefE21_1x_1" localSheetId="52">'311'!$O$45:$O$54</definedName>
    <definedName name="OSRRefE21_1x_1" localSheetId="65">'313'!$O$21</definedName>
    <definedName name="OSRRefE21_1x_1" localSheetId="57">'315'!$O$53:$O$62</definedName>
    <definedName name="OSRRefE21_1x_1" localSheetId="60">'316'!$O$36:$O$45</definedName>
    <definedName name="OSRRefE21_1x_1" localSheetId="62">'317'!$O$45:$O$54</definedName>
    <definedName name="OSRRefE21_1x_1" localSheetId="66">'321'!$O$34:$O$43</definedName>
    <definedName name="OSRRefE21_1x_1" localSheetId="68">'325'!$O$34:$O$43</definedName>
    <definedName name="OSRRefE21_1x_1" localSheetId="58">'326'!$O$37:$O$46</definedName>
    <definedName name="OSRRefE21_1x_1" localSheetId="69">'327'!$O$27</definedName>
    <definedName name="OSRRefE21_1x_1" localSheetId="56">'331'!$O$53:$O$62</definedName>
    <definedName name="OSRRefE21_1x_1" localSheetId="59">'332'!$O$36:$O$45</definedName>
    <definedName name="OSRRefE21_1x_1" localSheetId="54">'333'!$O$55:$O$64</definedName>
    <definedName name="OSRRefE21_1x_1" localSheetId="73">'405'!$O$36:$O$45</definedName>
    <definedName name="OSRRefE21_1x_1" localSheetId="75">'411'!$O$29:$O$38</definedName>
    <definedName name="OSRRefE21_1x_1" localSheetId="76">'412'!$O$21</definedName>
    <definedName name="OSRRefE21_1x_1" localSheetId="77">'413'!$O$21</definedName>
    <definedName name="OSRRefE21_1x_1" localSheetId="78">'414'!$O$21</definedName>
    <definedName name="OSRRefE21_1x_1" localSheetId="79">'415'!$O$37:$O$46</definedName>
    <definedName name="OSRRefE21_1x_1" localSheetId="80">'418'!$O$33:$O$42</definedName>
    <definedName name="OSRRefE21_1x_1" localSheetId="81">'423'!$O$28:$O$37</definedName>
    <definedName name="OSRRefE21_1x_1" localSheetId="82">'424'!$O$21</definedName>
    <definedName name="OSRRefE21_1x_1" localSheetId="83">'425'!$O$23</definedName>
    <definedName name="OSRRefE21_1x_1" localSheetId="86">'430'!$O$29:$O$38</definedName>
    <definedName name="OSRRefE21_1x_1" localSheetId="87">'433'!$O$37:$O$46</definedName>
    <definedName name="OSRRefE21_1x_1" localSheetId="88">'435'!$O$25</definedName>
    <definedName name="OSRRefE21_1x_1" localSheetId="89">'444'!$O$37:$O$46</definedName>
    <definedName name="OSRRefE21_1x_1" localSheetId="90">'450'!$O$37:$O$46</definedName>
    <definedName name="OSRRefE21_1x_1" localSheetId="72">'491'!$O$38:$O$47</definedName>
    <definedName name="OSRRefE21_1x_1" localSheetId="85">'492'!$O$39:$O$48</definedName>
    <definedName name="OSRRefE21_1x_1" localSheetId="92">'501'!$O$31:$O$40</definedName>
    <definedName name="OSRRefE21_1x_1" localSheetId="39">'Div 2'!$O$31:$O$40</definedName>
    <definedName name="OSRRefE21_1x_1" localSheetId="47">'Div 3'!$O$70:$O$79</definedName>
    <definedName name="OSRRefE21_1x_1" localSheetId="70">'Div 4'!$O$41:$O$50</definedName>
    <definedName name="OSRRefE21_1x_1" localSheetId="91">'Div 5'!$O$31:$O$40</definedName>
    <definedName name="OSRRefE21_1x_1" localSheetId="61">'Div 6'!$O$45:$O$54</definedName>
    <definedName name="OSRRefE21_1x_1" localSheetId="2">Summary!$O$78:$O$87</definedName>
    <definedName name="OSRRefE21_2_0x" localSheetId="40">'200'!$N$23:$O$23</definedName>
    <definedName name="OSRRefE21_2_0x" localSheetId="41">'201'!$N$40:$O$40</definedName>
    <definedName name="OSRRefE21_2_0x" localSheetId="42">'202'!$N$40:$O$40</definedName>
    <definedName name="OSRRefE21_2_0x" localSheetId="43">'203'!$N$41:$O$41</definedName>
    <definedName name="OSRRefE21_2_0x" localSheetId="44">'204'!$N$40:$O$40</definedName>
    <definedName name="OSRRefE21_2_0x" localSheetId="45">'205'!$N$40:$O$40</definedName>
    <definedName name="OSRRefE21_2_0x" localSheetId="46">'206'!$N$40:$O$40</definedName>
    <definedName name="OSRRefE21_2_0x" localSheetId="48">'300'!$N$75:$O$75</definedName>
    <definedName name="OSRRefE21_2_0x" localSheetId="49">'300 &amp; 317'!$N$81:$O$81</definedName>
    <definedName name="OSRRefE21_2_0x" localSheetId="50">'301'!$N$42:$O$42</definedName>
    <definedName name="OSRRefE21_2_0x" localSheetId="55">'307'!$N$54:$O$54</definedName>
    <definedName name="OSRRefE21_2_0x" localSheetId="51">'308'!$N$56:$O$56</definedName>
    <definedName name="OSRRefE21_2_0x" localSheetId="64">'309'!$N$31:$O$31</definedName>
    <definedName name="OSRRefE21_2_0x" localSheetId="63">'310'!$N$50:$O$50</definedName>
    <definedName name="OSRRefE21_2_0x" localSheetId="71">'310 &amp; 491'!$N$50:$O$50</definedName>
    <definedName name="OSRRefE21_2_0x" localSheetId="52">'311'!$N$56:$O$56</definedName>
    <definedName name="OSRRefE21_2_0x" localSheetId="65">'313'!$N$23:$O$23</definedName>
    <definedName name="OSRRefE21_2_0x" localSheetId="57">'315'!$N$64:$O$64</definedName>
    <definedName name="OSRRefE21_2_0x" localSheetId="60">'316'!$N$47:$O$47</definedName>
    <definedName name="OSRRefE21_2_0x" localSheetId="62">'317'!$N$56:$O$56</definedName>
    <definedName name="OSRRefE21_2_0x" localSheetId="66">'321'!$N$45:$O$45</definedName>
    <definedName name="OSRRefE21_2_0x" localSheetId="68">'325'!$N$45:$O$45</definedName>
    <definedName name="OSRRefE21_2_0x" localSheetId="58">'326'!$N$48:$O$48</definedName>
    <definedName name="OSRRefE21_2_0x" localSheetId="56">'331'!$N$64:$O$64</definedName>
    <definedName name="OSRRefE21_2_0x" localSheetId="59">'332'!$N$47:$O$47</definedName>
    <definedName name="OSRRefE21_2_0x" localSheetId="54">'333'!$N$66:$O$66</definedName>
    <definedName name="OSRRefE21_2_0x" localSheetId="73">'405'!$N$47:$O$47</definedName>
    <definedName name="OSRRefE21_2_0x" localSheetId="75">'411'!$N$40:$O$40</definedName>
    <definedName name="OSRRefE21_2_0x" localSheetId="76">'412'!$N$23:$O$23</definedName>
    <definedName name="OSRRefE21_2_0x" localSheetId="79">'415'!$N$48:$O$48</definedName>
    <definedName name="OSRRefE21_2_0x" localSheetId="80">'418'!$N$44:$O$44</definedName>
    <definedName name="OSRRefE21_2_0x" localSheetId="81">'423'!$N$39:$O$39</definedName>
    <definedName name="OSRRefE21_2_0x" localSheetId="83">'425'!$N$25:$O$25</definedName>
    <definedName name="OSRRefE21_2_0x" localSheetId="86">'430'!$N$40:$O$40</definedName>
    <definedName name="OSRRefE21_2_0x" localSheetId="87">'433'!$N$48:$O$48</definedName>
    <definedName name="OSRRefE21_2_0x" localSheetId="88">'435'!$N$27:$O$27</definedName>
    <definedName name="OSRRefE21_2_0x" localSheetId="89">'444'!$N$48:$O$48</definedName>
    <definedName name="OSRRefE21_2_0x" localSheetId="90">'450'!$N$48:$O$48</definedName>
    <definedName name="OSRRefE21_2_0x" localSheetId="72">'491'!$N$49:$O$49</definedName>
    <definedName name="OSRRefE21_2_0x" localSheetId="85">'492'!$N$50:$O$50</definedName>
    <definedName name="OSRRefE21_2_0x" localSheetId="92">'501'!$N$42:$O$42</definedName>
    <definedName name="OSRRefE21_2_0x" localSheetId="39">'Div 2'!$N$42:$O$42</definedName>
    <definedName name="OSRRefE21_2_0x" localSheetId="47">'Div 3'!$N$81:$O$81</definedName>
    <definedName name="OSRRefE21_2_0x" localSheetId="70">'Div 4'!$N$52:$O$52</definedName>
    <definedName name="OSRRefE21_2_0x" localSheetId="91">'Div 5'!$N$42:$O$42</definedName>
    <definedName name="OSRRefE21_2_0x" localSheetId="61">'Div 6'!$N$56:$O$56</definedName>
    <definedName name="OSRRefE21_2_0x" localSheetId="2">Summary!$N$89:$O$89</definedName>
    <definedName name="OSRRefE21_2_1x" localSheetId="44">'204'!$N$41:$O$41</definedName>
    <definedName name="OSRRefE21_20_0x" localSheetId="48">'300'!$N$123:$O$123</definedName>
    <definedName name="OSRRefE21_20_0x" localSheetId="49">'300 &amp; 317'!$N$129:$O$129</definedName>
    <definedName name="OSRRefE21_20_0x" localSheetId="50">'301'!$N$89:$O$89</definedName>
    <definedName name="OSRRefE21_20_0x" localSheetId="71">'310 &amp; 491'!$N$104:$O$104</definedName>
    <definedName name="OSRRefE21_20_0x" localSheetId="56">'331'!$N$110:$O$110</definedName>
    <definedName name="OSRRefE21_20_0x" localSheetId="54">'333'!$N$114:$O$114</definedName>
    <definedName name="OSRRefE21_20_0x" localSheetId="72">'491'!$N$102:$O$102</definedName>
    <definedName name="OSRRefE21_20_0x" localSheetId="47">'Div 3'!$N$129:$O$129</definedName>
    <definedName name="OSRRefE21_20_0x" localSheetId="70">'Div 4'!$N$105:$O$105</definedName>
    <definedName name="OSRRefE21_20_0x" localSheetId="2">Summary!$N$134:$O$134</definedName>
    <definedName name="OSRRefE21_20_1x" localSheetId="48">'300'!$N$124:$O$124</definedName>
    <definedName name="OSRRefE21_20_1x" localSheetId="49">'300 &amp; 317'!$N$130:$O$130</definedName>
    <definedName name="OSRRefE21_20_1x" localSheetId="47">'Div 3'!$N$130:$O$130</definedName>
    <definedName name="OSRRefE21_20_1x" localSheetId="2">Summary!$N$135:$O$135</definedName>
    <definedName name="OSRRefE21_20_2x" localSheetId="48">'300'!$N$125:$O$125</definedName>
    <definedName name="OSRRefE21_20_2x" localSheetId="49">'300 &amp; 317'!$N$131:$O$131</definedName>
    <definedName name="OSRRefE21_20_2x" localSheetId="2">Summary!$N$136:$O$136</definedName>
    <definedName name="OSRRefE21_20_3x" localSheetId="48">'300'!$N$126:$O$126</definedName>
    <definedName name="OSRRefE21_20_3x" localSheetId="49">'300 &amp; 317'!$N$132:$O$132</definedName>
    <definedName name="OSRRefE21_20_3x" localSheetId="2">Summary!$N$137:$O$137</definedName>
    <definedName name="OSRRefE21_20_4x" localSheetId="48">'300'!$N$127:$O$127</definedName>
    <definedName name="OSRRefE21_20_4x" localSheetId="49">'300 &amp; 317'!$N$133:$O$133</definedName>
    <definedName name="OSRRefE21_20_4x" localSheetId="2">Summary!$N$138:$O$138</definedName>
    <definedName name="OSRRefE21_20_5x" localSheetId="48">'300'!$N$128:$O$128</definedName>
    <definedName name="OSRRefE21_20_5x" localSheetId="49">'300 &amp; 317'!$N$134:$O$134</definedName>
    <definedName name="OSRRefE21_20_6x" localSheetId="48">'300'!$N$129:$O$129</definedName>
    <definedName name="OSRRefE21_20_6x" localSheetId="49">'300 &amp; 317'!$N$135:$O$135</definedName>
    <definedName name="OSRRefE21_20x_0" localSheetId="48">'300'!$N$123:$N$129</definedName>
    <definedName name="OSRRefE21_20x_0" localSheetId="49">'300 &amp; 317'!$N$129:$N$135</definedName>
    <definedName name="OSRRefE21_20x_0" localSheetId="50">'301'!$N$89</definedName>
    <definedName name="OSRRefE21_20x_0" localSheetId="71">'310 &amp; 491'!$N$104</definedName>
    <definedName name="OSRRefE21_20x_0" localSheetId="56">'331'!$N$110</definedName>
    <definedName name="OSRRefE21_20x_0" localSheetId="54">'333'!$N$114</definedName>
    <definedName name="OSRRefE21_20x_0" localSheetId="72">'491'!$N$102</definedName>
    <definedName name="OSRRefE21_20x_0" localSheetId="47">'Div 3'!$N$129:$N$130</definedName>
    <definedName name="OSRRefE21_20x_0" localSheetId="70">'Div 4'!$N$105</definedName>
    <definedName name="OSRRefE21_20x_0" localSheetId="2">Summary!$N$134:$N$138</definedName>
    <definedName name="OSRRefE21_20x_1" localSheetId="48">'300'!$O$123:$O$129</definedName>
    <definedName name="OSRRefE21_20x_1" localSheetId="49">'300 &amp; 317'!$O$129:$O$135</definedName>
    <definedName name="OSRRefE21_20x_1" localSheetId="50">'301'!$O$89</definedName>
    <definedName name="OSRRefE21_20x_1" localSheetId="71">'310 &amp; 491'!$O$104</definedName>
    <definedName name="OSRRefE21_20x_1" localSheetId="56">'331'!$O$110</definedName>
    <definedName name="OSRRefE21_20x_1" localSheetId="54">'333'!$O$114</definedName>
    <definedName name="OSRRefE21_20x_1" localSheetId="72">'491'!$O$102</definedName>
    <definedName name="OSRRefE21_20x_1" localSheetId="47">'Div 3'!$O$129:$O$130</definedName>
    <definedName name="OSRRefE21_20x_1" localSheetId="70">'Div 4'!$O$105</definedName>
    <definedName name="OSRRefE21_20x_1" localSheetId="2">Summary!$O$134:$O$138</definedName>
    <definedName name="OSRRefE21_21_0x" localSheetId="48">'300'!$N$131:$O$131</definedName>
    <definedName name="OSRRefE21_21_0x" localSheetId="49">'300 &amp; 317'!$N$137:$O$137</definedName>
    <definedName name="OSRRefE21_21_0x" localSheetId="50">'301'!$N$91:$O$91</definedName>
    <definedName name="OSRRefE21_21_0x" localSheetId="56">'331'!$N$112:$O$112</definedName>
    <definedName name="OSRRefE21_21_0x" localSheetId="54">'333'!$N$116:$O$116</definedName>
    <definedName name="OSRRefE21_21_0x" localSheetId="47">'Div 3'!$N$132:$O$132</definedName>
    <definedName name="OSRRefE21_21_0x" localSheetId="70">'Div 4'!$N$107:$O$107</definedName>
    <definedName name="OSRRefE21_21_0x" localSheetId="2">Summary!$N$140:$O$140</definedName>
    <definedName name="OSRRefE21_21_1x" localSheetId="48">'300'!$N$132:$O$132</definedName>
    <definedName name="OSRRefE21_21_1x" localSheetId="49">'300 &amp; 317'!$N$138:$O$138</definedName>
    <definedName name="OSRRefE21_21_1x" localSheetId="50">'301'!$N$92:$O$92</definedName>
    <definedName name="OSRRefE21_21_1x" localSheetId="56">'331'!$N$113:$O$113</definedName>
    <definedName name="OSRRefE21_21_1x" localSheetId="54">'333'!$N$117:$O$117</definedName>
    <definedName name="OSRRefE21_21_1x" localSheetId="47">'Div 3'!$N$133:$O$133</definedName>
    <definedName name="OSRRefE21_21_1x" localSheetId="70">'Div 4'!$N$108:$O$108</definedName>
    <definedName name="OSRRefE21_21_1x" localSheetId="2">Summary!$N$141:$O$141</definedName>
    <definedName name="OSRRefE21_21_2x" localSheetId="47">'Div 3'!$N$134:$O$134</definedName>
    <definedName name="OSRRefE21_21_3x" localSheetId="47">'Div 3'!$N$135:$O$135</definedName>
    <definedName name="OSRRefE21_21_4x" localSheetId="47">'Div 3'!$N$136:$O$136</definedName>
    <definedName name="OSRRefE21_21_5x" localSheetId="47">'Div 3'!$N$137:$O$137</definedName>
    <definedName name="OSRRefE21_21_6x" localSheetId="47">'Div 3'!$N$138:$O$138</definedName>
    <definedName name="OSRRefE21_21x_0" localSheetId="48">'300'!$N$131:$N$132</definedName>
    <definedName name="OSRRefE21_21x_0" localSheetId="49">'300 &amp; 317'!$N$137:$N$138</definedName>
    <definedName name="OSRRefE21_21x_0" localSheetId="50">'301'!$N$91:$N$92</definedName>
    <definedName name="OSRRefE21_21x_0" localSheetId="56">'331'!$N$112:$N$113</definedName>
    <definedName name="OSRRefE21_21x_0" localSheetId="54">'333'!$N$116:$N$117</definedName>
    <definedName name="OSRRefE21_21x_0" localSheetId="47">'Div 3'!$N$132:$N$138</definedName>
    <definedName name="OSRRefE21_21x_0" localSheetId="70">'Div 4'!$N$107:$N$108</definedName>
    <definedName name="OSRRefE21_21x_0" localSheetId="2">Summary!$N$140:$N$141</definedName>
    <definedName name="OSRRefE21_21x_1" localSheetId="48">'300'!$O$131:$O$132</definedName>
    <definedName name="OSRRefE21_21x_1" localSheetId="49">'300 &amp; 317'!$O$137:$O$138</definedName>
    <definedName name="OSRRefE21_21x_1" localSheetId="50">'301'!$O$91:$O$92</definedName>
    <definedName name="OSRRefE21_21x_1" localSheetId="56">'331'!$O$112:$O$113</definedName>
    <definedName name="OSRRefE21_21x_1" localSheetId="54">'333'!$O$116:$O$117</definedName>
    <definedName name="OSRRefE21_21x_1" localSheetId="47">'Div 3'!$O$132:$O$138</definedName>
    <definedName name="OSRRefE21_21x_1" localSheetId="70">'Div 4'!$O$107:$O$108</definedName>
    <definedName name="OSRRefE21_21x_1" localSheetId="2">Summary!$O$140:$O$141</definedName>
    <definedName name="OSRRefE21_22_0x" localSheetId="48">'300'!$N$134:$O$134</definedName>
    <definedName name="OSRRefE21_22_0x" localSheetId="49">'300 &amp; 317'!$N$140:$O$140</definedName>
    <definedName name="OSRRefE21_22_0x" localSheetId="50">'301'!$N$94:$O$94</definedName>
    <definedName name="OSRRefE21_22_0x" localSheetId="56">'331'!$N$115:$O$115</definedName>
    <definedName name="OSRRefE21_22_0x" localSheetId="54">'333'!$N$119:$O$119</definedName>
    <definedName name="OSRRefE21_22_0x" localSheetId="47">'Div 3'!$N$140:$O$140</definedName>
    <definedName name="OSRRefE21_22_0x" localSheetId="70">'Div 4'!$N$110:$O$110</definedName>
    <definedName name="OSRRefE21_22_0x" localSheetId="2">Summary!$N$143:$O$143</definedName>
    <definedName name="OSRRefE21_22_1x" localSheetId="47">'Div 3'!$N$141:$O$141</definedName>
    <definedName name="OSRRefE21_22_1x" localSheetId="2">Summary!$N$144:$O$144</definedName>
    <definedName name="OSRRefE21_22_2x" localSheetId="2">Summary!$N$145:$O$145</definedName>
    <definedName name="OSRRefE21_22_3x" localSheetId="2">Summary!$N$146:$O$146</definedName>
    <definedName name="OSRRefE21_22_4x" localSheetId="2">Summary!$N$147:$O$147</definedName>
    <definedName name="OSRRefE21_22_5x" localSheetId="2">Summary!$N$148:$O$148</definedName>
    <definedName name="OSRRefE21_22_6x" localSheetId="2">Summary!$N$149:$O$149</definedName>
    <definedName name="OSRRefE21_22_7x" localSheetId="2">Summary!$N$150:$O$150</definedName>
    <definedName name="OSRRefE21_22_8x" localSheetId="2">Summary!$N$151:$O$151</definedName>
    <definedName name="OSRRefE21_22_9x" localSheetId="2">Summary!$N$152:$O$152</definedName>
    <definedName name="OSRRefE21_22x_0" localSheetId="48">'300'!$N$134</definedName>
    <definedName name="OSRRefE21_22x_0" localSheetId="49">'300 &amp; 317'!$N$140</definedName>
    <definedName name="OSRRefE21_22x_0" localSheetId="50">'301'!$N$94</definedName>
    <definedName name="OSRRefE21_22x_0" localSheetId="56">'331'!$N$115</definedName>
    <definedName name="OSRRefE21_22x_0" localSheetId="54">'333'!$N$119</definedName>
    <definedName name="OSRRefE21_22x_0" localSheetId="47">'Div 3'!$N$140:$N$141</definedName>
    <definedName name="OSRRefE21_22x_0" localSheetId="70">'Div 4'!$N$110</definedName>
    <definedName name="OSRRefE21_22x_0" localSheetId="2">Summary!$N$143:$N$152</definedName>
    <definedName name="OSRRefE21_22x_1" localSheetId="48">'300'!$O$134</definedName>
    <definedName name="OSRRefE21_22x_1" localSheetId="49">'300 &amp; 317'!$O$140</definedName>
    <definedName name="OSRRefE21_22x_1" localSheetId="50">'301'!$O$94</definedName>
    <definedName name="OSRRefE21_22x_1" localSheetId="56">'331'!$O$115</definedName>
    <definedName name="OSRRefE21_22x_1" localSheetId="54">'333'!$O$119</definedName>
    <definedName name="OSRRefE21_22x_1" localSheetId="47">'Div 3'!$O$140:$O$141</definedName>
    <definedName name="OSRRefE21_22x_1" localSheetId="70">'Div 4'!$O$110</definedName>
    <definedName name="OSRRefE21_22x_1" localSheetId="2">Summary!$O$143:$O$152</definedName>
    <definedName name="OSRRefE21_23_0x" localSheetId="48">'300'!$N$136:$O$136</definedName>
    <definedName name="OSRRefE21_23_0x" localSheetId="49">'300 &amp; 317'!$N$142:$O$142</definedName>
    <definedName name="OSRRefE21_23_0x" localSheetId="47">'Div 3'!$N$143:$O$143</definedName>
    <definedName name="OSRRefE21_23_0x" localSheetId="2">Summary!$N$154:$O$154</definedName>
    <definedName name="OSRRefE21_23_1x" localSheetId="48">'300'!$N$137:$O$137</definedName>
    <definedName name="OSRRefE21_23_1x" localSheetId="49">'300 &amp; 317'!$N$143:$O$143</definedName>
    <definedName name="OSRRefE21_23_1x" localSheetId="2">Summary!$N$155:$O$155</definedName>
    <definedName name="OSRRefE21_23_2x" localSheetId="48">'300'!$N$138:$O$138</definedName>
    <definedName name="OSRRefE21_23_2x" localSheetId="49">'300 &amp; 317'!$N$144:$O$144</definedName>
    <definedName name="OSRRefE21_23x_0" localSheetId="48">'300'!$N$136:$N$138</definedName>
    <definedName name="OSRRefE21_23x_0" localSheetId="49">'300 &amp; 317'!$N$142:$N$144</definedName>
    <definedName name="OSRRefE21_23x_0" localSheetId="47">'Div 3'!$N$143</definedName>
    <definedName name="OSRRefE21_23x_0" localSheetId="2">Summary!$N$154:$N$155</definedName>
    <definedName name="OSRRefE21_23x_1" localSheetId="48">'300'!$O$136:$O$138</definedName>
    <definedName name="OSRRefE21_23x_1" localSheetId="49">'300 &amp; 317'!$O$142:$O$144</definedName>
    <definedName name="OSRRefE21_23x_1" localSheetId="47">'Div 3'!$O$143</definedName>
    <definedName name="OSRRefE21_23x_1" localSheetId="2">Summary!$O$154:$O$155</definedName>
    <definedName name="OSRRefE21_24_0x" localSheetId="48">'300'!$N$140:$O$140</definedName>
    <definedName name="OSRRefE21_24_0x" localSheetId="49">'300 &amp; 317'!$N$146:$O$146</definedName>
    <definedName name="OSRRefE21_24_0x" localSheetId="47">'Div 3'!$N$145:$O$145</definedName>
    <definedName name="OSRRefE21_24_0x" localSheetId="2">Summary!$N$157:$O$157</definedName>
    <definedName name="OSRRefE21_24_1x" localSheetId="47">'Div 3'!$N$146:$O$146</definedName>
    <definedName name="OSRRefE21_24_2x" localSheetId="47">'Div 3'!$N$147:$O$147</definedName>
    <definedName name="OSRRefE21_24x_0" localSheetId="48">'300'!$N$140</definedName>
    <definedName name="OSRRefE21_24x_0" localSheetId="49">'300 &amp; 317'!$N$146</definedName>
    <definedName name="OSRRefE21_24x_0" localSheetId="47">'Div 3'!$N$145:$N$147</definedName>
    <definedName name="OSRRefE21_24x_0" localSheetId="2">Summary!$N$157</definedName>
    <definedName name="OSRRefE21_24x_1" localSheetId="48">'300'!$O$140</definedName>
    <definedName name="OSRRefE21_24x_1" localSheetId="49">'300 &amp; 317'!$O$146</definedName>
    <definedName name="OSRRefE21_24x_1" localSheetId="47">'Div 3'!$O$145:$O$147</definedName>
    <definedName name="OSRRefE21_24x_1" localSheetId="2">Summary!$O$157</definedName>
    <definedName name="OSRRefE21_25_0x" localSheetId="47">'Div 3'!$N$149:$O$149</definedName>
    <definedName name="OSRRefE21_25_0x" localSheetId="2">Summary!$N$159:$O$159</definedName>
    <definedName name="OSRRefE21_25_1x" localSheetId="2">Summary!$N$160:$O$160</definedName>
    <definedName name="OSRRefE21_25_2x" localSheetId="2">Summary!$N$161:$O$161</definedName>
    <definedName name="OSRRefE21_25x_0" localSheetId="47">'Div 3'!$N$149</definedName>
    <definedName name="OSRRefE21_25x_0" localSheetId="2">Summary!$N$159:$N$161</definedName>
    <definedName name="OSRRefE21_25x_1" localSheetId="47">'Div 3'!$O$149</definedName>
    <definedName name="OSRRefE21_25x_1" localSheetId="2">Summary!$O$159:$O$161</definedName>
    <definedName name="OSRRefE21_26_0x" localSheetId="2">Summary!$N$163:$O$163</definedName>
    <definedName name="OSRRefE21_26x_0" localSheetId="2">Summary!$N$163</definedName>
    <definedName name="OSRRefE21_26x_1" localSheetId="2">Summary!$O$163</definedName>
    <definedName name="OSRRefE21_2x_0" localSheetId="40">'200'!$N$23</definedName>
    <definedName name="OSRRefE21_2x_0" localSheetId="41">'201'!$N$40</definedName>
    <definedName name="OSRRefE21_2x_0" localSheetId="42">'202'!$N$40</definedName>
    <definedName name="OSRRefE21_2x_0" localSheetId="43">'203'!$N$41</definedName>
    <definedName name="OSRRefE21_2x_0" localSheetId="44">'204'!$N$40:$N$41</definedName>
    <definedName name="OSRRefE21_2x_0" localSheetId="45">'205'!$N$40</definedName>
    <definedName name="OSRRefE21_2x_0" localSheetId="46">'206'!$N$40</definedName>
    <definedName name="OSRRefE21_2x_0" localSheetId="48">'300'!$N$75</definedName>
    <definedName name="OSRRefE21_2x_0" localSheetId="49">'300 &amp; 317'!$N$81</definedName>
    <definedName name="OSRRefE21_2x_0" localSheetId="50">'301'!$N$42</definedName>
    <definedName name="OSRRefE21_2x_0" localSheetId="55">'307'!$N$54</definedName>
    <definedName name="OSRRefE21_2x_0" localSheetId="51">'308'!$N$56</definedName>
    <definedName name="OSRRefE21_2x_0" localSheetId="64">'309'!$N$31</definedName>
    <definedName name="OSRRefE21_2x_0" localSheetId="63">'310'!$N$50</definedName>
    <definedName name="OSRRefE21_2x_0" localSheetId="71">'310 &amp; 491'!$N$50</definedName>
    <definedName name="OSRRefE21_2x_0" localSheetId="52">'311'!$N$56</definedName>
    <definedName name="OSRRefE21_2x_0" localSheetId="65">'313'!$N$23</definedName>
    <definedName name="OSRRefE21_2x_0" localSheetId="57">'315'!$N$64</definedName>
    <definedName name="OSRRefE21_2x_0" localSheetId="60">'316'!$N$47</definedName>
    <definedName name="OSRRefE21_2x_0" localSheetId="62">'317'!$N$56</definedName>
    <definedName name="OSRRefE21_2x_0" localSheetId="66">'321'!$N$45</definedName>
    <definedName name="OSRRefE21_2x_0" localSheetId="68">'325'!$N$45</definedName>
    <definedName name="OSRRefE21_2x_0" localSheetId="58">'326'!$N$48</definedName>
    <definedName name="OSRRefE21_2x_0" localSheetId="56">'331'!$N$64</definedName>
    <definedName name="OSRRefE21_2x_0" localSheetId="59">'332'!$N$47</definedName>
    <definedName name="OSRRefE21_2x_0" localSheetId="54">'333'!$N$66</definedName>
    <definedName name="OSRRefE21_2x_0" localSheetId="73">'405'!$N$47</definedName>
    <definedName name="OSRRefE21_2x_0" localSheetId="75">'411'!$N$40</definedName>
    <definedName name="OSRRefE21_2x_0" localSheetId="76">'412'!$N$23</definedName>
    <definedName name="OSRRefE21_2x_0" localSheetId="79">'415'!$N$48</definedName>
    <definedName name="OSRRefE21_2x_0" localSheetId="80">'418'!$N$44</definedName>
    <definedName name="OSRRefE21_2x_0" localSheetId="81">'423'!$N$39</definedName>
    <definedName name="OSRRefE21_2x_0" localSheetId="83">'425'!$N$25</definedName>
    <definedName name="OSRRefE21_2x_0" localSheetId="86">'430'!$N$40</definedName>
    <definedName name="OSRRefE21_2x_0" localSheetId="87">'433'!$N$48</definedName>
    <definedName name="OSRRefE21_2x_0" localSheetId="88">'435'!$N$27</definedName>
    <definedName name="OSRRefE21_2x_0" localSheetId="89">'444'!$N$48</definedName>
    <definedName name="OSRRefE21_2x_0" localSheetId="90">'450'!$N$48</definedName>
    <definedName name="OSRRefE21_2x_0" localSheetId="72">'491'!$N$49</definedName>
    <definedName name="OSRRefE21_2x_0" localSheetId="85">'492'!$N$50</definedName>
    <definedName name="OSRRefE21_2x_0" localSheetId="92">'501'!$N$42</definedName>
    <definedName name="OSRRefE21_2x_0" localSheetId="39">'Div 2'!$N$42</definedName>
    <definedName name="OSRRefE21_2x_0" localSheetId="47">'Div 3'!$N$81</definedName>
    <definedName name="OSRRefE21_2x_0" localSheetId="70">'Div 4'!$N$52</definedName>
    <definedName name="OSRRefE21_2x_0" localSheetId="91">'Div 5'!$N$42</definedName>
    <definedName name="OSRRefE21_2x_0" localSheetId="61">'Div 6'!$N$56</definedName>
    <definedName name="OSRRefE21_2x_0" localSheetId="2">Summary!$N$89</definedName>
    <definedName name="OSRRefE21_2x_1" localSheetId="40">'200'!$O$23</definedName>
    <definedName name="OSRRefE21_2x_1" localSheetId="41">'201'!$O$40</definedName>
    <definedName name="OSRRefE21_2x_1" localSheetId="42">'202'!$O$40</definedName>
    <definedName name="OSRRefE21_2x_1" localSheetId="43">'203'!$O$41</definedName>
    <definedName name="OSRRefE21_2x_1" localSheetId="44">'204'!$O$40:$O$41</definedName>
    <definedName name="OSRRefE21_2x_1" localSheetId="45">'205'!$O$40</definedName>
    <definedName name="OSRRefE21_2x_1" localSheetId="46">'206'!$O$40</definedName>
    <definedName name="OSRRefE21_2x_1" localSheetId="48">'300'!$O$75</definedName>
    <definedName name="OSRRefE21_2x_1" localSheetId="49">'300 &amp; 317'!$O$81</definedName>
    <definedName name="OSRRefE21_2x_1" localSheetId="50">'301'!$O$42</definedName>
    <definedName name="OSRRefE21_2x_1" localSheetId="55">'307'!$O$54</definedName>
    <definedName name="OSRRefE21_2x_1" localSheetId="51">'308'!$O$56</definedName>
    <definedName name="OSRRefE21_2x_1" localSheetId="64">'309'!$O$31</definedName>
    <definedName name="OSRRefE21_2x_1" localSheetId="63">'310'!$O$50</definedName>
    <definedName name="OSRRefE21_2x_1" localSheetId="71">'310 &amp; 491'!$O$50</definedName>
    <definedName name="OSRRefE21_2x_1" localSheetId="52">'311'!$O$56</definedName>
    <definedName name="OSRRefE21_2x_1" localSheetId="65">'313'!$O$23</definedName>
    <definedName name="OSRRefE21_2x_1" localSheetId="57">'315'!$O$64</definedName>
    <definedName name="OSRRefE21_2x_1" localSheetId="60">'316'!$O$47</definedName>
    <definedName name="OSRRefE21_2x_1" localSheetId="62">'317'!$O$56</definedName>
    <definedName name="OSRRefE21_2x_1" localSheetId="66">'321'!$O$45</definedName>
    <definedName name="OSRRefE21_2x_1" localSheetId="68">'325'!$O$45</definedName>
    <definedName name="OSRRefE21_2x_1" localSheetId="58">'326'!$O$48</definedName>
    <definedName name="OSRRefE21_2x_1" localSheetId="56">'331'!$O$64</definedName>
    <definedName name="OSRRefE21_2x_1" localSheetId="59">'332'!$O$47</definedName>
    <definedName name="OSRRefE21_2x_1" localSheetId="54">'333'!$O$66</definedName>
    <definedName name="OSRRefE21_2x_1" localSheetId="73">'405'!$O$47</definedName>
    <definedName name="OSRRefE21_2x_1" localSheetId="75">'411'!$O$40</definedName>
    <definedName name="OSRRefE21_2x_1" localSheetId="76">'412'!$O$23</definedName>
    <definedName name="OSRRefE21_2x_1" localSheetId="79">'415'!$O$48</definedName>
    <definedName name="OSRRefE21_2x_1" localSheetId="80">'418'!$O$44</definedName>
    <definedName name="OSRRefE21_2x_1" localSheetId="81">'423'!$O$39</definedName>
    <definedName name="OSRRefE21_2x_1" localSheetId="83">'425'!$O$25</definedName>
    <definedName name="OSRRefE21_2x_1" localSheetId="86">'430'!$O$40</definedName>
    <definedName name="OSRRefE21_2x_1" localSheetId="87">'433'!$O$48</definedName>
    <definedName name="OSRRefE21_2x_1" localSheetId="88">'435'!$O$27</definedName>
    <definedName name="OSRRefE21_2x_1" localSheetId="89">'444'!$O$48</definedName>
    <definedName name="OSRRefE21_2x_1" localSheetId="90">'450'!$O$48</definedName>
    <definedName name="OSRRefE21_2x_1" localSheetId="72">'491'!$O$49</definedName>
    <definedName name="OSRRefE21_2x_1" localSheetId="85">'492'!$O$50</definedName>
    <definedName name="OSRRefE21_2x_1" localSheetId="92">'501'!$O$42</definedName>
    <definedName name="OSRRefE21_2x_1" localSheetId="39">'Div 2'!$O$42</definedName>
    <definedName name="OSRRefE21_2x_1" localSheetId="47">'Div 3'!$O$81</definedName>
    <definedName name="OSRRefE21_2x_1" localSheetId="70">'Div 4'!$O$52</definedName>
    <definedName name="OSRRefE21_2x_1" localSheetId="91">'Div 5'!$O$42</definedName>
    <definedName name="OSRRefE21_2x_1" localSheetId="61">'Div 6'!$O$56</definedName>
    <definedName name="OSRRefE21_2x_1" localSheetId="2">Summary!$O$89</definedName>
    <definedName name="OSRRefE21_3_0x" localSheetId="40">'200'!$N$25:$O$25</definedName>
    <definedName name="OSRRefE21_3_0x" localSheetId="41">'201'!$N$42:$O$42</definedName>
    <definedName name="OSRRefE21_3_0x" localSheetId="42">'202'!$N$42:$O$42</definedName>
    <definedName name="OSRRefE21_3_0x" localSheetId="43">'203'!$N$43:$O$43</definedName>
    <definedName name="OSRRefE21_3_0x" localSheetId="44">'204'!$N$43:$O$43</definedName>
    <definedName name="OSRRefE21_3_0x" localSheetId="45">'205'!$N$42:$O$42</definedName>
    <definedName name="OSRRefE21_3_0x" localSheetId="46">'206'!$N$42:$O$42</definedName>
    <definedName name="OSRRefE21_3_0x" localSheetId="48">'300'!$N$77:$O$77</definedName>
    <definedName name="OSRRefE21_3_0x" localSheetId="49">'300 &amp; 317'!$N$83:$O$83</definedName>
    <definedName name="OSRRefE21_3_0x" localSheetId="50">'301'!$N$44:$O$44</definedName>
    <definedName name="OSRRefE21_3_0x" localSheetId="55">'307'!$N$56:$O$56</definedName>
    <definedName name="OSRRefE21_3_0x" localSheetId="51">'308'!$N$58:$O$58</definedName>
    <definedName name="OSRRefE21_3_0x" localSheetId="64">'309'!$N$33:$O$33</definedName>
    <definedName name="OSRRefE21_3_0x" localSheetId="63">'310'!$N$52:$O$52</definedName>
    <definedName name="OSRRefE21_3_0x" localSheetId="71">'310 &amp; 491'!$N$52:$O$52</definedName>
    <definedName name="OSRRefE21_3_0x" localSheetId="52">'311'!$N$58:$O$58</definedName>
    <definedName name="OSRRefE21_3_0x" localSheetId="57">'315'!$N$66:$O$66</definedName>
    <definedName name="OSRRefE21_3_0x" localSheetId="60">'316'!$N$49:$O$49</definedName>
    <definedName name="OSRRefE21_3_0x" localSheetId="62">'317'!$N$58:$O$58</definedName>
    <definedName name="OSRRefE21_3_0x" localSheetId="66">'321'!$N$47:$O$47</definedName>
    <definedName name="OSRRefE21_3_0x" localSheetId="68">'325'!$N$47:$O$47</definedName>
    <definedName name="OSRRefE21_3_0x" localSheetId="58">'326'!$N$50:$O$50</definedName>
    <definedName name="OSRRefE21_3_0x" localSheetId="56">'331'!$N$66:$O$66</definedName>
    <definedName name="OSRRefE21_3_0x" localSheetId="59">'332'!$N$49:$O$49</definedName>
    <definedName name="OSRRefE21_3_0x" localSheetId="54">'333'!$N$68:$O$68</definedName>
    <definedName name="OSRRefE21_3_0x" localSheetId="73">'405'!$N$49:$O$49</definedName>
    <definedName name="OSRRefE21_3_0x" localSheetId="75">'411'!$N$42:$O$42</definedName>
    <definedName name="OSRRefE21_3_0x" localSheetId="76">'412'!$N$25:$O$25</definedName>
    <definedName name="OSRRefE21_3_0x" localSheetId="79">'415'!$N$50:$O$50</definedName>
    <definedName name="OSRRefE21_3_0x" localSheetId="80">'418'!$N$46:$O$46</definedName>
    <definedName name="OSRRefE21_3_0x" localSheetId="81">'423'!$N$41:$O$41</definedName>
    <definedName name="OSRRefE21_3_0x" localSheetId="83">'425'!$N$27:$O$27</definedName>
    <definedName name="OSRRefE21_3_0x" localSheetId="86">'430'!$N$42:$O$42</definedName>
    <definedName name="OSRRefE21_3_0x" localSheetId="87">'433'!$N$50:$O$50</definedName>
    <definedName name="OSRRefE21_3_0x" localSheetId="88">'435'!$N$29:$O$29</definedName>
    <definedName name="OSRRefE21_3_0x" localSheetId="89">'444'!$N$50:$O$50</definedName>
    <definedName name="OSRRefE21_3_0x" localSheetId="90">'450'!$N$50:$O$50</definedName>
    <definedName name="OSRRefE21_3_0x" localSheetId="72">'491'!$N$51:$O$51</definedName>
    <definedName name="OSRRefE21_3_0x" localSheetId="85">'492'!$N$52:$O$52</definedName>
    <definedName name="OSRRefE21_3_0x" localSheetId="92">'501'!$N$44:$O$44</definedName>
    <definedName name="OSRRefE21_3_0x" localSheetId="39">'Div 2'!$N$44:$O$44</definedName>
    <definedName name="OSRRefE21_3_0x" localSheetId="47">'Div 3'!$N$83:$O$83</definedName>
    <definedName name="OSRRefE21_3_0x" localSheetId="70">'Div 4'!$N$54:$O$54</definedName>
    <definedName name="OSRRefE21_3_0x" localSheetId="91">'Div 5'!$N$44:$O$44</definedName>
    <definedName name="OSRRefE21_3_0x" localSheetId="61">'Div 6'!$N$58:$O$58</definedName>
    <definedName name="OSRRefE21_3_0x" localSheetId="2">Summary!$N$91:$O$91</definedName>
    <definedName name="OSRRefE21_3_1x" localSheetId="46">'206'!$N$43:$O$43</definedName>
    <definedName name="OSRRefE21_3_1x" localSheetId="75">'411'!$N$43:$O$43</definedName>
    <definedName name="OSRRefE21_3x_0" localSheetId="40">'200'!$N$25</definedName>
    <definedName name="OSRRefE21_3x_0" localSheetId="41">'201'!$N$42</definedName>
    <definedName name="OSRRefE21_3x_0" localSheetId="42">'202'!$N$42</definedName>
    <definedName name="OSRRefE21_3x_0" localSheetId="43">'203'!$N$43</definedName>
    <definedName name="OSRRefE21_3x_0" localSheetId="44">'204'!$N$43</definedName>
    <definedName name="OSRRefE21_3x_0" localSheetId="45">'205'!$N$42</definedName>
    <definedName name="OSRRefE21_3x_0" localSheetId="46">'206'!$N$42:$N$43</definedName>
    <definedName name="OSRRefE21_3x_0" localSheetId="48">'300'!$N$77</definedName>
    <definedName name="OSRRefE21_3x_0" localSheetId="49">'300 &amp; 317'!$N$83</definedName>
    <definedName name="OSRRefE21_3x_0" localSheetId="50">'301'!$N$44</definedName>
    <definedName name="OSRRefE21_3x_0" localSheetId="55">'307'!$N$56</definedName>
    <definedName name="OSRRefE21_3x_0" localSheetId="51">'308'!$N$58</definedName>
    <definedName name="OSRRefE21_3x_0" localSheetId="64">'309'!$N$33</definedName>
    <definedName name="OSRRefE21_3x_0" localSheetId="63">'310'!$N$52</definedName>
    <definedName name="OSRRefE21_3x_0" localSheetId="71">'310 &amp; 491'!$N$52</definedName>
    <definedName name="OSRRefE21_3x_0" localSheetId="52">'311'!$N$58</definedName>
    <definedName name="OSRRefE21_3x_0" localSheetId="57">'315'!$N$66</definedName>
    <definedName name="OSRRefE21_3x_0" localSheetId="60">'316'!$N$49</definedName>
    <definedName name="OSRRefE21_3x_0" localSheetId="62">'317'!$N$58</definedName>
    <definedName name="OSRRefE21_3x_0" localSheetId="66">'321'!$N$47</definedName>
    <definedName name="OSRRefE21_3x_0" localSheetId="68">'325'!$N$47</definedName>
    <definedName name="OSRRefE21_3x_0" localSheetId="58">'326'!$N$50</definedName>
    <definedName name="OSRRefE21_3x_0" localSheetId="56">'331'!$N$66</definedName>
    <definedName name="OSRRefE21_3x_0" localSheetId="59">'332'!$N$49</definedName>
    <definedName name="OSRRefE21_3x_0" localSheetId="54">'333'!$N$68</definedName>
    <definedName name="OSRRefE21_3x_0" localSheetId="73">'405'!$N$49</definedName>
    <definedName name="OSRRefE21_3x_0" localSheetId="75">'411'!$N$42:$N$43</definedName>
    <definedName name="OSRRefE21_3x_0" localSheetId="76">'412'!$N$25</definedName>
    <definedName name="OSRRefE21_3x_0" localSheetId="79">'415'!$N$50</definedName>
    <definedName name="OSRRefE21_3x_0" localSheetId="80">'418'!$N$46</definedName>
    <definedName name="OSRRefE21_3x_0" localSheetId="81">'423'!$N$41</definedName>
    <definedName name="OSRRefE21_3x_0" localSheetId="83">'425'!$N$27</definedName>
    <definedName name="OSRRefE21_3x_0" localSheetId="86">'430'!$N$42</definedName>
    <definedName name="OSRRefE21_3x_0" localSheetId="87">'433'!$N$50</definedName>
    <definedName name="OSRRefE21_3x_0" localSheetId="88">'435'!$N$29</definedName>
    <definedName name="OSRRefE21_3x_0" localSheetId="89">'444'!$N$50</definedName>
    <definedName name="OSRRefE21_3x_0" localSheetId="90">'450'!$N$50</definedName>
    <definedName name="OSRRefE21_3x_0" localSheetId="72">'491'!$N$51</definedName>
    <definedName name="OSRRefE21_3x_0" localSheetId="85">'492'!$N$52</definedName>
    <definedName name="OSRRefE21_3x_0" localSheetId="92">'501'!$N$44</definedName>
    <definedName name="OSRRefE21_3x_0" localSheetId="39">'Div 2'!$N$44</definedName>
    <definedName name="OSRRefE21_3x_0" localSheetId="47">'Div 3'!$N$83</definedName>
    <definedName name="OSRRefE21_3x_0" localSheetId="70">'Div 4'!$N$54</definedName>
    <definedName name="OSRRefE21_3x_0" localSheetId="91">'Div 5'!$N$44</definedName>
    <definedName name="OSRRefE21_3x_0" localSheetId="61">'Div 6'!$N$58</definedName>
    <definedName name="OSRRefE21_3x_0" localSheetId="2">Summary!$N$91</definedName>
    <definedName name="OSRRefE21_3x_1" localSheetId="40">'200'!$O$25</definedName>
    <definedName name="OSRRefE21_3x_1" localSheetId="41">'201'!$O$42</definedName>
    <definedName name="OSRRefE21_3x_1" localSheetId="42">'202'!$O$42</definedName>
    <definedName name="OSRRefE21_3x_1" localSheetId="43">'203'!$O$43</definedName>
    <definedName name="OSRRefE21_3x_1" localSheetId="44">'204'!$O$43</definedName>
    <definedName name="OSRRefE21_3x_1" localSheetId="45">'205'!$O$42</definedName>
    <definedName name="OSRRefE21_3x_1" localSheetId="46">'206'!$O$42:$O$43</definedName>
    <definedName name="OSRRefE21_3x_1" localSheetId="48">'300'!$O$77</definedName>
    <definedName name="OSRRefE21_3x_1" localSheetId="49">'300 &amp; 317'!$O$83</definedName>
    <definedName name="OSRRefE21_3x_1" localSheetId="50">'301'!$O$44</definedName>
    <definedName name="OSRRefE21_3x_1" localSheetId="55">'307'!$O$56</definedName>
    <definedName name="OSRRefE21_3x_1" localSheetId="51">'308'!$O$58</definedName>
    <definedName name="OSRRefE21_3x_1" localSheetId="64">'309'!$O$33</definedName>
    <definedName name="OSRRefE21_3x_1" localSheetId="63">'310'!$O$52</definedName>
    <definedName name="OSRRefE21_3x_1" localSheetId="71">'310 &amp; 491'!$O$52</definedName>
    <definedName name="OSRRefE21_3x_1" localSheetId="52">'311'!$O$58</definedName>
    <definedName name="OSRRefE21_3x_1" localSheetId="57">'315'!$O$66</definedName>
    <definedName name="OSRRefE21_3x_1" localSheetId="60">'316'!$O$49</definedName>
    <definedName name="OSRRefE21_3x_1" localSheetId="62">'317'!$O$58</definedName>
    <definedName name="OSRRefE21_3x_1" localSheetId="66">'321'!$O$47</definedName>
    <definedName name="OSRRefE21_3x_1" localSheetId="68">'325'!$O$47</definedName>
    <definedName name="OSRRefE21_3x_1" localSheetId="58">'326'!$O$50</definedName>
    <definedName name="OSRRefE21_3x_1" localSheetId="56">'331'!$O$66</definedName>
    <definedName name="OSRRefE21_3x_1" localSheetId="59">'332'!$O$49</definedName>
    <definedName name="OSRRefE21_3x_1" localSheetId="54">'333'!$O$68</definedName>
    <definedName name="OSRRefE21_3x_1" localSheetId="73">'405'!$O$49</definedName>
    <definedName name="OSRRefE21_3x_1" localSheetId="75">'411'!$O$42:$O$43</definedName>
    <definedName name="OSRRefE21_3x_1" localSheetId="76">'412'!$O$25</definedName>
    <definedName name="OSRRefE21_3x_1" localSheetId="79">'415'!$O$50</definedName>
    <definedName name="OSRRefE21_3x_1" localSheetId="80">'418'!$O$46</definedName>
    <definedName name="OSRRefE21_3x_1" localSheetId="81">'423'!$O$41</definedName>
    <definedName name="OSRRefE21_3x_1" localSheetId="83">'425'!$O$27</definedName>
    <definedName name="OSRRefE21_3x_1" localSheetId="86">'430'!$O$42</definedName>
    <definedName name="OSRRefE21_3x_1" localSheetId="87">'433'!$O$50</definedName>
    <definedName name="OSRRefE21_3x_1" localSheetId="88">'435'!$O$29</definedName>
    <definedName name="OSRRefE21_3x_1" localSheetId="89">'444'!$O$50</definedName>
    <definedName name="OSRRefE21_3x_1" localSheetId="90">'450'!$O$50</definedName>
    <definedName name="OSRRefE21_3x_1" localSheetId="72">'491'!$O$51</definedName>
    <definedName name="OSRRefE21_3x_1" localSheetId="85">'492'!$O$52</definedName>
    <definedName name="OSRRefE21_3x_1" localSheetId="92">'501'!$O$44</definedName>
    <definedName name="OSRRefE21_3x_1" localSheetId="39">'Div 2'!$O$44</definedName>
    <definedName name="OSRRefE21_3x_1" localSheetId="47">'Div 3'!$O$83</definedName>
    <definedName name="OSRRefE21_3x_1" localSheetId="70">'Div 4'!$O$54</definedName>
    <definedName name="OSRRefE21_3x_1" localSheetId="91">'Div 5'!$O$44</definedName>
    <definedName name="OSRRefE21_3x_1" localSheetId="61">'Div 6'!$O$58</definedName>
    <definedName name="OSRRefE21_3x_1" localSheetId="2">Summary!$O$91</definedName>
    <definedName name="OSRRefE21_4_0x" localSheetId="41">'201'!$N$44:$O$44</definedName>
    <definedName name="OSRRefE21_4_0x" localSheetId="42">'202'!$N$44:$O$44</definedName>
    <definedName name="OSRRefE21_4_0x" localSheetId="43">'203'!$N$45:$O$45</definedName>
    <definedName name="OSRRefE21_4_0x" localSheetId="44">'204'!$N$45:$O$45</definedName>
    <definedName name="OSRRefE21_4_0x" localSheetId="45">'205'!$N$44:$O$44</definedName>
    <definedName name="OSRRefE21_4_0x" localSheetId="46">'206'!$N$45:$O$45</definedName>
    <definedName name="OSRRefE21_4_0x" localSheetId="48">'300'!$N$79:$O$79</definedName>
    <definedName name="OSRRefE21_4_0x" localSheetId="49">'300 &amp; 317'!$N$85:$O$85</definedName>
    <definedName name="OSRRefE21_4_0x" localSheetId="50">'301'!$N$46:$O$46</definedName>
    <definedName name="OSRRefE21_4_0x" localSheetId="55">'307'!$N$58:$O$58</definedName>
    <definedName name="OSRRefE21_4_0x" localSheetId="51">'308'!$N$60:$O$60</definedName>
    <definedName name="OSRRefE21_4_0x" localSheetId="64">'309'!$N$35:$O$35</definedName>
    <definedName name="OSRRefE21_4_0x" localSheetId="63">'310'!$N$54:$O$54</definedName>
    <definedName name="OSRRefE21_4_0x" localSheetId="71">'310 &amp; 491'!$N$54:$O$54</definedName>
    <definedName name="OSRRefE21_4_0x" localSheetId="52">'311'!$N$60:$O$60</definedName>
    <definedName name="OSRRefE21_4_0x" localSheetId="57">'315'!$N$68:$O$68</definedName>
    <definedName name="OSRRefE21_4_0x" localSheetId="60">'316'!$N$51:$O$51</definedName>
    <definedName name="OSRRefE21_4_0x" localSheetId="62">'317'!$N$60:$O$60</definedName>
    <definedName name="OSRRefE21_4_0x" localSheetId="66">'321'!$N$49:$O$49</definedName>
    <definedName name="OSRRefE21_4_0x" localSheetId="68">'325'!$N$49:$O$49</definedName>
    <definedName name="OSRRefE21_4_0x" localSheetId="58">'326'!$N$52:$O$52</definedName>
    <definedName name="OSRRefE21_4_0x" localSheetId="56">'331'!$N$68:$O$68</definedName>
    <definedName name="OSRRefE21_4_0x" localSheetId="59">'332'!$N$51:$O$51</definedName>
    <definedName name="OSRRefE21_4_0x" localSheetId="54">'333'!$N$70:$O$70</definedName>
    <definedName name="OSRRefE21_4_0x" localSheetId="73">'405'!$N$51:$O$51</definedName>
    <definedName name="OSRRefE21_4_0x" localSheetId="75">'411'!$N$45:$O$45</definedName>
    <definedName name="OSRRefE21_4_0x" localSheetId="79">'415'!$N$52:$O$52</definedName>
    <definedName name="OSRRefE21_4_0x" localSheetId="80">'418'!$N$48:$O$48</definedName>
    <definedName name="OSRRefE21_4_0x" localSheetId="81">'423'!$N$43:$O$43</definedName>
    <definedName name="OSRRefE21_4_0x" localSheetId="83">'425'!$N$29:$O$29</definedName>
    <definedName name="OSRRefE21_4_0x" localSheetId="86">'430'!$N$44:$O$44</definedName>
    <definedName name="OSRRefE21_4_0x" localSheetId="87">'433'!$N$52:$O$52</definedName>
    <definedName name="OSRRefE21_4_0x" localSheetId="88">'435'!$N$31:$O$31</definedName>
    <definedName name="OSRRefE21_4_0x" localSheetId="89">'444'!$N$52:$O$52</definedName>
    <definedName name="OSRRefE21_4_0x" localSheetId="90">'450'!$N$52:$O$52</definedName>
    <definedName name="OSRRefE21_4_0x" localSheetId="72">'491'!$N$53:$O$53</definedName>
    <definedName name="OSRRefE21_4_0x" localSheetId="85">'492'!$N$54:$O$54</definedName>
    <definedName name="OSRRefE21_4_0x" localSheetId="92">'501'!$N$46:$O$46</definedName>
    <definedName name="OSRRefE21_4_0x" localSheetId="39">'Div 2'!$N$46:$O$46</definedName>
    <definedName name="OSRRefE21_4_0x" localSheetId="47">'Div 3'!$N$85:$O$85</definedName>
    <definedName name="OSRRefE21_4_0x" localSheetId="70">'Div 4'!$N$56:$O$56</definedName>
    <definedName name="OSRRefE21_4_0x" localSheetId="91">'Div 5'!$N$46:$O$46</definedName>
    <definedName name="OSRRefE21_4_0x" localSheetId="61">'Div 6'!$N$60:$O$60</definedName>
    <definedName name="OSRRefE21_4_0x" localSheetId="2">Summary!$N$93:$O$93</definedName>
    <definedName name="OSRRefE21_4_1x" localSheetId="44">'204'!$N$46:$O$46</definedName>
    <definedName name="OSRRefE21_4_1x" localSheetId="45">'205'!$N$45:$O$45</definedName>
    <definedName name="OSRRefE21_4_1x" localSheetId="80">'418'!$N$49:$O$49</definedName>
    <definedName name="OSRRefE21_4_2x" localSheetId="44">'204'!$N$47:$O$47</definedName>
    <definedName name="OSRRefE21_4_3x" localSheetId="44">'204'!$N$48:$O$48</definedName>
    <definedName name="OSRRefE21_4x_0" localSheetId="41">'201'!$N$44</definedName>
    <definedName name="OSRRefE21_4x_0" localSheetId="42">'202'!$N$44</definedName>
    <definedName name="OSRRefE21_4x_0" localSheetId="43">'203'!$N$45</definedName>
    <definedName name="OSRRefE21_4x_0" localSheetId="44">'204'!$N$45:$N$48</definedName>
    <definedName name="OSRRefE21_4x_0" localSheetId="45">'205'!$N$44:$N$45</definedName>
    <definedName name="OSRRefE21_4x_0" localSheetId="46">'206'!$N$45</definedName>
    <definedName name="OSRRefE21_4x_0" localSheetId="48">'300'!$N$79</definedName>
    <definedName name="OSRRefE21_4x_0" localSheetId="49">'300 &amp; 317'!$N$85</definedName>
    <definedName name="OSRRefE21_4x_0" localSheetId="50">'301'!$N$46</definedName>
    <definedName name="OSRRefE21_4x_0" localSheetId="55">'307'!$N$58</definedName>
    <definedName name="OSRRefE21_4x_0" localSheetId="51">'308'!$N$60</definedName>
    <definedName name="OSRRefE21_4x_0" localSheetId="64">'309'!$N$35</definedName>
    <definedName name="OSRRefE21_4x_0" localSheetId="63">'310'!$N$54</definedName>
    <definedName name="OSRRefE21_4x_0" localSheetId="71">'310 &amp; 491'!$N$54</definedName>
    <definedName name="OSRRefE21_4x_0" localSheetId="52">'311'!$N$60</definedName>
    <definedName name="OSRRefE21_4x_0" localSheetId="57">'315'!$N$68</definedName>
    <definedName name="OSRRefE21_4x_0" localSheetId="60">'316'!$N$51</definedName>
    <definedName name="OSRRefE21_4x_0" localSheetId="62">'317'!$N$60</definedName>
    <definedName name="OSRRefE21_4x_0" localSheetId="66">'321'!$N$49</definedName>
    <definedName name="OSRRefE21_4x_0" localSheetId="68">'325'!$N$49</definedName>
    <definedName name="OSRRefE21_4x_0" localSheetId="58">'326'!$N$52</definedName>
    <definedName name="OSRRefE21_4x_0" localSheetId="56">'331'!$N$68</definedName>
    <definedName name="OSRRefE21_4x_0" localSheetId="59">'332'!$N$51</definedName>
    <definedName name="OSRRefE21_4x_0" localSheetId="54">'333'!$N$70</definedName>
    <definedName name="OSRRefE21_4x_0" localSheetId="73">'405'!$N$51</definedName>
    <definedName name="OSRRefE21_4x_0" localSheetId="75">'411'!$N$45</definedName>
    <definedName name="OSRRefE21_4x_0" localSheetId="79">'415'!$N$52</definedName>
    <definedName name="OSRRefE21_4x_0" localSheetId="80">'418'!$N$48:$N$49</definedName>
    <definedName name="OSRRefE21_4x_0" localSheetId="81">'423'!$N$43</definedName>
    <definedName name="OSRRefE21_4x_0" localSheetId="83">'425'!$N$29</definedName>
    <definedName name="OSRRefE21_4x_0" localSheetId="86">'430'!$N$44</definedName>
    <definedName name="OSRRefE21_4x_0" localSheetId="87">'433'!$N$52</definedName>
    <definedName name="OSRRefE21_4x_0" localSheetId="88">'435'!$N$31</definedName>
    <definedName name="OSRRefE21_4x_0" localSheetId="89">'444'!$N$52</definedName>
    <definedName name="OSRRefE21_4x_0" localSheetId="90">'450'!$N$52</definedName>
    <definedName name="OSRRefE21_4x_0" localSheetId="72">'491'!$N$53</definedName>
    <definedName name="OSRRefE21_4x_0" localSheetId="85">'492'!$N$54</definedName>
    <definedName name="OSRRefE21_4x_0" localSheetId="92">'501'!$N$46</definedName>
    <definedName name="OSRRefE21_4x_0" localSheetId="39">'Div 2'!$N$46</definedName>
    <definedName name="OSRRefE21_4x_0" localSheetId="47">'Div 3'!$N$85</definedName>
    <definedName name="OSRRefE21_4x_0" localSheetId="70">'Div 4'!$N$56</definedName>
    <definedName name="OSRRefE21_4x_0" localSheetId="91">'Div 5'!$N$46</definedName>
    <definedName name="OSRRefE21_4x_0" localSheetId="61">'Div 6'!$N$60</definedName>
    <definedName name="OSRRefE21_4x_0" localSheetId="2">Summary!$N$93</definedName>
    <definedName name="OSRRefE21_4x_1" localSheetId="41">'201'!$O$44</definedName>
    <definedName name="OSRRefE21_4x_1" localSheetId="42">'202'!$O$44</definedName>
    <definedName name="OSRRefE21_4x_1" localSheetId="43">'203'!$O$45</definedName>
    <definedName name="OSRRefE21_4x_1" localSheetId="44">'204'!$O$45:$O$48</definedName>
    <definedName name="OSRRefE21_4x_1" localSheetId="45">'205'!$O$44:$O$45</definedName>
    <definedName name="OSRRefE21_4x_1" localSheetId="46">'206'!$O$45</definedName>
    <definedName name="OSRRefE21_4x_1" localSheetId="48">'300'!$O$79</definedName>
    <definedName name="OSRRefE21_4x_1" localSheetId="49">'300 &amp; 317'!$O$85</definedName>
    <definedName name="OSRRefE21_4x_1" localSheetId="50">'301'!$O$46</definedName>
    <definedName name="OSRRefE21_4x_1" localSheetId="55">'307'!$O$58</definedName>
    <definedName name="OSRRefE21_4x_1" localSheetId="51">'308'!$O$60</definedName>
    <definedName name="OSRRefE21_4x_1" localSheetId="64">'309'!$O$35</definedName>
    <definedName name="OSRRefE21_4x_1" localSheetId="63">'310'!$O$54</definedName>
    <definedName name="OSRRefE21_4x_1" localSheetId="71">'310 &amp; 491'!$O$54</definedName>
    <definedName name="OSRRefE21_4x_1" localSheetId="52">'311'!$O$60</definedName>
    <definedName name="OSRRefE21_4x_1" localSheetId="57">'315'!$O$68</definedName>
    <definedName name="OSRRefE21_4x_1" localSheetId="60">'316'!$O$51</definedName>
    <definedName name="OSRRefE21_4x_1" localSheetId="62">'317'!$O$60</definedName>
    <definedName name="OSRRefE21_4x_1" localSheetId="66">'321'!$O$49</definedName>
    <definedName name="OSRRefE21_4x_1" localSheetId="68">'325'!$O$49</definedName>
    <definedName name="OSRRefE21_4x_1" localSheetId="58">'326'!$O$52</definedName>
    <definedName name="OSRRefE21_4x_1" localSheetId="56">'331'!$O$68</definedName>
    <definedName name="OSRRefE21_4x_1" localSheetId="59">'332'!$O$51</definedName>
    <definedName name="OSRRefE21_4x_1" localSheetId="54">'333'!$O$70</definedName>
    <definedName name="OSRRefE21_4x_1" localSheetId="73">'405'!$O$51</definedName>
    <definedName name="OSRRefE21_4x_1" localSheetId="75">'411'!$O$45</definedName>
    <definedName name="OSRRefE21_4x_1" localSheetId="79">'415'!$O$52</definedName>
    <definedName name="OSRRefE21_4x_1" localSheetId="80">'418'!$O$48:$O$49</definedName>
    <definedName name="OSRRefE21_4x_1" localSheetId="81">'423'!$O$43</definedName>
    <definedName name="OSRRefE21_4x_1" localSheetId="83">'425'!$O$29</definedName>
    <definedName name="OSRRefE21_4x_1" localSheetId="86">'430'!$O$44</definedName>
    <definedName name="OSRRefE21_4x_1" localSheetId="87">'433'!$O$52</definedName>
    <definedName name="OSRRefE21_4x_1" localSheetId="88">'435'!$O$31</definedName>
    <definedName name="OSRRefE21_4x_1" localSheetId="89">'444'!$O$52</definedName>
    <definedName name="OSRRefE21_4x_1" localSheetId="90">'450'!$O$52</definedName>
    <definedName name="OSRRefE21_4x_1" localSheetId="72">'491'!$O$53</definedName>
    <definedName name="OSRRefE21_4x_1" localSheetId="85">'492'!$O$54</definedName>
    <definedName name="OSRRefE21_4x_1" localSheetId="92">'501'!$O$46</definedName>
    <definedName name="OSRRefE21_4x_1" localSheetId="39">'Div 2'!$O$46</definedName>
    <definedName name="OSRRefE21_4x_1" localSheetId="47">'Div 3'!$O$85</definedName>
    <definedName name="OSRRefE21_4x_1" localSheetId="70">'Div 4'!$O$56</definedName>
    <definedName name="OSRRefE21_4x_1" localSheetId="91">'Div 5'!$O$46</definedName>
    <definedName name="OSRRefE21_4x_1" localSheetId="61">'Div 6'!$O$60</definedName>
    <definedName name="OSRRefE21_4x_1" localSheetId="2">Summary!$O$93</definedName>
    <definedName name="OSRRefE21_5_0x" localSheetId="41">'201'!$N$46:$O$46</definedName>
    <definedName name="OSRRefE21_5_0x" localSheetId="42">'202'!$N$46:$O$46</definedName>
    <definedName name="OSRRefE21_5_0x" localSheetId="43">'203'!$N$47:$O$47</definedName>
    <definedName name="OSRRefE21_5_0x" localSheetId="44">'204'!$N$50:$O$50</definedName>
    <definedName name="OSRRefE21_5_0x" localSheetId="45">'205'!$N$47:$O$47</definedName>
    <definedName name="OSRRefE21_5_0x" localSheetId="46">'206'!$N$47:$O$47</definedName>
    <definedName name="OSRRefE21_5_0x" localSheetId="48">'300'!$N$81:$O$81</definedName>
    <definedName name="OSRRefE21_5_0x" localSheetId="49">'300 &amp; 317'!$N$87:$O$87</definedName>
    <definedName name="OSRRefE21_5_0x" localSheetId="50">'301'!$N$48:$O$48</definedName>
    <definedName name="OSRRefE21_5_0x" localSheetId="55">'307'!$N$60:$O$60</definedName>
    <definedName name="OSRRefE21_5_0x" localSheetId="51">'308'!$N$62:$O$62</definedName>
    <definedName name="OSRRefE21_5_0x" localSheetId="64">'309'!$N$37:$O$37</definedName>
    <definedName name="OSRRefE21_5_0x" localSheetId="63">'310'!$N$56:$O$56</definedName>
    <definedName name="OSRRefE21_5_0x" localSheetId="71">'310 &amp; 491'!$N$56:$O$56</definedName>
    <definedName name="OSRRefE21_5_0x" localSheetId="52">'311'!$N$62:$O$62</definedName>
    <definedName name="OSRRefE21_5_0x" localSheetId="57">'315'!$N$70:$O$70</definedName>
    <definedName name="OSRRefE21_5_0x" localSheetId="60">'316'!$N$53:$O$53</definedName>
    <definedName name="OSRRefE21_5_0x" localSheetId="62">'317'!$N$62:$O$62</definedName>
    <definedName name="OSRRefE21_5_0x" localSheetId="66">'321'!$N$51:$O$51</definedName>
    <definedName name="OSRRefE21_5_0x" localSheetId="68">'325'!$N$51:$O$51</definedName>
    <definedName name="OSRRefE21_5_0x" localSheetId="58">'326'!$N$54:$O$54</definedName>
    <definedName name="OSRRefE21_5_0x" localSheetId="56">'331'!$N$70:$O$70</definedName>
    <definedName name="OSRRefE21_5_0x" localSheetId="59">'332'!$N$53:$O$53</definedName>
    <definedName name="OSRRefE21_5_0x" localSheetId="54">'333'!$N$72:$O$72</definedName>
    <definedName name="OSRRefE21_5_0x" localSheetId="73">'405'!$N$53:$O$53</definedName>
    <definedName name="OSRRefE21_5_0x" localSheetId="75">'411'!$N$47:$O$47</definedName>
    <definedName name="OSRRefE21_5_0x" localSheetId="79">'415'!$N$54:$O$54</definedName>
    <definedName name="OSRRefE21_5_0x" localSheetId="80">'418'!$N$51:$O$51</definedName>
    <definedName name="OSRRefE21_5_0x" localSheetId="86">'430'!$N$46:$O$46</definedName>
    <definedName name="OSRRefE21_5_0x" localSheetId="87">'433'!$N$54:$O$54</definedName>
    <definedName name="OSRRefE21_5_0x" localSheetId="89">'444'!$N$54:$O$54</definedName>
    <definedName name="OSRRefE21_5_0x" localSheetId="90">'450'!$N$54:$O$54</definedName>
    <definedName name="OSRRefE21_5_0x" localSheetId="72">'491'!$N$55:$O$55</definedName>
    <definedName name="OSRRefE21_5_0x" localSheetId="85">'492'!$N$56:$O$56</definedName>
    <definedName name="OSRRefE21_5_0x" localSheetId="92">'501'!$N$48:$O$48</definedName>
    <definedName name="OSRRefE21_5_0x" localSheetId="39">'Div 2'!$N$48:$O$48</definedName>
    <definedName name="OSRRefE21_5_0x" localSheetId="47">'Div 3'!$N$87:$O$87</definedName>
    <definedName name="OSRRefE21_5_0x" localSheetId="70">'Div 4'!$N$58:$O$58</definedName>
    <definedName name="OSRRefE21_5_0x" localSheetId="91">'Div 5'!$N$48:$O$48</definedName>
    <definedName name="OSRRefE21_5_0x" localSheetId="61">'Div 6'!$N$62:$O$62</definedName>
    <definedName name="OSRRefE21_5_0x" localSheetId="2">Summary!$N$95:$O$95</definedName>
    <definedName name="OSRRefE21_5_1x" localSheetId="46">'206'!$N$48:$O$48</definedName>
    <definedName name="OSRRefE21_5_1x" localSheetId="48">'300'!$N$82:$O$82</definedName>
    <definedName name="OSRRefE21_5_1x" localSheetId="49">'300 &amp; 317'!$N$88:$O$88</definedName>
    <definedName name="OSRRefE21_5_1x" localSheetId="50">'301'!$N$49:$O$49</definedName>
    <definedName name="OSRRefE21_5_1x" localSheetId="63">'310'!$N$57:$O$57</definedName>
    <definedName name="OSRRefE21_5_1x" localSheetId="71">'310 &amp; 491'!$N$57:$O$57</definedName>
    <definedName name="OSRRefE21_5_1x" localSheetId="60">'316'!$N$54:$O$54</definedName>
    <definedName name="OSRRefE21_5_1x" localSheetId="68">'325'!$N$52:$O$52</definedName>
    <definedName name="OSRRefE21_5_1x" localSheetId="59">'332'!$N$54:$O$54</definedName>
    <definedName name="OSRRefE21_5_1x" localSheetId="73">'405'!$N$54:$O$54</definedName>
    <definedName name="OSRRefE21_5_1x" localSheetId="79">'415'!$N$55:$O$55</definedName>
    <definedName name="OSRRefE21_5_1x" localSheetId="86">'430'!$N$47:$O$47</definedName>
    <definedName name="OSRRefE21_5_1x" localSheetId="72">'491'!$N$56:$O$56</definedName>
    <definedName name="OSRRefE21_5_1x" localSheetId="92">'501'!$N$49:$O$49</definedName>
    <definedName name="OSRRefE21_5_1x" localSheetId="39">'Div 2'!$N$49:$O$49</definedName>
    <definedName name="OSRRefE21_5_1x" localSheetId="47">'Div 3'!$N$88:$O$88</definedName>
    <definedName name="OSRRefE21_5_1x" localSheetId="70">'Div 4'!$N$59:$O$59</definedName>
    <definedName name="OSRRefE21_5_1x" localSheetId="91">'Div 5'!$N$49:$O$49</definedName>
    <definedName name="OSRRefE21_5_1x" localSheetId="2">Summary!$N$96:$O$96</definedName>
    <definedName name="OSRRefE21_5x_0" localSheetId="41">'201'!$N$46</definedName>
    <definedName name="OSRRefE21_5x_0" localSheetId="42">'202'!$N$46</definedName>
    <definedName name="OSRRefE21_5x_0" localSheetId="43">'203'!$N$47</definedName>
    <definedName name="OSRRefE21_5x_0" localSheetId="44">'204'!$N$50</definedName>
    <definedName name="OSRRefE21_5x_0" localSheetId="45">'205'!$N$47</definedName>
    <definedName name="OSRRefE21_5x_0" localSheetId="46">'206'!$N$47:$N$48</definedName>
    <definedName name="OSRRefE21_5x_0" localSheetId="48">'300'!$N$81:$N$82</definedName>
    <definedName name="OSRRefE21_5x_0" localSheetId="49">'300 &amp; 317'!$N$87:$N$88</definedName>
    <definedName name="OSRRefE21_5x_0" localSheetId="50">'301'!$N$48:$N$49</definedName>
    <definedName name="OSRRefE21_5x_0" localSheetId="55">'307'!$N$60</definedName>
    <definedName name="OSRRefE21_5x_0" localSheetId="51">'308'!$N$62</definedName>
    <definedName name="OSRRefE21_5x_0" localSheetId="64">'309'!$N$37</definedName>
    <definedName name="OSRRefE21_5x_0" localSheetId="63">'310'!$N$56:$N$57</definedName>
    <definedName name="OSRRefE21_5x_0" localSheetId="71">'310 &amp; 491'!$N$56:$N$57</definedName>
    <definedName name="OSRRefE21_5x_0" localSheetId="52">'311'!$N$62</definedName>
    <definedName name="OSRRefE21_5x_0" localSheetId="57">'315'!$N$70</definedName>
    <definedName name="OSRRefE21_5x_0" localSheetId="60">'316'!$N$53:$N$54</definedName>
    <definedName name="OSRRefE21_5x_0" localSheetId="62">'317'!$N$62</definedName>
    <definedName name="OSRRefE21_5x_0" localSheetId="66">'321'!$N$51</definedName>
    <definedName name="OSRRefE21_5x_0" localSheetId="68">'325'!$N$51:$N$52</definedName>
    <definedName name="OSRRefE21_5x_0" localSheetId="58">'326'!$N$54</definedName>
    <definedName name="OSRRefE21_5x_0" localSheetId="56">'331'!$N$70</definedName>
    <definedName name="OSRRefE21_5x_0" localSheetId="59">'332'!$N$53:$N$54</definedName>
    <definedName name="OSRRefE21_5x_0" localSheetId="54">'333'!$N$72</definedName>
    <definedName name="OSRRefE21_5x_0" localSheetId="73">'405'!$N$53:$N$54</definedName>
    <definedName name="OSRRefE21_5x_0" localSheetId="75">'411'!$N$47</definedName>
    <definedName name="OSRRefE21_5x_0" localSheetId="79">'415'!$N$54:$N$55</definedName>
    <definedName name="OSRRefE21_5x_0" localSheetId="80">'418'!$N$51</definedName>
    <definedName name="OSRRefE21_5x_0" localSheetId="86">'430'!$N$46:$N$47</definedName>
    <definedName name="OSRRefE21_5x_0" localSheetId="87">'433'!$N$54</definedName>
    <definedName name="OSRRefE21_5x_0" localSheetId="89">'444'!$N$54</definedName>
    <definedName name="OSRRefE21_5x_0" localSheetId="90">'450'!$N$54</definedName>
    <definedName name="OSRRefE21_5x_0" localSheetId="72">'491'!$N$55:$N$56</definedName>
    <definedName name="OSRRefE21_5x_0" localSheetId="85">'492'!$N$56</definedName>
    <definedName name="OSRRefE21_5x_0" localSheetId="92">'501'!$N$48:$N$49</definedName>
    <definedName name="OSRRefE21_5x_0" localSheetId="39">'Div 2'!$N$48:$N$49</definedName>
    <definedName name="OSRRefE21_5x_0" localSheetId="47">'Div 3'!$N$87:$N$88</definedName>
    <definedName name="OSRRefE21_5x_0" localSheetId="70">'Div 4'!$N$58:$N$59</definedName>
    <definedName name="OSRRefE21_5x_0" localSheetId="91">'Div 5'!$N$48:$N$49</definedName>
    <definedName name="OSRRefE21_5x_0" localSheetId="61">'Div 6'!$N$62</definedName>
    <definedName name="OSRRefE21_5x_0" localSheetId="2">Summary!$N$95:$N$96</definedName>
    <definedName name="OSRRefE21_5x_1" localSheetId="41">'201'!$O$46</definedName>
    <definedName name="OSRRefE21_5x_1" localSheetId="42">'202'!$O$46</definedName>
    <definedName name="OSRRefE21_5x_1" localSheetId="43">'203'!$O$47</definedName>
    <definedName name="OSRRefE21_5x_1" localSheetId="44">'204'!$O$50</definedName>
    <definedName name="OSRRefE21_5x_1" localSheetId="45">'205'!$O$47</definedName>
    <definedName name="OSRRefE21_5x_1" localSheetId="46">'206'!$O$47:$O$48</definedName>
    <definedName name="OSRRefE21_5x_1" localSheetId="48">'300'!$O$81:$O$82</definedName>
    <definedName name="OSRRefE21_5x_1" localSheetId="49">'300 &amp; 317'!$O$87:$O$88</definedName>
    <definedName name="OSRRefE21_5x_1" localSheetId="50">'301'!$O$48:$O$49</definedName>
    <definedName name="OSRRefE21_5x_1" localSheetId="55">'307'!$O$60</definedName>
    <definedName name="OSRRefE21_5x_1" localSheetId="51">'308'!$O$62</definedName>
    <definedName name="OSRRefE21_5x_1" localSheetId="64">'309'!$O$37</definedName>
    <definedName name="OSRRefE21_5x_1" localSheetId="63">'310'!$O$56:$O$57</definedName>
    <definedName name="OSRRefE21_5x_1" localSheetId="71">'310 &amp; 491'!$O$56:$O$57</definedName>
    <definedName name="OSRRefE21_5x_1" localSheetId="52">'311'!$O$62</definedName>
    <definedName name="OSRRefE21_5x_1" localSheetId="57">'315'!$O$70</definedName>
    <definedName name="OSRRefE21_5x_1" localSheetId="60">'316'!$O$53:$O$54</definedName>
    <definedName name="OSRRefE21_5x_1" localSheetId="62">'317'!$O$62</definedName>
    <definedName name="OSRRefE21_5x_1" localSheetId="66">'321'!$O$51</definedName>
    <definedName name="OSRRefE21_5x_1" localSheetId="68">'325'!$O$51:$O$52</definedName>
    <definedName name="OSRRefE21_5x_1" localSheetId="58">'326'!$O$54</definedName>
    <definedName name="OSRRefE21_5x_1" localSheetId="56">'331'!$O$70</definedName>
    <definedName name="OSRRefE21_5x_1" localSheetId="59">'332'!$O$53:$O$54</definedName>
    <definedName name="OSRRefE21_5x_1" localSheetId="54">'333'!$O$72</definedName>
    <definedName name="OSRRefE21_5x_1" localSheetId="73">'405'!$O$53:$O$54</definedName>
    <definedName name="OSRRefE21_5x_1" localSheetId="75">'411'!$O$47</definedName>
    <definedName name="OSRRefE21_5x_1" localSheetId="79">'415'!$O$54:$O$55</definedName>
    <definedName name="OSRRefE21_5x_1" localSheetId="80">'418'!$O$51</definedName>
    <definedName name="OSRRefE21_5x_1" localSheetId="86">'430'!$O$46:$O$47</definedName>
    <definedName name="OSRRefE21_5x_1" localSheetId="87">'433'!$O$54</definedName>
    <definedName name="OSRRefE21_5x_1" localSheetId="89">'444'!$O$54</definedName>
    <definedName name="OSRRefE21_5x_1" localSheetId="90">'450'!$O$54</definedName>
    <definedName name="OSRRefE21_5x_1" localSheetId="72">'491'!$O$55:$O$56</definedName>
    <definedName name="OSRRefE21_5x_1" localSheetId="85">'492'!$O$56</definedName>
    <definedName name="OSRRefE21_5x_1" localSheetId="92">'501'!$O$48:$O$49</definedName>
    <definedName name="OSRRefE21_5x_1" localSheetId="39">'Div 2'!$O$48:$O$49</definedName>
    <definedName name="OSRRefE21_5x_1" localSheetId="47">'Div 3'!$O$87:$O$88</definedName>
    <definedName name="OSRRefE21_5x_1" localSheetId="70">'Div 4'!$O$58:$O$59</definedName>
    <definedName name="OSRRefE21_5x_1" localSheetId="91">'Div 5'!$O$48:$O$49</definedName>
    <definedName name="OSRRefE21_5x_1" localSheetId="61">'Div 6'!$O$62</definedName>
    <definedName name="OSRRefE21_5x_1" localSheetId="2">Summary!$O$95:$O$96</definedName>
    <definedName name="OSRRefE21_6_0x" localSheetId="41">'201'!$N$48:$O$48</definedName>
    <definedName name="OSRRefE21_6_0x" localSheetId="42">'202'!$N$48:$O$48</definedName>
    <definedName name="OSRRefE21_6_0x" localSheetId="43">'203'!$N$49:$O$49</definedName>
    <definedName name="OSRRefE21_6_0x" localSheetId="44">'204'!$N$52:$O$52</definedName>
    <definedName name="OSRRefE21_6_0x" localSheetId="45">'205'!$N$49:$O$49</definedName>
    <definedName name="OSRRefE21_6_0x" localSheetId="48">'300'!$N$84:$O$84</definedName>
    <definedName name="OSRRefE21_6_0x" localSheetId="49">'300 &amp; 317'!$N$90:$O$90</definedName>
    <definedName name="OSRRefE21_6_0x" localSheetId="50">'301'!$N$51:$O$51</definedName>
    <definedName name="OSRRefE21_6_0x" localSheetId="55">'307'!$N$62:$O$62</definedName>
    <definedName name="OSRRefE21_6_0x" localSheetId="51">'308'!$N$64:$O$64</definedName>
    <definedName name="OSRRefE21_6_0x" localSheetId="64">'309'!$N$39:$O$39</definedName>
    <definedName name="OSRRefE21_6_0x" localSheetId="63">'310'!$N$59:$O$59</definedName>
    <definedName name="OSRRefE21_6_0x" localSheetId="71">'310 &amp; 491'!$N$59:$O$59</definedName>
    <definedName name="OSRRefE21_6_0x" localSheetId="52">'311'!$N$64:$O$64</definedName>
    <definedName name="OSRRefE21_6_0x" localSheetId="57">'315'!$N$72:$O$72</definedName>
    <definedName name="OSRRefE21_6_0x" localSheetId="60">'316'!$N$56:$O$56</definedName>
    <definedName name="OSRRefE21_6_0x" localSheetId="62">'317'!$N$64:$O$64</definedName>
    <definedName name="OSRRefE21_6_0x" localSheetId="66">'321'!$N$53:$O$53</definedName>
    <definedName name="OSRRefE21_6_0x" localSheetId="68">'325'!$N$54:$O$54</definedName>
    <definedName name="OSRRefE21_6_0x" localSheetId="58">'326'!$N$56:$O$56</definedName>
    <definedName name="OSRRefE21_6_0x" localSheetId="56">'331'!$N$72:$O$72</definedName>
    <definedName name="OSRRefE21_6_0x" localSheetId="59">'332'!$N$56:$O$56</definedName>
    <definedName name="OSRRefE21_6_0x" localSheetId="54">'333'!$N$74:$O$74</definedName>
    <definedName name="OSRRefE21_6_0x" localSheetId="73">'405'!$N$56:$O$56</definedName>
    <definedName name="OSRRefE21_6_0x" localSheetId="75">'411'!$N$49:$O$49</definedName>
    <definedName name="OSRRefE21_6_0x" localSheetId="79">'415'!$N$57:$O$57</definedName>
    <definedName name="OSRRefE21_6_0x" localSheetId="80">'418'!$N$53:$O$53</definedName>
    <definedName name="OSRRefE21_6_0x" localSheetId="86">'430'!$N$49:$O$49</definedName>
    <definedName name="OSRRefE21_6_0x" localSheetId="87">'433'!$N$56:$O$56</definedName>
    <definedName name="OSRRefE21_6_0x" localSheetId="89">'444'!$N$56:$O$56</definedName>
    <definedName name="OSRRefE21_6_0x" localSheetId="90">'450'!$N$56:$O$56</definedName>
    <definedName name="OSRRefE21_6_0x" localSheetId="72">'491'!$N$58:$O$58</definedName>
    <definedName name="OSRRefE21_6_0x" localSheetId="85">'492'!$N$58:$O$58</definedName>
    <definedName name="OSRRefE21_6_0x" localSheetId="92">'501'!$N$51:$O$51</definedName>
    <definedName name="OSRRefE21_6_0x" localSheetId="39">'Div 2'!$N$51:$O$51</definedName>
    <definedName name="OSRRefE21_6_0x" localSheetId="47">'Div 3'!$N$90:$O$90</definedName>
    <definedName name="OSRRefE21_6_0x" localSheetId="70">'Div 4'!$N$61:$O$61</definedName>
    <definedName name="OSRRefE21_6_0x" localSheetId="91">'Div 5'!$N$51:$O$51</definedName>
    <definedName name="OSRRefE21_6_0x" localSheetId="61">'Div 6'!$N$64:$O$64</definedName>
    <definedName name="OSRRefE21_6_0x" localSheetId="2">Summary!$N$98:$O$98</definedName>
    <definedName name="OSRRefE21_6_1x" localSheetId="44">'204'!$N$53:$O$53</definedName>
    <definedName name="OSRRefE21_6_1x" localSheetId="45">'205'!$N$50:$O$50</definedName>
    <definedName name="OSRRefE21_6_1x" localSheetId="48">'300'!$N$85:$O$85</definedName>
    <definedName name="OSRRefE21_6_1x" localSheetId="49">'300 &amp; 317'!$N$91:$O$91</definedName>
    <definedName name="OSRRefE21_6_1x" localSheetId="50">'301'!$N$52:$O$52</definedName>
    <definedName name="OSRRefE21_6_1x" localSheetId="51">'308'!$N$65:$O$65</definedName>
    <definedName name="OSRRefE21_6_1x" localSheetId="52">'311'!$N$65:$O$65</definedName>
    <definedName name="OSRRefE21_6_1x" localSheetId="86">'430'!$N$50:$O$50</definedName>
    <definedName name="OSRRefE21_6_1x" localSheetId="47">'Div 3'!$N$91:$O$91</definedName>
    <definedName name="OSRRefE21_6_1x" localSheetId="2">Summary!$N$99:$O$99</definedName>
    <definedName name="OSRRefE21_6x_0" localSheetId="41">'201'!$N$48</definedName>
    <definedName name="OSRRefE21_6x_0" localSheetId="42">'202'!$N$48</definedName>
    <definedName name="OSRRefE21_6x_0" localSheetId="43">'203'!$N$49</definedName>
    <definedName name="OSRRefE21_6x_0" localSheetId="44">'204'!$N$52:$N$53</definedName>
    <definedName name="OSRRefE21_6x_0" localSheetId="45">'205'!$N$49:$N$50</definedName>
    <definedName name="OSRRefE21_6x_0" localSheetId="48">'300'!$N$84:$N$85</definedName>
    <definedName name="OSRRefE21_6x_0" localSheetId="49">'300 &amp; 317'!$N$90:$N$91</definedName>
    <definedName name="OSRRefE21_6x_0" localSheetId="50">'301'!$N$51:$N$52</definedName>
    <definedName name="OSRRefE21_6x_0" localSheetId="55">'307'!$N$62</definedName>
    <definedName name="OSRRefE21_6x_0" localSheetId="51">'308'!$N$64:$N$65</definedName>
    <definedName name="OSRRefE21_6x_0" localSheetId="64">'309'!$N$39</definedName>
    <definedName name="OSRRefE21_6x_0" localSheetId="63">'310'!$N$59</definedName>
    <definedName name="OSRRefE21_6x_0" localSheetId="71">'310 &amp; 491'!$N$59</definedName>
    <definedName name="OSRRefE21_6x_0" localSheetId="52">'311'!$N$64:$N$65</definedName>
    <definedName name="OSRRefE21_6x_0" localSheetId="57">'315'!$N$72</definedName>
    <definedName name="OSRRefE21_6x_0" localSheetId="60">'316'!$N$56</definedName>
    <definedName name="OSRRefE21_6x_0" localSheetId="62">'317'!$N$64</definedName>
    <definedName name="OSRRefE21_6x_0" localSheetId="66">'321'!$N$53</definedName>
    <definedName name="OSRRefE21_6x_0" localSheetId="68">'325'!$N$54</definedName>
    <definedName name="OSRRefE21_6x_0" localSheetId="58">'326'!$N$56</definedName>
    <definedName name="OSRRefE21_6x_0" localSheetId="56">'331'!$N$72</definedName>
    <definedName name="OSRRefE21_6x_0" localSheetId="59">'332'!$N$56</definedName>
    <definedName name="OSRRefE21_6x_0" localSheetId="54">'333'!$N$74</definedName>
    <definedName name="OSRRefE21_6x_0" localSheetId="73">'405'!$N$56</definedName>
    <definedName name="OSRRefE21_6x_0" localSheetId="75">'411'!$N$49</definedName>
    <definedName name="OSRRefE21_6x_0" localSheetId="79">'415'!$N$57</definedName>
    <definedName name="OSRRefE21_6x_0" localSheetId="80">'418'!$N$53</definedName>
    <definedName name="OSRRefE21_6x_0" localSheetId="86">'430'!$N$49:$N$50</definedName>
    <definedName name="OSRRefE21_6x_0" localSheetId="87">'433'!$N$56</definedName>
    <definedName name="OSRRefE21_6x_0" localSheetId="89">'444'!$N$56</definedName>
    <definedName name="OSRRefE21_6x_0" localSheetId="90">'450'!$N$56</definedName>
    <definedName name="OSRRefE21_6x_0" localSheetId="72">'491'!$N$58</definedName>
    <definedName name="OSRRefE21_6x_0" localSheetId="85">'492'!$N$58</definedName>
    <definedName name="OSRRefE21_6x_0" localSheetId="92">'501'!$N$51</definedName>
    <definedName name="OSRRefE21_6x_0" localSheetId="39">'Div 2'!$N$51</definedName>
    <definedName name="OSRRefE21_6x_0" localSheetId="47">'Div 3'!$N$90:$N$91</definedName>
    <definedName name="OSRRefE21_6x_0" localSheetId="70">'Div 4'!$N$61</definedName>
    <definedName name="OSRRefE21_6x_0" localSheetId="91">'Div 5'!$N$51</definedName>
    <definedName name="OSRRefE21_6x_0" localSheetId="61">'Div 6'!$N$64</definedName>
    <definedName name="OSRRefE21_6x_0" localSheetId="2">Summary!$N$98:$N$99</definedName>
    <definedName name="OSRRefE21_6x_1" localSheetId="41">'201'!$O$48</definedName>
    <definedName name="OSRRefE21_6x_1" localSheetId="42">'202'!$O$48</definedName>
    <definedName name="OSRRefE21_6x_1" localSheetId="43">'203'!$O$49</definedName>
    <definedName name="OSRRefE21_6x_1" localSheetId="44">'204'!$O$52:$O$53</definedName>
    <definedName name="OSRRefE21_6x_1" localSheetId="45">'205'!$O$49:$O$50</definedName>
    <definedName name="OSRRefE21_6x_1" localSheetId="48">'300'!$O$84:$O$85</definedName>
    <definedName name="OSRRefE21_6x_1" localSheetId="49">'300 &amp; 317'!$O$90:$O$91</definedName>
    <definedName name="OSRRefE21_6x_1" localSheetId="50">'301'!$O$51:$O$52</definedName>
    <definedName name="OSRRefE21_6x_1" localSheetId="55">'307'!$O$62</definedName>
    <definedName name="OSRRefE21_6x_1" localSheetId="51">'308'!$O$64:$O$65</definedName>
    <definedName name="OSRRefE21_6x_1" localSheetId="64">'309'!$O$39</definedName>
    <definedName name="OSRRefE21_6x_1" localSheetId="63">'310'!$O$59</definedName>
    <definedName name="OSRRefE21_6x_1" localSheetId="71">'310 &amp; 491'!$O$59</definedName>
    <definedName name="OSRRefE21_6x_1" localSheetId="52">'311'!$O$64:$O$65</definedName>
    <definedName name="OSRRefE21_6x_1" localSheetId="57">'315'!$O$72</definedName>
    <definedName name="OSRRefE21_6x_1" localSheetId="60">'316'!$O$56</definedName>
    <definedName name="OSRRefE21_6x_1" localSheetId="62">'317'!$O$64</definedName>
    <definedName name="OSRRefE21_6x_1" localSheetId="66">'321'!$O$53</definedName>
    <definedName name="OSRRefE21_6x_1" localSheetId="68">'325'!$O$54</definedName>
    <definedName name="OSRRefE21_6x_1" localSheetId="58">'326'!$O$56</definedName>
    <definedName name="OSRRefE21_6x_1" localSheetId="56">'331'!$O$72</definedName>
    <definedName name="OSRRefE21_6x_1" localSheetId="59">'332'!$O$56</definedName>
    <definedName name="OSRRefE21_6x_1" localSheetId="54">'333'!$O$74</definedName>
    <definedName name="OSRRefE21_6x_1" localSheetId="73">'405'!$O$56</definedName>
    <definedName name="OSRRefE21_6x_1" localSheetId="75">'411'!$O$49</definedName>
    <definedName name="OSRRefE21_6x_1" localSheetId="79">'415'!$O$57</definedName>
    <definedName name="OSRRefE21_6x_1" localSheetId="80">'418'!$O$53</definedName>
    <definedName name="OSRRefE21_6x_1" localSheetId="86">'430'!$O$49:$O$50</definedName>
    <definedName name="OSRRefE21_6x_1" localSheetId="87">'433'!$O$56</definedName>
    <definedName name="OSRRefE21_6x_1" localSheetId="89">'444'!$O$56</definedName>
    <definedName name="OSRRefE21_6x_1" localSheetId="90">'450'!$O$56</definedName>
    <definedName name="OSRRefE21_6x_1" localSheetId="72">'491'!$O$58</definedName>
    <definedName name="OSRRefE21_6x_1" localSheetId="85">'492'!$O$58</definedName>
    <definedName name="OSRRefE21_6x_1" localSheetId="92">'501'!$O$51</definedName>
    <definedName name="OSRRefE21_6x_1" localSheetId="39">'Div 2'!$O$51</definedName>
    <definedName name="OSRRefE21_6x_1" localSheetId="47">'Div 3'!$O$90:$O$91</definedName>
    <definedName name="OSRRefE21_6x_1" localSheetId="70">'Div 4'!$O$61</definedName>
    <definedName name="OSRRefE21_6x_1" localSheetId="91">'Div 5'!$O$51</definedName>
    <definedName name="OSRRefE21_6x_1" localSheetId="61">'Div 6'!$O$64</definedName>
    <definedName name="OSRRefE21_6x_1" localSheetId="2">Summary!$O$98:$O$99</definedName>
    <definedName name="OSRRefE21_7_0x" localSheetId="41">'201'!$N$50:$O$50</definedName>
    <definedName name="OSRRefE21_7_0x" localSheetId="42">'202'!$N$50:$O$50</definedName>
    <definedName name="OSRRefE21_7_0x" localSheetId="43">'203'!$N$51:$O$51</definedName>
    <definedName name="OSRRefE21_7_0x" localSheetId="44">'204'!$N$55:$O$55</definedName>
    <definedName name="OSRRefE21_7_0x" localSheetId="45">'205'!$N$52:$O$52</definedName>
    <definedName name="OSRRefE21_7_0x" localSheetId="48">'300'!$N$87:$O$87</definedName>
    <definedName name="OSRRefE21_7_0x" localSheetId="49">'300 &amp; 317'!$N$93:$O$93</definedName>
    <definedName name="OSRRefE21_7_0x" localSheetId="50">'301'!$N$54:$O$54</definedName>
    <definedName name="OSRRefE21_7_0x" localSheetId="55">'307'!$N$64:$O$64</definedName>
    <definedName name="OSRRefE21_7_0x" localSheetId="51">'308'!$N$67:$O$67</definedName>
    <definedName name="OSRRefE21_7_0x" localSheetId="64">'309'!$N$41:$O$41</definedName>
    <definedName name="OSRRefE21_7_0x" localSheetId="63">'310'!$N$61:$O$61</definedName>
    <definedName name="OSRRefE21_7_0x" localSheetId="71">'310 &amp; 491'!$N$61:$O$61</definedName>
    <definedName name="OSRRefE21_7_0x" localSheetId="52">'311'!$N$67:$O$67</definedName>
    <definedName name="OSRRefE21_7_0x" localSheetId="57">'315'!$N$74:$O$74</definedName>
    <definedName name="OSRRefE21_7_0x" localSheetId="60">'316'!$N$58:$O$58</definedName>
    <definedName name="OSRRefE21_7_0x" localSheetId="62">'317'!$N$66:$O$66</definedName>
    <definedName name="OSRRefE21_7_0x" localSheetId="66">'321'!$N$55:$O$55</definedName>
    <definedName name="OSRRefE21_7_0x" localSheetId="68">'325'!$N$56:$O$56</definedName>
    <definedName name="OSRRefE21_7_0x" localSheetId="58">'326'!$N$58:$O$58</definedName>
    <definedName name="OSRRefE21_7_0x" localSheetId="56">'331'!$N$74:$O$74</definedName>
    <definedName name="OSRRefE21_7_0x" localSheetId="59">'332'!$N$58:$O$58</definedName>
    <definedName name="OSRRefE21_7_0x" localSheetId="54">'333'!$N$76:$O$76</definedName>
    <definedName name="OSRRefE21_7_0x" localSheetId="73">'405'!$N$58:$O$58</definedName>
    <definedName name="OSRRefE21_7_0x" localSheetId="75">'411'!$N$51:$O$51</definedName>
    <definedName name="OSRRefE21_7_0x" localSheetId="79">'415'!$N$59:$O$59</definedName>
    <definedName name="OSRRefE21_7_0x" localSheetId="80">'418'!$N$55:$O$55</definedName>
    <definedName name="OSRRefE21_7_0x" localSheetId="86">'430'!$N$52:$O$52</definedName>
    <definedName name="OSRRefE21_7_0x" localSheetId="87">'433'!$N$58:$O$58</definedName>
    <definedName name="OSRRefE21_7_0x" localSheetId="89">'444'!$N$58:$O$58</definedName>
    <definedName name="OSRRefE21_7_0x" localSheetId="90">'450'!$N$58:$O$58</definedName>
    <definedName name="OSRRefE21_7_0x" localSheetId="72">'491'!$N$60:$O$60</definedName>
    <definedName name="OSRRefE21_7_0x" localSheetId="85">'492'!$N$60:$O$60</definedName>
    <definedName name="OSRRefE21_7_0x" localSheetId="92">'501'!$N$53:$O$53</definedName>
    <definedName name="OSRRefE21_7_0x" localSheetId="39">'Div 2'!$N$53:$O$53</definedName>
    <definedName name="OSRRefE21_7_0x" localSheetId="47">'Div 3'!$N$93:$O$93</definedName>
    <definedName name="OSRRefE21_7_0x" localSheetId="70">'Div 4'!$N$63:$O$63</definedName>
    <definedName name="OSRRefE21_7_0x" localSheetId="91">'Div 5'!$N$53:$O$53</definedName>
    <definedName name="OSRRefE21_7_0x" localSheetId="61">'Div 6'!$N$66:$O$66</definedName>
    <definedName name="OSRRefE21_7_0x" localSheetId="2">Summary!$N$101:$O$101</definedName>
    <definedName name="OSRRefE21_7_1x" localSheetId="42">'202'!$N$51:$O$51</definedName>
    <definedName name="OSRRefE21_7_1x" localSheetId="60">'316'!$N$59:$O$59</definedName>
    <definedName name="OSRRefE21_7_1x" localSheetId="66">'321'!$N$56:$O$56</definedName>
    <definedName name="OSRRefE21_7_1x" localSheetId="59">'332'!$N$59:$O$59</definedName>
    <definedName name="OSRRefE21_7_2x" localSheetId="42">'202'!$N$52:$O$52</definedName>
    <definedName name="OSRRefE21_7x_0" localSheetId="41">'201'!$N$50</definedName>
    <definedName name="OSRRefE21_7x_0" localSheetId="42">'202'!$N$50:$N$52</definedName>
    <definedName name="OSRRefE21_7x_0" localSheetId="43">'203'!$N$51</definedName>
    <definedName name="OSRRefE21_7x_0" localSheetId="44">'204'!$N$55</definedName>
    <definedName name="OSRRefE21_7x_0" localSheetId="45">'205'!$N$52</definedName>
    <definedName name="OSRRefE21_7x_0" localSheetId="48">'300'!$N$87</definedName>
    <definedName name="OSRRefE21_7x_0" localSheetId="49">'300 &amp; 317'!$N$93</definedName>
    <definedName name="OSRRefE21_7x_0" localSheetId="50">'301'!$N$54</definedName>
    <definedName name="OSRRefE21_7x_0" localSheetId="55">'307'!$N$64</definedName>
    <definedName name="OSRRefE21_7x_0" localSheetId="51">'308'!$N$67</definedName>
    <definedName name="OSRRefE21_7x_0" localSheetId="64">'309'!$N$41</definedName>
    <definedName name="OSRRefE21_7x_0" localSheetId="63">'310'!$N$61</definedName>
    <definedName name="OSRRefE21_7x_0" localSheetId="71">'310 &amp; 491'!$N$61</definedName>
    <definedName name="OSRRefE21_7x_0" localSheetId="52">'311'!$N$67</definedName>
    <definedName name="OSRRefE21_7x_0" localSheetId="57">'315'!$N$74</definedName>
    <definedName name="OSRRefE21_7x_0" localSheetId="60">'316'!$N$58:$N$59</definedName>
    <definedName name="OSRRefE21_7x_0" localSheetId="62">'317'!$N$66</definedName>
    <definedName name="OSRRefE21_7x_0" localSheetId="66">'321'!$N$55:$N$56</definedName>
    <definedName name="OSRRefE21_7x_0" localSheetId="68">'325'!$N$56</definedName>
    <definedName name="OSRRefE21_7x_0" localSheetId="58">'326'!$N$58</definedName>
    <definedName name="OSRRefE21_7x_0" localSheetId="56">'331'!$N$74</definedName>
    <definedName name="OSRRefE21_7x_0" localSheetId="59">'332'!$N$58:$N$59</definedName>
    <definedName name="OSRRefE21_7x_0" localSheetId="54">'333'!$N$76</definedName>
    <definedName name="OSRRefE21_7x_0" localSheetId="73">'405'!$N$58</definedName>
    <definedName name="OSRRefE21_7x_0" localSheetId="75">'411'!$N$51</definedName>
    <definedName name="OSRRefE21_7x_0" localSheetId="79">'415'!$N$59</definedName>
    <definedName name="OSRRefE21_7x_0" localSheetId="80">'418'!$N$55</definedName>
    <definedName name="OSRRefE21_7x_0" localSheetId="86">'430'!$N$52</definedName>
    <definedName name="OSRRefE21_7x_0" localSheetId="87">'433'!$N$58</definedName>
    <definedName name="OSRRefE21_7x_0" localSheetId="89">'444'!$N$58</definedName>
    <definedName name="OSRRefE21_7x_0" localSheetId="90">'450'!$N$58</definedName>
    <definedName name="OSRRefE21_7x_0" localSheetId="72">'491'!$N$60</definedName>
    <definedName name="OSRRefE21_7x_0" localSheetId="85">'492'!$N$60</definedName>
    <definedName name="OSRRefE21_7x_0" localSheetId="92">'501'!$N$53</definedName>
    <definedName name="OSRRefE21_7x_0" localSheetId="39">'Div 2'!$N$53</definedName>
    <definedName name="OSRRefE21_7x_0" localSheetId="47">'Div 3'!$N$93</definedName>
    <definedName name="OSRRefE21_7x_0" localSheetId="70">'Div 4'!$N$63</definedName>
    <definedName name="OSRRefE21_7x_0" localSheetId="91">'Div 5'!$N$53</definedName>
    <definedName name="OSRRefE21_7x_0" localSheetId="61">'Div 6'!$N$66</definedName>
    <definedName name="OSRRefE21_7x_0" localSheetId="2">Summary!$N$101</definedName>
    <definedName name="OSRRefE21_7x_1" localSheetId="41">'201'!$O$50</definedName>
    <definedName name="OSRRefE21_7x_1" localSheetId="42">'202'!$O$50:$O$52</definedName>
    <definedName name="OSRRefE21_7x_1" localSheetId="43">'203'!$O$51</definedName>
    <definedName name="OSRRefE21_7x_1" localSheetId="44">'204'!$O$55</definedName>
    <definedName name="OSRRefE21_7x_1" localSheetId="45">'205'!$O$52</definedName>
    <definedName name="OSRRefE21_7x_1" localSheetId="48">'300'!$O$87</definedName>
    <definedName name="OSRRefE21_7x_1" localSheetId="49">'300 &amp; 317'!$O$93</definedName>
    <definedName name="OSRRefE21_7x_1" localSheetId="50">'301'!$O$54</definedName>
    <definedName name="OSRRefE21_7x_1" localSheetId="55">'307'!$O$64</definedName>
    <definedName name="OSRRefE21_7x_1" localSheetId="51">'308'!$O$67</definedName>
    <definedName name="OSRRefE21_7x_1" localSheetId="64">'309'!$O$41</definedName>
    <definedName name="OSRRefE21_7x_1" localSheetId="63">'310'!$O$61</definedName>
    <definedName name="OSRRefE21_7x_1" localSheetId="71">'310 &amp; 491'!$O$61</definedName>
    <definedName name="OSRRefE21_7x_1" localSheetId="52">'311'!$O$67</definedName>
    <definedName name="OSRRefE21_7x_1" localSheetId="57">'315'!$O$74</definedName>
    <definedName name="OSRRefE21_7x_1" localSheetId="60">'316'!$O$58:$O$59</definedName>
    <definedName name="OSRRefE21_7x_1" localSheetId="62">'317'!$O$66</definedName>
    <definedName name="OSRRefE21_7x_1" localSheetId="66">'321'!$O$55:$O$56</definedName>
    <definedName name="OSRRefE21_7x_1" localSheetId="68">'325'!$O$56</definedName>
    <definedName name="OSRRefE21_7x_1" localSheetId="58">'326'!$O$58</definedName>
    <definedName name="OSRRefE21_7x_1" localSheetId="56">'331'!$O$74</definedName>
    <definedName name="OSRRefE21_7x_1" localSheetId="59">'332'!$O$58:$O$59</definedName>
    <definedName name="OSRRefE21_7x_1" localSheetId="54">'333'!$O$76</definedName>
    <definedName name="OSRRefE21_7x_1" localSheetId="73">'405'!$O$58</definedName>
    <definedName name="OSRRefE21_7x_1" localSheetId="75">'411'!$O$51</definedName>
    <definedName name="OSRRefE21_7x_1" localSheetId="79">'415'!$O$59</definedName>
    <definedName name="OSRRefE21_7x_1" localSheetId="80">'418'!$O$55</definedName>
    <definedName name="OSRRefE21_7x_1" localSheetId="86">'430'!$O$52</definedName>
    <definedName name="OSRRefE21_7x_1" localSheetId="87">'433'!$O$58</definedName>
    <definedName name="OSRRefE21_7x_1" localSheetId="89">'444'!$O$58</definedName>
    <definedName name="OSRRefE21_7x_1" localSheetId="90">'450'!$O$58</definedName>
    <definedName name="OSRRefE21_7x_1" localSheetId="72">'491'!$O$60</definedName>
    <definedName name="OSRRefE21_7x_1" localSheetId="85">'492'!$O$60</definedName>
    <definedName name="OSRRefE21_7x_1" localSheetId="92">'501'!$O$53</definedName>
    <definedName name="OSRRefE21_7x_1" localSheetId="39">'Div 2'!$O$53</definedName>
    <definedName name="OSRRefE21_7x_1" localSheetId="47">'Div 3'!$O$93</definedName>
    <definedName name="OSRRefE21_7x_1" localSheetId="70">'Div 4'!$O$63</definedName>
    <definedName name="OSRRefE21_7x_1" localSheetId="91">'Div 5'!$O$53</definedName>
    <definedName name="OSRRefE21_7x_1" localSheetId="61">'Div 6'!$O$66</definedName>
    <definedName name="OSRRefE21_7x_1" localSheetId="2">Summary!$O$101</definedName>
    <definedName name="OSRRefE21_8_0x" localSheetId="41">'201'!$N$52:$O$52</definedName>
    <definedName name="OSRRefE21_8_0x" localSheetId="42">'202'!$N$54:$O$54</definedName>
    <definedName name="OSRRefE21_8_0x" localSheetId="43">'203'!$N$53:$O$53</definedName>
    <definedName name="OSRRefE21_8_0x" localSheetId="44">'204'!$N$57:$O$57</definedName>
    <definedName name="OSRRefE21_8_0x" localSheetId="48">'300'!$N$89:$O$89</definedName>
    <definedName name="OSRRefE21_8_0x" localSheetId="49">'300 &amp; 317'!$N$95:$O$95</definedName>
    <definedName name="OSRRefE21_8_0x" localSheetId="50">'301'!$N$56:$O$56</definedName>
    <definedName name="OSRRefE21_8_0x" localSheetId="55">'307'!$N$66:$O$66</definedName>
    <definedName name="OSRRefE21_8_0x" localSheetId="51">'308'!$N$69:$O$69</definedName>
    <definedName name="OSRRefE21_8_0x" localSheetId="64">'309'!$N$43:$O$43</definedName>
    <definedName name="OSRRefE21_8_0x" localSheetId="63">'310'!$N$63:$O$63</definedName>
    <definedName name="OSRRefE21_8_0x" localSheetId="71">'310 &amp; 491'!$N$63:$O$63</definedName>
    <definedName name="OSRRefE21_8_0x" localSheetId="52">'311'!$N$69:$O$69</definedName>
    <definedName name="OSRRefE21_8_0x" localSheetId="57">'315'!$N$76:$O$76</definedName>
    <definedName name="OSRRefE21_8_0x" localSheetId="60">'316'!$N$61:$O$61</definedName>
    <definedName name="OSRRefE21_8_0x" localSheetId="62">'317'!$N$68:$O$68</definedName>
    <definedName name="OSRRefE21_8_0x" localSheetId="66">'321'!$N$58:$O$58</definedName>
    <definedName name="OSRRefE21_8_0x" localSheetId="68">'325'!$N$58:$O$58</definedName>
    <definedName name="OSRRefE21_8_0x" localSheetId="58">'326'!$N$60:$O$60</definedName>
    <definedName name="OSRRefE21_8_0x" localSheetId="56">'331'!$N$76:$O$76</definedName>
    <definedName name="OSRRefE21_8_0x" localSheetId="59">'332'!$N$61:$O$61</definedName>
    <definedName name="OSRRefE21_8_0x" localSheetId="54">'333'!$N$78:$O$78</definedName>
    <definedName name="OSRRefE21_8_0x" localSheetId="73">'405'!$N$60:$O$60</definedName>
    <definedName name="OSRRefE21_8_0x" localSheetId="75">'411'!$N$53:$O$53</definedName>
    <definedName name="OSRRefE21_8_0x" localSheetId="79">'415'!$N$61:$O$61</definedName>
    <definedName name="OSRRefE21_8_0x" localSheetId="80">'418'!$N$57:$O$57</definedName>
    <definedName name="OSRRefE21_8_0x" localSheetId="86">'430'!$N$54:$O$54</definedName>
    <definedName name="OSRRefE21_8_0x" localSheetId="87">'433'!$N$60:$O$60</definedName>
    <definedName name="OSRRefE21_8_0x" localSheetId="89">'444'!$N$60:$O$60</definedName>
    <definedName name="OSRRefE21_8_0x" localSheetId="90">'450'!$N$60:$O$60</definedName>
    <definedName name="OSRRefE21_8_0x" localSheetId="72">'491'!$N$62:$O$62</definedName>
    <definedName name="OSRRefE21_8_0x" localSheetId="85">'492'!$N$62:$O$62</definedName>
    <definedName name="OSRRefE21_8_0x" localSheetId="92">'501'!$N$55:$O$55</definedName>
    <definedName name="OSRRefE21_8_0x" localSheetId="39">'Div 2'!$N$55:$O$55</definedName>
    <definedName name="OSRRefE21_8_0x" localSheetId="47">'Div 3'!$N$95:$O$95</definedName>
    <definedName name="OSRRefE21_8_0x" localSheetId="70">'Div 4'!$N$65:$O$65</definedName>
    <definedName name="OSRRefE21_8_0x" localSheetId="91">'Div 5'!$N$55:$O$55</definedName>
    <definedName name="OSRRefE21_8_0x" localSheetId="61">'Div 6'!$N$68:$O$68</definedName>
    <definedName name="OSRRefE21_8_0x" localSheetId="2">Summary!$N$103:$O$103</definedName>
    <definedName name="OSRRefE21_8_1x" localSheetId="43">'203'!$N$54:$O$54</definedName>
    <definedName name="OSRRefE21_8_1x" localSheetId="64">'309'!$N$44:$O$44</definedName>
    <definedName name="OSRRefE21_8_1x" localSheetId="57">'315'!$N$77:$O$77</definedName>
    <definedName name="OSRRefE21_8_1x" localSheetId="66">'321'!$N$59:$O$59</definedName>
    <definedName name="OSRRefE21_8_1x" localSheetId="56">'331'!$N$77:$O$77</definedName>
    <definedName name="OSRRefE21_8_1x" localSheetId="54">'333'!$N$79:$O$79</definedName>
    <definedName name="OSRRefE21_8_1x" localSheetId="75">'411'!$N$54:$O$54</definedName>
    <definedName name="OSRRefE21_8_1x" localSheetId="80">'418'!$N$58:$O$58</definedName>
    <definedName name="OSRRefE21_8_2x" localSheetId="43">'203'!$N$55:$O$55</definedName>
    <definedName name="OSRRefE21_8_2x" localSheetId="75">'411'!$N$55:$O$55</definedName>
    <definedName name="OSRRefE21_8x_0" localSheetId="41">'201'!$N$52</definedName>
    <definedName name="OSRRefE21_8x_0" localSheetId="42">'202'!$N$54</definedName>
    <definedName name="OSRRefE21_8x_0" localSheetId="43">'203'!$N$53:$N$55</definedName>
    <definedName name="OSRRefE21_8x_0" localSheetId="44">'204'!$N$57</definedName>
    <definedName name="OSRRefE21_8x_0" localSheetId="48">'300'!$N$89</definedName>
    <definedName name="OSRRefE21_8x_0" localSheetId="49">'300 &amp; 317'!$N$95</definedName>
    <definedName name="OSRRefE21_8x_0" localSheetId="50">'301'!$N$56</definedName>
    <definedName name="OSRRefE21_8x_0" localSheetId="55">'307'!$N$66</definedName>
    <definedName name="OSRRefE21_8x_0" localSheetId="51">'308'!$N$69</definedName>
    <definedName name="OSRRefE21_8x_0" localSheetId="64">'309'!$N$43:$N$44</definedName>
    <definedName name="OSRRefE21_8x_0" localSheetId="63">'310'!$N$63</definedName>
    <definedName name="OSRRefE21_8x_0" localSheetId="71">'310 &amp; 491'!$N$63</definedName>
    <definedName name="OSRRefE21_8x_0" localSheetId="52">'311'!$N$69</definedName>
    <definedName name="OSRRefE21_8x_0" localSheetId="57">'315'!$N$76:$N$77</definedName>
    <definedName name="OSRRefE21_8x_0" localSheetId="60">'316'!$N$61</definedName>
    <definedName name="OSRRefE21_8x_0" localSheetId="62">'317'!$N$68</definedName>
    <definedName name="OSRRefE21_8x_0" localSheetId="66">'321'!$N$58:$N$59</definedName>
    <definedName name="OSRRefE21_8x_0" localSheetId="68">'325'!$N$58</definedName>
    <definedName name="OSRRefE21_8x_0" localSheetId="58">'326'!$N$60</definedName>
    <definedName name="OSRRefE21_8x_0" localSheetId="56">'331'!$N$76:$N$77</definedName>
    <definedName name="OSRRefE21_8x_0" localSheetId="59">'332'!$N$61</definedName>
    <definedName name="OSRRefE21_8x_0" localSheetId="54">'333'!$N$78:$N$79</definedName>
    <definedName name="OSRRefE21_8x_0" localSheetId="73">'405'!$N$60</definedName>
    <definedName name="OSRRefE21_8x_0" localSheetId="75">'411'!$N$53:$N$55</definedName>
    <definedName name="OSRRefE21_8x_0" localSheetId="79">'415'!$N$61</definedName>
    <definedName name="OSRRefE21_8x_0" localSheetId="80">'418'!$N$57:$N$58</definedName>
    <definedName name="OSRRefE21_8x_0" localSheetId="86">'430'!$N$54</definedName>
    <definedName name="OSRRefE21_8x_0" localSheetId="87">'433'!$N$60</definedName>
    <definedName name="OSRRefE21_8x_0" localSheetId="89">'444'!$N$60</definedName>
    <definedName name="OSRRefE21_8x_0" localSheetId="90">'450'!$N$60</definedName>
    <definedName name="OSRRefE21_8x_0" localSheetId="72">'491'!$N$62</definedName>
    <definedName name="OSRRefE21_8x_0" localSheetId="85">'492'!$N$62</definedName>
    <definedName name="OSRRefE21_8x_0" localSheetId="92">'501'!$N$55</definedName>
    <definedName name="OSRRefE21_8x_0" localSheetId="39">'Div 2'!$N$55</definedName>
    <definedName name="OSRRefE21_8x_0" localSheetId="47">'Div 3'!$N$95</definedName>
    <definedName name="OSRRefE21_8x_0" localSheetId="70">'Div 4'!$N$65</definedName>
    <definedName name="OSRRefE21_8x_0" localSheetId="91">'Div 5'!$N$55</definedName>
    <definedName name="OSRRefE21_8x_0" localSheetId="61">'Div 6'!$N$68</definedName>
    <definedName name="OSRRefE21_8x_0" localSheetId="2">Summary!$N$103</definedName>
    <definedName name="OSRRefE21_8x_1" localSheetId="41">'201'!$O$52</definedName>
    <definedName name="OSRRefE21_8x_1" localSheetId="42">'202'!$O$54</definedName>
    <definedName name="OSRRefE21_8x_1" localSheetId="43">'203'!$O$53:$O$55</definedName>
    <definedName name="OSRRefE21_8x_1" localSheetId="44">'204'!$O$57</definedName>
    <definedName name="OSRRefE21_8x_1" localSheetId="48">'300'!$O$89</definedName>
    <definedName name="OSRRefE21_8x_1" localSheetId="49">'300 &amp; 317'!$O$95</definedName>
    <definedName name="OSRRefE21_8x_1" localSheetId="50">'301'!$O$56</definedName>
    <definedName name="OSRRefE21_8x_1" localSheetId="55">'307'!$O$66</definedName>
    <definedName name="OSRRefE21_8x_1" localSheetId="51">'308'!$O$69</definedName>
    <definedName name="OSRRefE21_8x_1" localSheetId="64">'309'!$O$43:$O$44</definedName>
    <definedName name="OSRRefE21_8x_1" localSheetId="63">'310'!$O$63</definedName>
    <definedName name="OSRRefE21_8x_1" localSheetId="71">'310 &amp; 491'!$O$63</definedName>
    <definedName name="OSRRefE21_8x_1" localSheetId="52">'311'!$O$69</definedName>
    <definedName name="OSRRefE21_8x_1" localSheetId="57">'315'!$O$76:$O$77</definedName>
    <definedName name="OSRRefE21_8x_1" localSheetId="60">'316'!$O$61</definedName>
    <definedName name="OSRRefE21_8x_1" localSheetId="62">'317'!$O$68</definedName>
    <definedName name="OSRRefE21_8x_1" localSheetId="66">'321'!$O$58:$O$59</definedName>
    <definedName name="OSRRefE21_8x_1" localSheetId="68">'325'!$O$58</definedName>
    <definedName name="OSRRefE21_8x_1" localSheetId="58">'326'!$O$60</definedName>
    <definedName name="OSRRefE21_8x_1" localSheetId="56">'331'!$O$76:$O$77</definedName>
    <definedName name="OSRRefE21_8x_1" localSheetId="59">'332'!$O$61</definedName>
    <definedName name="OSRRefE21_8x_1" localSheetId="54">'333'!$O$78:$O$79</definedName>
    <definedName name="OSRRefE21_8x_1" localSheetId="73">'405'!$O$60</definedName>
    <definedName name="OSRRefE21_8x_1" localSheetId="75">'411'!$O$53:$O$55</definedName>
    <definedName name="OSRRefE21_8x_1" localSheetId="79">'415'!$O$61</definedName>
    <definedName name="OSRRefE21_8x_1" localSheetId="80">'418'!$O$57:$O$58</definedName>
    <definedName name="OSRRefE21_8x_1" localSheetId="86">'430'!$O$54</definedName>
    <definedName name="OSRRefE21_8x_1" localSheetId="87">'433'!$O$60</definedName>
    <definedName name="OSRRefE21_8x_1" localSheetId="89">'444'!$O$60</definedName>
    <definedName name="OSRRefE21_8x_1" localSheetId="90">'450'!$O$60</definedName>
    <definedName name="OSRRefE21_8x_1" localSheetId="72">'491'!$O$62</definedName>
    <definedName name="OSRRefE21_8x_1" localSheetId="85">'492'!$O$62</definedName>
    <definedName name="OSRRefE21_8x_1" localSheetId="92">'501'!$O$55</definedName>
    <definedName name="OSRRefE21_8x_1" localSheetId="39">'Div 2'!$O$55</definedName>
    <definedName name="OSRRefE21_8x_1" localSheetId="47">'Div 3'!$O$95</definedName>
    <definedName name="OSRRefE21_8x_1" localSheetId="70">'Div 4'!$O$65</definedName>
    <definedName name="OSRRefE21_8x_1" localSheetId="91">'Div 5'!$O$55</definedName>
    <definedName name="OSRRefE21_8x_1" localSheetId="61">'Div 6'!$O$68</definedName>
    <definedName name="OSRRefE21_8x_1" localSheetId="2">Summary!$O$103</definedName>
    <definedName name="OSRRefE21_9_0x" localSheetId="41">'201'!$N$54:$O$54</definedName>
    <definedName name="OSRRefE21_9_0x" localSheetId="42">'202'!$N$56:$O$56</definedName>
    <definedName name="OSRRefE21_9_0x" localSheetId="43">'203'!$N$57:$O$57</definedName>
    <definedName name="OSRRefE21_9_0x" localSheetId="48">'300'!$N$91:$O$91</definedName>
    <definedName name="OSRRefE21_9_0x" localSheetId="49">'300 &amp; 317'!$N$97:$O$97</definedName>
    <definedName name="OSRRefE21_9_0x" localSheetId="50">'301'!$N$58:$O$58</definedName>
    <definedName name="OSRRefE21_9_0x" localSheetId="55">'307'!$N$68:$O$68</definedName>
    <definedName name="OSRRefE21_9_0x" localSheetId="51">'308'!$N$71:$O$71</definedName>
    <definedName name="OSRRefE21_9_0x" localSheetId="64">'309'!$N$46:$O$46</definedName>
    <definedName name="OSRRefE21_9_0x" localSheetId="63">'310'!$N$65:$O$65</definedName>
    <definedName name="OSRRefE21_9_0x" localSheetId="71">'310 &amp; 491'!$N$65:$O$65</definedName>
    <definedName name="OSRRefE21_9_0x" localSheetId="52">'311'!$N$71:$O$71</definedName>
    <definedName name="OSRRefE21_9_0x" localSheetId="57">'315'!$N$79:$O$79</definedName>
    <definedName name="OSRRefE21_9_0x" localSheetId="60">'316'!$N$63:$O$63</definedName>
    <definedName name="OSRRefE21_9_0x" localSheetId="62">'317'!$N$70:$O$70</definedName>
    <definedName name="OSRRefE21_9_0x" localSheetId="66">'321'!$N$61:$O$61</definedName>
    <definedName name="OSRRefE21_9_0x" localSheetId="68">'325'!$N$60:$O$60</definedName>
    <definedName name="OSRRefE21_9_0x" localSheetId="58">'326'!$N$62:$O$62</definedName>
    <definedName name="OSRRefE21_9_0x" localSheetId="56">'331'!$N$79:$O$79</definedName>
    <definedName name="OSRRefE21_9_0x" localSheetId="59">'332'!$N$63:$O$63</definedName>
    <definedName name="OSRRefE21_9_0x" localSheetId="54">'333'!$N$81:$O$81</definedName>
    <definedName name="OSRRefE21_9_0x" localSheetId="73">'405'!$N$62:$O$62</definedName>
    <definedName name="OSRRefE21_9_0x" localSheetId="75">'411'!$N$57:$O$57</definedName>
    <definedName name="OSRRefE21_9_0x" localSheetId="79">'415'!$N$63:$O$63</definedName>
    <definedName name="OSRRefE21_9_0x" localSheetId="80">'418'!$N$60:$O$60</definedName>
    <definedName name="OSRRefE21_9_0x" localSheetId="87">'433'!$N$62:$O$62</definedName>
    <definedName name="OSRRefE21_9_0x" localSheetId="89">'444'!$N$62:$O$62</definedName>
    <definedName name="OSRRefE21_9_0x" localSheetId="90">'450'!$N$62:$O$62</definedName>
    <definedName name="OSRRefE21_9_0x" localSheetId="72">'491'!$N$64:$O$64</definedName>
    <definedName name="OSRRefE21_9_0x" localSheetId="85">'492'!$N$64:$O$64</definedName>
    <definedName name="OSRRefE21_9_0x" localSheetId="92">'501'!$N$57:$O$57</definedName>
    <definedName name="OSRRefE21_9_0x" localSheetId="39">'Div 2'!$N$57:$O$57</definedName>
    <definedName name="OSRRefE21_9_0x" localSheetId="47">'Div 3'!$N$97:$O$97</definedName>
    <definedName name="OSRRefE21_9_0x" localSheetId="70">'Div 4'!$N$67:$O$67</definedName>
    <definedName name="OSRRefE21_9_0x" localSheetId="91">'Div 5'!$N$57:$O$57</definedName>
    <definedName name="OSRRefE21_9_0x" localSheetId="61">'Div 6'!$N$70:$O$70</definedName>
    <definedName name="OSRRefE21_9_0x" localSheetId="2">Summary!$N$105:$O$105</definedName>
    <definedName name="OSRRefE21_9_1x" localSheetId="41">'201'!$N$55:$O$55</definedName>
    <definedName name="OSRRefE21_9_1x" localSheetId="42">'202'!$N$57:$O$57</definedName>
    <definedName name="OSRRefE21_9_1x" localSheetId="43">'203'!$N$58:$O$58</definedName>
    <definedName name="OSRRefE21_9_1x" localSheetId="55">'307'!$N$69:$O$69</definedName>
    <definedName name="OSRRefE21_9_1x" localSheetId="51">'308'!$N$72:$O$72</definedName>
    <definedName name="OSRRefE21_9_1x" localSheetId="64">'309'!$N$47:$O$47</definedName>
    <definedName name="OSRRefE21_9_1x" localSheetId="52">'311'!$N$72:$O$72</definedName>
    <definedName name="OSRRefE21_9_1x" localSheetId="62">'317'!$N$71:$O$71</definedName>
    <definedName name="OSRRefE21_9_1x" localSheetId="66">'321'!$N$62:$O$62</definedName>
    <definedName name="OSRRefE21_9_1x" localSheetId="73">'405'!$N$63:$O$63</definedName>
    <definedName name="OSRRefE21_9_1x" localSheetId="75">'411'!$N$58:$O$58</definedName>
    <definedName name="OSRRefE21_9_1x" localSheetId="80">'418'!$N$61:$O$61</definedName>
    <definedName name="OSRRefE21_9_1x" localSheetId="92">'501'!$N$58:$O$58</definedName>
    <definedName name="OSRRefE21_9_1x" localSheetId="91">'Div 5'!$N$58:$O$58</definedName>
    <definedName name="OSRRefE21_9_1x" localSheetId="61">'Div 6'!$N$71:$O$71</definedName>
    <definedName name="OSRRefE21_9_2x" localSheetId="41">'201'!$N$56:$O$56</definedName>
    <definedName name="OSRRefE21_9_2x" localSheetId="51">'308'!$N$73:$O$73</definedName>
    <definedName name="OSRRefE21_9_2x" localSheetId="52">'311'!$N$73:$O$73</definedName>
    <definedName name="OSRRefE21_9_2x" localSheetId="66">'321'!$N$63:$O$63</definedName>
    <definedName name="OSRRefE21_9_2x" localSheetId="80">'418'!$N$62:$O$62</definedName>
    <definedName name="OSRRefE21_9_2x" localSheetId="92">'501'!$N$59:$O$59</definedName>
    <definedName name="OSRRefE21_9_2x" localSheetId="91">'Div 5'!$N$59:$O$59</definedName>
    <definedName name="OSRRefE21_9x_0" localSheetId="41">'201'!$N$54:$N$56</definedName>
    <definedName name="OSRRefE21_9x_0" localSheetId="42">'202'!$N$56:$N$57</definedName>
    <definedName name="OSRRefE21_9x_0" localSheetId="43">'203'!$N$57:$N$58</definedName>
    <definedName name="OSRRefE21_9x_0" localSheetId="48">'300'!$N$91</definedName>
    <definedName name="OSRRefE21_9x_0" localSheetId="49">'300 &amp; 317'!$N$97</definedName>
    <definedName name="OSRRefE21_9x_0" localSheetId="50">'301'!$N$58</definedName>
    <definedName name="OSRRefE21_9x_0" localSheetId="55">'307'!$N$68:$N$69</definedName>
    <definedName name="OSRRefE21_9x_0" localSheetId="51">'308'!$N$71:$N$73</definedName>
    <definedName name="OSRRefE21_9x_0" localSheetId="64">'309'!$N$46:$N$47</definedName>
    <definedName name="OSRRefE21_9x_0" localSheetId="63">'310'!$N$65</definedName>
    <definedName name="OSRRefE21_9x_0" localSheetId="71">'310 &amp; 491'!$N$65</definedName>
    <definedName name="OSRRefE21_9x_0" localSheetId="52">'311'!$N$71:$N$73</definedName>
    <definedName name="OSRRefE21_9x_0" localSheetId="57">'315'!$N$79</definedName>
    <definedName name="OSRRefE21_9x_0" localSheetId="60">'316'!$N$63</definedName>
    <definedName name="OSRRefE21_9x_0" localSheetId="62">'317'!$N$70:$N$71</definedName>
    <definedName name="OSRRefE21_9x_0" localSheetId="66">'321'!$N$61:$N$63</definedName>
    <definedName name="OSRRefE21_9x_0" localSheetId="68">'325'!$N$60</definedName>
    <definedName name="OSRRefE21_9x_0" localSheetId="58">'326'!$N$62</definedName>
    <definedName name="OSRRefE21_9x_0" localSheetId="56">'331'!$N$79</definedName>
    <definedName name="OSRRefE21_9x_0" localSheetId="59">'332'!$N$63</definedName>
    <definedName name="OSRRefE21_9x_0" localSheetId="54">'333'!$N$81</definedName>
    <definedName name="OSRRefE21_9x_0" localSheetId="73">'405'!$N$62:$N$63</definedName>
    <definedName name="OSRRefE21_9x_0" localSheetId="75">'411'!$N$57:$N$58</definedName>
    <definedName name="OSRRefE21_9x_0" localSheetId="79">'415'!$N$63</definedName>
    <definedName name="OSRRefE21_9x_0" localSheetId="80">'418'!$N$60:$N$62</definedName>
    <definedName name="OSRRefE21_9x_0" localSheetId="87">'433'!$N$62</definedName>
    <definedName name="OSRRefE21_9x_0" localSheetId="89">'444'!$N$62</definedName>
    <definedName name="OSRRefE21_9x_0" localSheetId="90">'450'!$N$62</definedName>
    <definedName name="OSRRefE21_9x_0" localSheetId="72">'491'!$N$64</definedName>
    <definedName name="OSRRefE21_9x_0" localSheetId="85">'492'!$N$64</definedName>
    <definedName name="OSRRefE21_9x_0" localSheetId="92">'501'!$N$57:$N$59</definedName>
    <definedName name="OSRRefE21_9x_0" localSheetId="39">'Div 2'!$N$57</definedName>
    <definedName name="OSRRefE21_9x_0" localSheetId="47">'Div 3'!$N$97</definedName>
    <definedName name="OSRRefE21_9x_0" localSheetId="70">'Div 4'!$N$67</definedName>
    <definedName name="OSRRefE21_9x_0" localSheetId="91">'Div 5'!$N$57:$N$59</definedName>
    <definedName name="OSRRefE21_9x_0" localSheetId="61">'Div 6'!$N$70:$N$71</definedName>
    <definedName name="OSRRefE21_9x_0" localSheetId="2">Summary!$N$105</definedName>
    <definedName name="OSRRefE21_9x_1" localSheetId="41">'201'!$O$54:$O$56</definedName>
    <definedName name="OSRRefE21_9x_1" localSheetId="42">'202'!$O$56:$O$57</definedName>
    <definedName name="OSRRefE21_9x_1" localSheetId="43">'203'!$O$57:$O$58</definedName>
    <definedName name="OSRRefE21_9x_1" localSheetId="48">'300'!$O$91</definedName>
    <definedName name="OSRRefE21_9x_1" localSheetId="49">'300 &amp; 317'!$O$97</definedName>
    <definedName name="OSRRefE21_9x_1" localSheetId="50">'301'!$O$58</definedName>
    <definedName name="OSRRefE21_9x_1" localSheetId="55">'307'!$O$68:$O$69</definedName>
    <definedName name="OSRRefE21_9x_1" localSheetId="51">'308'!$O$71:$O$73</definedName>
    <definedName name="OSRRefE21_9x_1" localSheetId="64">'309'!$O$46:$O$47</definedName>
    <definedName name="OSRRefE21_9x_1" localSheetId="63">'310'!$O$65</definedName>
    <definedName name="OSRRefE21_9x_1" localSheetId="71">'310 &amp; 491'!$O$65</definedName>
    <definedName name="OSRRefE21_9x_1" localSheetId="52">'311'!$O$71:$O$73</definedName>
    <definedName name="OSRRefE21_9x_1" localSheetId="57">'315'!$O$79</definedName>
    <definedName name="OSRRefE21_9x_1" localSheetId="60">'316'!$O$63</definedName>
    <definedName name="OSRRefE21_9x_1" localSheetId="62">'317'!$O$70:$O$71</definedName>
    <definedName name="OSRRefE21_9x_1" localSheetId="66">'321'!$O$61:$O$63</definedName>
    <definedName name="OSRRefE21_9x_1" localSheetId="68">'325'!$O$60</definedName>
    <definedName name="OSRRefE21_9x_1" localSheetId="58">'326'!$O$62</definedName>
    <definedName name="OSRRefE21_9x_1" localSheetId="56">'331'!$O$79</definedName>
    <definedName name="OSRRefE21_9x_1" localSheetId="59">'332'!$O$63</definedName>
    <definedName name="OSRRefE21_9x_1" localSheetId="54">'333'!$O$81</definedName>
    <definedName name="OSRRefE21_9x_1" localSheetId="73">'405'!$O$62:$O$63</definedName>
    <definedName name="OSRRefE21_9x_1" localSheetId="75">'411'!$O$57:$O$58</definedName>
    <definedName name="OSRRefE21_9x_1" localSheetId="79">'415'!$O$63</definedName>
    <definedName name="OSRRefE21_9x_1" localSheetId="80">'418'!$O$60:$O$62</definedName>
    <definedName name="OSRRefE21_9x_1" localSheetId="87">'433'!$O$62</definedName>
    <definedName name="OSRRefE21_9x_1" localSheetId="89">'444'!$O$62</definedName>
    <definedName name="OSRRefE21_9x_1" localSheetId="90">'450'!$O$62</definedName>
    <definedName name="OSRRefE21_9x_1" localSheetId="72">'491'!$O$64</definedName>
    <definedName name="OSRRefE21_9x_1" localSheetId="85">'492'!$O$64</definedName>
    <definedName name="OSRRefE21_9x_1" localSheetId="92">'501'!$O$57:$O$59</definedName>
    <definedName name="OSRRefE21_9x_1" localSheetId="39">'Div 2'!$O$57</definedName>
    <definedName name="OSRRefE21_9x_1" localSheetId="47">'Div 3'!$O$97</definedName>
    <definedName name="OSRRefE21_9x_1" localSheetId="70">'Div 4'!$O$67</definedName>
    <definedName name="OSRRefE21_9x_1" localSheetId="91">'Div 5'!$O$57:$O$59</definedName>
    <definedName name="OSRRefE21_9x_1" localSheetId="61">'Div 6'!$O$70:$O$71</definedName>
    <definedName name="OSRRefE21_9x_1" localSheetId="2">Summary!$O$105</definedName>
    <definedName name="OSRRefE23_0x" localSheetId="38">'100'!$N$19:$O$19</definedName>
    <definedName name="OSRRefE23_0x" localSheetId="40">'200'!$N$27:$O$27</definedName>
    <definedName name="OSRRefE23_0x" localSheetId="41">'201'!$N$70:$O$70</definedName>
    <definedName name="OSRRefE23_0x" localSheetId="42">'202'!$N$65:$O$65</definedName>
    <definedName name="OSRRefE23_0x" localSheetId="43">'203'!$N$72:$O$72</definedName>
    <definedName name="OSRRefE23_0x" localSheetId="44">'204'!$N$59:$O$59</definedName>
    <definedName name="OSRRefE23_0x" localSheetId="45">'205'!$N$54:$O$54</definedName>
    <definedName name="OSRRefE23_0x" localSheetId="46">'206'!$N$50:$O$50</definedName>
    <definedName name="OSRRefE23_0x" localSheetId="48">'300'!$N$142:$O$142</definedName>
    <definedName name="OSRRefE23_0x" localSheetId="49">'300 &amp; 317'!$N$148:$O$148</definedName>
    <definedName name="OSRRefE23_0x" localSheetId="50">'301'!$N$96:$O$96</definedName>
    <definedName name="OSRRefE23_0x" localSheetId="55">'307'!$N$83:$O$83</definedName>
    <definedName name="OSRRefE23_0x" localSheetId="51">'308'!$N$86:$O$86</definedName>
    <definedName name="OSRRefE23_0x" localSheetId="64">'309'!$N$56:$O$56</definedName>
    <definedName name="OSRRefE23_0x" localSheetId="63">'310'!$N$93:$O$93</definedName>
    <definedName name="OSRRefE23_0x" localSheetId="71">'310 &amp; 491'!$N$106:$O$106</definedName>
    <definedName name="OSRRefE23_0x" localSheetId="52">'311'!$N$86:$O$86</definedName>
    <definedName name="OSRRefE23_0x" localSheetId="65">'313'!$N$25:$O$25</definedName>
    <definedName name="OSRRefE23_0x" localSheetId="57">'315'!$N$106:$O$106</definedName>
    <definedName name="OSRRefE23_0x" localSheetId="60">'316'!$N$73:$O$73</definedName>
    <definedName name="OSRRefE23_0x" localSheetId="62">'317'!$N$75:$O$75</definedName>
    <definedName name="OSRRefE23_0x" localSheetId="66">'321'!$N$74:$O$74</definedName>
    <definedName name="OSRRefE23_0x" localSheetId="67">'322'!$N$21:$O$21</definedName>
    <definedName name="OSRRefE23_0x" localSheetId="53">'324'!$N$22:$O$22</definedName>
    <definedName name="OSRRefE23_0x" localSheetId="68">'325'!$N$85:$O$85</definedName>
    <definedName name="OSRRefE23_0x" localSheetId="58">'326'!$N$86:$O$86</definedName>
    <definedName name="OSRRefE23_0x" localSheetId="69">'327'!$N$29:$O$29</definedName>
    <definedName name="OSRRefE23_0x" localSheetId="56">'331'!$N$117:$O$117</definedName>
    <definedName name="OSRRefE23_0x" localSheetId="59">'332'!$N$73:$O$73</definedName>
    <definedName name="OSRRefE23_0x" localSheetId="54">'333'!$N$121:$O$121</definedName>
    <definedName name="OSRRefE23_0x" localSheetId="73">'405'!$N$87:$O$87</definedName>
    <definedName name="OSRRefE23_0x" localSheetId="74">'406'!$N$21:$O$21</definedName>
    <definedName name="OSRRefE23_0x" localSheetId="75">'411'!$N$72:$O$72</definedName>
    <definedName name="OSRRefE23_0x" localSheetId="76">'412'!$N$27:$O$27</definedName>
    <definedName name="OSRRefE23_0x" localSheetId="77">'413'!$N$23:$O$23</definedName>
    <definedName name="OSRRefE23_0x" localSheetId="78">'414'!$N$23:$O$23</definedName>
    <definedName name="OSRRefE23_0x" localSheetId="79">'415'!$N$91:$O$91</definedName>
    <definedName name="OSRRefE23_0x" localSheetId="80">'418'!$N$80:$O$80</definedName>
    <definedName name="OSRRefE23_0x" localSheetId="81">'423'!$N$45:$O$45</definedName>
    <definedName name="OSRRefE23_0x" localSheetId="82">'424'!$N$23:$O$23</definedName>
    <definedName name="OSRRefE23_0x" localSheetId="83">'425'!$N$31:$O$31</definedName>
    <definedName name="OSRRefE23_0x" localSheetId="86">'430'!$N$56:$O$56</definedName>
    <definedName name="OSRRefE23_0x" localSheetId="87">'433'!$N$88:$O$88</definedName>
    <definedName name="OSRRefE23_0x" localSheetId="88">'435'!$N$33:$O$33</definedName>
    <definedName name="OSRRefE23_0x" localSheetId="89">'444'!$N$88:$O$88</definedName>
    <definedName name="OSRRefE23_0x" localSheetId="90">'450'!$N$88:$O$88</definedName>
    <definedName name="OSRRefE23_0x" localSheetId="84">'455'!$N$19:$O$19</definedName>
    <definedName name="OSRRefE23_0x" localSheetId="72">'491'!$N$104:$O$104</definedName>
    <definedName name="OSRRefE23_0x" localSheetId="85">'492'!$N$97:$O$97</definedName>
    <definedName name="OSRRefE23_0x" localSheetId="92">'501'!$N$71:$O$71</definedName>
    <definedName name="OSRRefE23_0x" localSheetId="5">'Div 1'!$N$19:$O$19</definedName>
    <definedName name="OSRRefE23_0x" localSheetId="39">'Div 2'!$N$93:$O$93</definedName>
    <definedName name="OSRRefE23_0x" localSheetId="47">'Div 3'!$N$151:$O$151</definedName>
    <definedName name="OSRRefE23_0x" localSheetId="70">'Div 4'!$N$112:$O$112</definedName>
    <definedName name="OSRRefE23_0x" localSheetId="91">'Div 5'!$N$71:$O$71</definedName>
    <definedName name="OSRRefE23_0x" localSheetId="61">'Div 6'!$N$75:$O$75</definedName>
    <definedName name="OSRRefE23_0x" localSheetId="2">Summary!$N$165:$O$165</definedName>
    <definedName name="OSRRefE28_0x" localSheetId="38">'100'!$N$24:$O$24</definedName>
    <definedName name="OSRRefE28_0x" localSheetId="40">'200'!$N$32:$O$32</definedName>
    <definedName name="OSRRefE28_0x" localSheetId="41">'201'!$N$75:$O$75</definedName>
    <definedName name="OSRRefE28_0x" localSheetId="42">'202'!$N$70:$O$70</definedName>
    <definedName name="OSRRefE28_0x" localSheetId="43">'203'!$N$77:$O$77</definedName>
    <definedName name="OSRRefE28_0x" localSheetId="44">'204'!$N$64:$O$64</definedName>
    <definedName name="OSRRefE28_0x" localSheetId="45">'205'!$N$59:$O$59</definedName>
    <definedName name="OSRRefE28_0x" localSheetId="46">'206'!$N$55:$O$55</definedName>
    <definedName name="OSRRefE28_0x" localSheetId="48">'300'!$N$147:$O$147</definedName>
    <definedName name="OSRRefE28_0x" localSheetId="49">'300 &amp; 317'!$N$153:$O$153</definedName>
    <definedName name="OSRRefE28_0x" localSheetId="50">'301'!$N$101:$O$101</definedName>
    <definedName name="OSRRefE28_0x" localSheetId="55">'307'!$N$88:$O$88</definedName>
    <definedName name="OSRRefE28_0x" localSheetId="51">'308'!$N$91:$O$91</definedName>
    <definedName name="OSRRefE28_0x" localSheetId="64">'309'!$N$61:$O$61</definedName>
    <definedName name="OSRRefE28_0x" localSheetId="63">'310'!$N$98:$O$98</definedName>
    <definedName name="OSRRefE28_0x" localSheetId="71">'310 &amp; 491'!$N$111:$O$111</definedName>
    <definedName name="OSRRefE28_0x" localSheetId="52">'311'!$N$91:$O$91</definedName>
    <definedName name="OSRRefE28_0x" localSheetId="65">'313'!$N$30:$O$30</definedName>
    <definedName name="OSRRefE28_0x" localSheetId="57">'315'!$N$111:$O$111</definedName>
    <definedName name="OSRRefE28_0x" localSheetId="60">'316'!$N$78:$O$78</definedName>
    <definedName name="OSRRefE28_0x" localSheetId="62">'317'!$N$80:$O$80</definedName>
    <definedName name="OSRRefE28_0x" localSheetId="66">'321'!$N$79:$O$79</definedName>
    <definedName name="OSRRefE28_0x" localSheetId="67">'322'!$N$26:$O$26</definedName>
    <definedName name="OSRRefE28_0x" localSheetId="53">'324'!$N$27:$O$27</definedName>
    <definedName name="OSRRefE28_0x" localSheetId="68">'325'!$N$90:$O$90</definedName>
    <definedName name="OSRRefE28_0x" localSheetId="58">'326'!$N$91:$O$91</definedName>
    <definedName name="OSRRefE28_0x" localSheetId="69">'327'!$N$34:$O$34</definedName>
    <definedName name="OSRRefE28_0x" localSheetId="56">'331'!$N$122:$O$122</definedName>
    <definedName name="OSRRefE28_0x" localSheetId="59">'332'!$N$78:$O$78</definedName>
    <definedName name="OSRRefE28_0x" localSheetId="54">'333'!$N$126:$O$126</definedName>
    <definedName name="OSRRefE28_0x" localSheetId="73">'405'!$N$92:$O$92</definedName>
    <definedName name="OSRRefE28_0x" localSheetId="74">'406'!$N$26:$O$26</definedName>
    <definedName name="OSRRefE28_0x" localSheetId="75">'411'!$N$77:$O$77</definedName>
    <definedName name="OSRRefE28_0x" localSheetId="76">'412'!$N$32:$O$32</definedName>
    <definedName name="OSRRefE28_0x" localSheetId="77">'413'!$N$28:$O$28</definedName>
    <definedName name="OSRRefE28_0x" localSheetId="78">'414'!$N$28:$O$28</definedName>
    <definedName name="OSRRefE28_0x" localSheetId="79">'415'!$N$96:$O$96</definedName>
    <definedName name="OSRRefE28_0x" localSheetId="80">'418'!$N$85:$O$85</definedName>
    <definedName name="OSRRefE28_0x" localSheetId="81">'423'!$N$50:$O$50</definedName>
    <definedName name="OSRRefE28_0x" localSheetId="82">'424'!$N$28:$O$28</definedName>
    <definedName name="OSRRefE28_0x" localSheetId="83">'425'!$N$36:$O$36</definedName>
    <definedName name="OSRRefE28_0x" localSheetId="86">'430'!$N$61:$O$61</definedName>
    <definedName name="OSRRefE28_0x" localSheetId="87">'433'!$N$93:$O$93</definedName>
    <definedName name="OSRRefE28_0x" localSheetId="88">'435'!$N$38:$O$38</definedName>
    <definedName name="OSRRefE28_0x" localSheetId="89">'444'!$N$93:$O$93</definedName>
    <definedName name="OSRRefE28_0x" localSheetId="90">'450'!$N$93:$O$93</definedName>
    <definedName name="OSRRefE28_0x" localSheetId="84">'455'!$N$24:$O$24</definedName>
    <definedName name="OSRRefE28_0x" localSheetId="72">'491'!$N$109:$O$109</definedName>
    <definedName name="OSRRefE28_0x" localSheetId="85">'492'!$N$102:$O$102</definedName>
    <definedName name="OSRRefE28_0x" localSheetId="92">'501'!$N$76:$O$76</definedName>
    <definedName name="OSRRefE28_0x" localSheetId="47">'Div 3'!$N$156:$O$156</definedName>
    <definedName name="OSRRefE28_0x" localSheetId="70">'Div 4'!$N$117:$O$117</definedName>
    <definedName name="OSRRefE28_0x" localSheetId="91">'Div 5'!$N$76:$O$76</definedName>
    <definedName name="OSRRefE28_0x" localSheetId="61">'Div 6'!$N$80:$O$80</definedName>
    <definedName name="OSRRefE28_0x" localSheetId="2">Summary!$N$170:$O$170</definedName>
    <definedName name="OSRRefE33_0x" localSheetId="38">'100'!$N$29:$O$29</definedName>
    <definedName name="OSRRefE33_0x" localSheetId="5">'Div 1'!$N$28:$O$28</definedName>
    <definedName name="OSRRefE33_0x" localSheetId="2">Summary!$N$175:$O$175</definedName>
    <definedName name="OSRRefE34_0x" localSheetId="38">'100'!$N$30:$O$30</definedName>
    <definedName name="OSRRefE34_0x" localSheetId="5">'Div 1'!$N$29:$O$29</definedName>
    <definedName name="OSRRefE34_0x" localSheetId="2">Summary!$N$176:$O$176</definedName>
    <definedName name="OSRRefG11x" localSheetId="48">'300'!$Q$11:$Q$17</definedName>
    <definedName name="OSRRefG11x" localSheetId="49">'300 &amp; 317'!$Q$11:$Q$17</definedName>
    <definedName name="OSRRefG11x" localSheetId="55">'307'!$Q$11:$Q$14</definedName>
    <definedName name="OSRRefG11x" localSheetId="51">'308'!$Q$11:$Q$15</definedName>
    <definedName name="OSRRefG11x" localSheetId="64">'309'!$Q$11:$Q$14</definedName>
    <definedName name="OSRRefG11x" localSheetId="63">'310'!$Q$11:$Q$16</definedName>
    <definedName name="OSRRefG11x" localSheetId="71">'310 &amp; 491'!$Q$11:$Q$16</definedName>
    <definedName name="OSRRefG11x" localSheetId="52">'311'!$Q$11:$Q$15</definedName>
    <definedName name="OSRRefG11x" localSheetId="57">'315'!$Q$11:$Q$15</definedName>
    <definedName name="OSRRefG11x" localSheetId="60">'316'!$Q$11:$Q$15</definedName>
    <definedName name="OSRRefG11x" localSheetId="62">'317'!$Q$11:$Q$15</definedName>
    <definedName name="OSRRefG11x" localSheetId="66">'321'!$Q$11:$Q$12</definedName>
    <definedName name="OSRRefG11x" localSheetId="53">'324'!$Q$11:$Q$12</definedName>
    <definedName name="OSRRefG11x" localSheetId="68">'325'!$Q$11:$Q$12</definedName>
    <definedName name="OSRRefG11x" localSheetId="58">'326'!$Q$11:$Q$14</definedName>
    <definedName name="OSRRefG11x" localSheetId="69">'327'!$Q$11:$Q$13</definedName>
    <definedName name="OSRRefG11x" localSheetId="56">'331'!$Q$11:$Q$15</definedName>
    <definedName name="OSRRefG11x" localSheetId="59">'332'!$Q$11:$Q$15</definedName>
    <definedName name="OSRRefG11x" localSheetId="54">'333'!$Q$11:$Q$15</definedName>
    <definedName name="OSRRefG11x" localSheetId="73">'405'!$Q$11:$Q$14</definedName>
    <definedName name="OSRRefG11x" localSheetId="79">'415'!$Q$11:$Q$14</definedName>
    <definedName name="OSRRefG11x" localSheetId="80">'418'!$Q$11:$Q$12</definedName>
    <definedName name="OSRRefG11x" localSheetId="83">'425'!$Q$11</definedName>
    <definedName name="OSRRefG11x" localSheetId="87">'433'!$Q$11:$Q$14</definedName>
    <definedName name="OSRRefG11x" localSheetId="88">'435'!$Q$11:$Q$12</definedName>
    <definedName name="OSRRefG11x" localSheetId="89">'444'!$Q$11:$Q$14</definedName>
    <definedName name="OSRRefG11x" localSheetId="90">'450'!$Q$11:$Q$14</definedName>
    <definedName name="OSRRefG11x" localSheetId="72">'491'!$Q$11:$Q$15</definedName>
    <definedName name="OSRRefG11x" localSheetId="85">'492'!$Q$11:$Q$16</definedName>
    <definedName name="OSRRefG11x" localSheetId="92">'501'!$Q$11</definedName>
    <definedName name="OSRRefG11x" localSheetId="47">'Div 3'!$Q$11:$Q$21</definedName>
    <definedName name="OSRRefG11x" localSheetId="70">'Div 4'!$Q$11:$Q$18</definedName>
    <definedName name="OSRRefG11x" localSheetId="91">'Div 5'!$Q$11</definedName>
    <definedName name="OSRRefG11x" localSheetId="61">'Div 6'!$Q$11:$Q$15</definedName>
    <definedName name="OSRRefG11x" localSheetId="2">Summary!$Q$11:$Q$23</definedName>
    <definedName name="OSRRefG14x" localSheetId="48">'300'!$Q$20:$Q$46</definedName>
    <definedName name="OSRRefG14x" localSheetId="49">'300 &amp; 317'!$Q$20:$Q$52</definedName>
    <definedName name="OSRRefG14x" localSheetId="50">'301'!$Q$13</definedName>
    <definedName name="OSRRefG14x" localSheetId="55">'307'!$Q$17:$Q$26</definedName>
    <definedName name="OSRRefG14x" localSheetId="51">'308'!$Q$18:$Q$27</definedName>
    <definedName name="OSRRefG14x" localSheetId="64">'309'!$Q$17:$Q$18</definedName>
    <definedName name="OSRRefG14x" localSheetId="63">'310'!$Q$19:$Q$21</definedName>
    <definedName name="OSRRefG14x" localSheetId="71">'310 &amp; 491'!$Q$19:$Q$21</definedName>
    <definedName name="OSRRefG14x" localSheetId="52">'311'!$Q$18:$Q$27</definedName>
    <definedName name="OSRRefG14x" localSheetId="57">'315'!$Q$18:$Q$36</definedName>
    <definedName name="OSRRefG14x" localSheetId="60">'316'!$Q$18:$Q$19</definedName>
    <definedName name="OSRRefG14x" localSheetId="62">'317'!$Q$18:$Q$27</definedName>
    <definedName name="OSRRefG14x" localSheetId="66">'321'!$Q$15:$Q$16</definedName>
    <definedName name="OSRRefG14x" localSheetId="53">'324'!$Q$15</definedName>
    <definedName name="OSRRefG14x" localSheetId="68">'325'!$Q$15:$Q$17</definedName>
    <definedName name="OSRRefG14x" localSheetId="58">'326'!$Q$17:$Q$20</definedName>
    <definedName name="OSRRefG14x" localSheetId="69">'327'!$Q$16:$Q$18</definedName>
    <definedName name="OSRRefG14x" localSheetId="56">'331'!$Q$18:$Q$36</definedName>
    <definedName name="OSRRefG14x" localSheetId="59">'332'!$Q$18:$Q$19</definedName>
    <definedName name="OSRRefG14x" localSheetId="54">'333'!$Q$18:$Q$38</definedName>
    <definedName name="OSRRefG14x" localSheetId="73">'405'!$Q$17:$Q$19</definedName>
    <definedName name="OSRRefG14x" localSheetId="79">'415'!$Q$17:$Q$19</definedName>
    <definedName name="OSRRefG14x" localSheetId="80">'418'!$Q$15:$Q$16</definedName>
    <definedName name="OSRRefG14x" localSheetId="83">'425'!$Q$14</definedName>
    <definedName name="OSRRefG14x" localSheetId="87">'433'!$Q$17:$Q$19</definedName>
    <definedName name="OSRRefG14x" localSheetId="88">'435'!$Q$15</definedName>
    <definedName name="OSRRefG14x" localSheetId="89">'444'!$Q$17:$Q$19</definedName>
    <definedName name="OSRRefG14x" localSheetId="90">'450'!$Q$17:$Q$19</definedName>
    <definedName name="OSRRefG14x" localSheetId="72">'491'!$Q$18:$Q$20</definedName>
    <definedName name="OSRRefG14x" localSheetId="85">'492'!$Q$19:$Q$21</definedName>
    <definedName name="OSRRefG14x" localSheetId="47">'Div 3'!$Q$24:$Q$52</definedName>
    <definedName name="OSRRefG14x" localSheetId="70">'Div 4'!$Q$21:$Q$23</definedName>
    <definedName name="OSRRefG14x" localSheetId="61">'Div 6'!$Q$18:$Q$27</definedName>
    <definedName name="OSRRefG14x" localSheetId="2">Summary!$Q$26:$Q$60</definedName>
    <definedName name="OSRRefG20x" localSheetId="40">'200'!$Q$18,'200'!$Q$20,'200'!$Q$22,'200'!$Q$24</definedName>
    <definedName name="OSRRefG20x" localSheetId="41">'201'!$Q$18,'201'!$Q$28,'201'!$Q$39,'201'!$Q$41,'201'!$Q$43,'201'!$Q$45,'201'!$Q$47,'201'!$Q$49,'201'!$Q$51,'201'!$Q$53,'201'!$Q$57,'201'!$Q$60,'201'!$Q$62,'201'!$Q$65,'201'!$Q$67</definedName>
    <definedName name="OSRRefG20x" localSheetId="42">'202'!$Q$18,'202'!$Q$28,'202'!$Q$39,'202'!$Q$41,'202'!$Q$43,'202'!$Q$45,'202'!$Q$47,'202'!$Q$49,'202'!$Q$53,'202'!$Q$55,'202'!$Q$58,'202'!$Q$60,'202'!$Q$62</definedName>
    <definedName name="OSRRefG20x" localSheetId="43">'203'!$Q$18,'203'!$Q$29,'203'!$Q$40,'203'!$Q$42,'203'!$Q$44,'203'!$Q$46,'203'!$Q$48,'203'!$Q$50,'203'!$Q$52,'203'!$Q$56,'203'!$Q$59,'203'!$Q$62,'203'!$Q$67,'203'!$Q$69</definedName>
    <definedName name="OSRRefG20x" localSheetId="44">'204'!$Q$18,'204'!$Q$28,'204'!$Q$39,'204'!$Q$42,'204'!$Q$44,'204'!$Q$49,'204'!$Q$51,'204'!$Q$54,'204'!$Q$56</definedName>
    <definedName name="OSRRefG20x" localSheetId="45">'205'!$Q$18,'205'!$Q$28,'205'!$Q$39,'205'!$Q$41,'205'!$Q$43,'205'!$Q$46,'205'!$Q$48,'205'!$Q$51</definedName>
    <definedName name="OSRRefG20x" localSheetId="46">'206'!$Q$18,'206'!$Q$28,'206'!$Q$39,'206'!$Q$41,'206'!$Q$44,'206'!$Q$46</definedName>
    <definedName name="OSRRefG20x" localSheetId="48">'300'!$Q$52,'300'!$Q$63,'300'!$Q$74,'300'!$Q$76,'300'!$Q$78,'300'!$Q$80,'300'!$Q$83,'300'!$Q$86,'300'!$Q$88,'300'!$Q$90,'300'!$Q$92,'300'!$Q$95,'300'!$Q$97,'300'!$Q$99,'300'!$Q$101,'300'!$Q$103,'300'!$Q$105,'300'!$Q$110,'300'!$Q$115,'300'!$Q$119,'300'!$Q$122,'300'!$Q$130,'300'!$Q$133,'300'!$Q$135,'300'!$Q$139</definedName>
    <definedName name="OSRRefG20x" localSheetId="49">'300 &amp; 317'!$Q$58,'300 &amp; 317'!$Q$69,'300 &amp; 317'!$Q$80,'300 &amp; 317'!$Q$82,'300 &amp; 317'!$Q$84,'300 &amp; 317'!$Q$86,'300 &amp; 317'!$Q$89,'300 &amp; 317'!$Q$92,'300 &amp; 317'!$Q$94,'300 &amp; 317'!$Q$96,'300 &amp; 317'!$Q$98,'300 &amp; 317'!$Q$101,'300 &amp; 317'!$Q$103,'300 &amp; 317'!$Q$105,'300 &amp; 317'!$Q$107,'300 &amp; 317'!$Q$109,'300 &amp; 317'!$Q$111,'300 &amp; 317'!$Q$116,'300 &amp; 317'!$Q$121,'300 &amp; 317'!$Q$125,'300 &amp; 317'!$Q$128,'300 &amp; 317'!$Q$136,'300 &amp; 317'!$Q$139,'300 &amp; 317'!$Q$141,'300 &amp; 317'!$Q$145</definedName>
    <definedName name="OSRRefG20x" localSheetId="50">'301'!$Q$19,'301'!$Q$30,'301'!$Q$41,'301'!$Q$43,'301'!$Q$45,'301'!$Q$47,'301'!$Q$50,'301'!$Q$53,'301'!$Q$55,'301'!$Q$57,'301'!$Q$59,'301'!$Q$61,'301'!$Q$63,'301'!$Q$65,'301'!$Q$67,'301'!$Q$69,'301'!$Q$74,'301'!$Q$77,'301'!$Q$79,'301'!$Q$86,'301'!$Q$88,'301'!$Q$90,'301'!$Q$93</definedName>
    <definedName name="OSRRefG20x" localSheetId="55">'307'!$Q$32,'307'!$Q$42,'307'!$Q$53,'307'!$Q$55,'307'!$Q$57,'307'!$Q$59,'307'!$Q$61,'307'!$Q$63,'307'!$Q$65,'307'!$Q$67,'307'!$Q$70,'307'!$Q$73,'307'!$Q$75,'307'!$Q$80</definedName>
    <definedName name="OSRRefG20x" localSheetId="51">'308'!$Q$33,'308'!$Q$44,'308'!$Q$55,'308'!$Q$57,'308'!$Q$59,'308'!$Q$61,'308'!$Q$63,'308'!$Q$66,'308'!$Q$68,'308'!$Q$70,'308'!$Q$74,'308'!$Q$77,'308'!$Q$80,'308'!$Q$83</definedName>
    <definedName name="OSRRefG20x" localSheetId="64">'309'!$Q$24,'309'!$Q$27,'309'!$Q$30,'309'!$Q$32,'309'!$Q$34,'309'!$Q$36,'309'!$Q$38,'309'!$Q$40,'309'!$Q$42,'309'!$Q$45,'309'!$Q$48,'309'!$Q$51,'309'!$Q$53</definedName>
    <definedName name="OSRRefG20x" localSheetId="63">'310'!$Q$27,'310'!$Q$38,'310'!$Q$49,'310'!$Q$51,'310'!$Q$53,'310'!$Q$55,'310'!$Q$58,'310'!$Q$60,'310'!$Q$62,'310'!$Q$64,'310'!$Q$66,'310'!$Q$68,'310'!$Q$71,'310'!$Q$74,'310'!$Q$78,'310'!$Q$85,'310'!$Q$88,'310'!$Q$90</definedName>
    <definedName name="OSRRefG20x" localSheetId="71">'310 &amp; 491'!$Q$27,'310 &amp; 491'!$Q$38,'310 &amp; 491'!$Q$49,'310 &amp; 491'!$Q$51,'310 &amp; 491'!$Q$53,'310 &amp; 491'!$Q$55,'310 &amp; 491'!$Q$58,'310 &amp; 491'!$Q$60,'310 &amp; 491'!$Q$62,'310 &amp; 491'!$Q$64,'310 &amp; 491'!$Q$66,'310 &amp; 491'!$Q$68,'310 &amp; 491'!$Q$70,'310 &amp; 491'!$Q$74,'310 &amp; 491'!$Q$77,'310 &amp; 491'!$Q$83,'310 &amp; 491'!$Q$85,'310 &amp; 491'!$Q$95,'310 &amp; 491'!$Q$98,'310 &amp; 491'!$Q$100,'310 &amp; 491'!$Q$103</definedName>
    <definedName name="OSRRefG20x" localSheetId="52">'311'!$Q$33,'311'!$Q$44,'311'!$Q$55,'311'!$Q$57,'311'!$Q$59,'311'!$Q$61,'311'!$Q$63,'311'!$Q$66,'311'!$Q$68,'311'!$Q$70,'311'!$Q$74,'311'!$Q$77,'311'!$Q$80,'311'!$Q$83</definedName>
    <definedName name="OSRRefG20x" localSheetId="65">'313'!$Q$18,'313'!$Q$20,'313'!$Q$22</definedName>
    <definedName name="OSRRefG20x" localSheetId="57">'315'!$Q$42,'315'!$Q$52,'315'!$Q$63,'315'!$Q$65,'315'!$Q$67,'315'!$Q$69,'315'!$Q$71,'315'!$Q$73,'315'!$Q$75,'315'!$Q$78,'315'!$Q$80,'315'!$Q$82,'315'!$Q$84,'315'!$Q$87,'315'!$Q$91,'315'!$Q$94,'315'!$Q$99,'315'!$Q$101,'315'!$Q$103</definedName>
    <definedName name="OSRRefG20x" localSheetId="60">'316'!$Q$25,'316'!$Q$35,'316'!$Q$46,'316'!$Q$48,'316'!$Q$50,'316'!$Q$52,'316'!$Q$55,'316'!$Q$57,'316'!$Q$60,'316'!$Q$62,'316'!$Q$64,'316'!$Q$70</definedName>
    <definedName name="OSRRefG20x" localSheetId="62">'317'!$Q$33,'317'!$Q$44,'317'!$Q$55,'317'!$Q$57,'317'!$Q$59,'317'!$Q$61,'317'!$Q$63,'317'!$Q$65,'317'!$Q$67,'317'!$Q$69,'317'!$Q$72</definedName>
    <definedName name="OSRRefG20x" localSheetId="66">'321'!$Q$22,'321'!$Q$33,'321'!$Q$44,'321'!$Q$46,'321'!$Q$48,'321'!$Q$50,'321'!$Q$52,'321'!$Q$54,'321'!$Q$57,'321'!$Q$60,'321'!$Q$64,'321'!$Q$69,'321'!$Q$71</definedName>
    <definedName name="OSRRefG20x" localSheetId="67">'322'!$Q$18</definedName>
    <definedName name="OSRRefG20x" localSheetId="68">'325'!$Q$23,'325'!$Q$33,'325'!$Q$44,'325'!$Q$46,'325'!$Q$48,'325'!$Q$50,'325'!$Q$53,'325'!$Q$55,'325'!$Q$57,'325'!$Q$59,'325'!$Q$61,'325'!$Q$63,'325'!$Q$66,'325'!$Q$70,'325'!$Q$77,'325'!$Q$80,'325'!$Q$82</definedName>
    <definedName name="OSRRefG20x" localSheetId="58">'326'!$Q$26,'326'!$Q$36,'326'!$Q$47,'326'!$Q$49,'326'!$Q$51,'326'!$Q$53,'326'!$Q$55,'326'!$Q$57,'326'!$Q$59,'326'!$Q$61,'326'!$Q$63,'326'!$Q$65,'326'!$Q$68,'326'!$Q$71,'326'!$Q$74,'326'!$Q$78,'326'!$Q$80,'326'!$Q$83</definedName>
    <definedName name="OSRRefG20x" localSheetId="69">'327'!$Q$24,'327'!$Q$26</definedName>
    <definedName name="OSRRefG20x" localSheetId="56">'331'!$Q$42,'331'!$Q$52,'331'!$Q$63,'331'!$Q$65,'331'!$Q$67,'331'!$Q$69,'331'!$Q$71,'331'!$Q$73,'331'!$Q$75,'331'!$Q$78,'331'!$Q$80,'331'!$Q$82,'331'!$Q$84,'331'!$Q$86,'331'!$Q$88,'331'!$Q$91,'331'!$Q$95,'331'!$Q$98,'331'!$Q$101,'331'!$Q$107,'331'!$Q$109,'331'!$Q$111,'331'!$Q$114</definedName>
    <definedName name="OSRRefG20x" localSheetId="59">'332'!$Q$25,'332'!$Q$35,'332'!$Q$46,'332'!$Q$48,'332'!$Q$50,'332'!$Q$52,'332'!$Q$55,'332'!$Q$57,'332'!$Q$60,'332'!$Q$62,'332'!$Q$64,'332'!$Q$70</definedName>
    <definedName name="OSRRefG20x" localSheetId="54">'333'!$Q$44,'333'!$Q$54,'333'!$Q$65,'333'!$Q$67,'333'!$Q$69,'333'!$Q$71,'333'!$Q$73,'333'!$Q$75,'333'!$Q$77,'333'!$Q$80,'333'!$Q$82,'333'!$Q$84,'333'!$Q$86,'333'!$Q$88,'333'!$Q$90,'333'!$Q$93,'333'!$Q$97,'333'!$Q$101,'333'!$Q$104,'333'!$Q$111,'333'!$Q$113,'333'!$Q$115,'333'!$Q$118</definedName>
    <definedName name="OSRRefG20x" localSheetId="73">'405'!$Q$25,'405'!$Q$35,'405'!$Q$46,'405'!$Q$48,'405'!$Q$50,'405'!$Q$52,'405'!$Q$55,'405'!$Q$57,'405'!$Q$59,'405'!$Q$61,'405'!$Q$64,'405'!$Q$68,'405'!$Q$70,'405'!$Q$80,'405'!$Q$82,'405'!$Q$84</definedName>
    <definedName name="OSRRefG20x" localSheetId="74">'406'!$Q$18</definedName>
    <definedName name="OSRRefG20x" localSheetId="75">'411'!$Q$18,'411'!$Q$28,'411'!$Q$39,'411'!$Q$41,'411'!$Q$44,'411'!$Q$46,'411'!$Q$48,'411'!$Q$50,'411'!$Q$52,'411'!$Q$56,'411'!$Q$59,'411'!$Q$61,'411'!$Q$64,'411'!$Q$66,'411'!$Q$69</definedName>
    <definedName name="OSRRefG20x" localSheetId="76">'412'!$Q$18,'412'!$Q$20,'412'!$Q$22,'412'!$Q$24</definedName>
    <definedName name="OSRRefG20x" localSheetId="77">'413'!$Q$18,'413'!$Q$20</definedName>
    <definedName name="OSRRefG20x" localSheetId="78">'414'!$Q$18,'414'!$Q$20</definedName>
    <definedName name="OSRRefG20x" localSheetId="79">'415'!$Q$25,'415'!$Q$36,'415'!$Q$47,'415'!$Q$49,'415'!$Q$51,'415'!$Q$53,'415'!$Q$56,'415'!$Q$58,'415'!$Q$60,'415'!$Q$62,'415'!$Q$64,'415'!$Q$66,'415'!$Q$69,'415'!$Q$74,'415'!$Q$76,'415'!$Q$83,'415'!$Q$86,'415'!$Q$88</definedName>
    <definedName name="OSRRefG20x" localSheetId="80">'418'!$Q$22,'418'!$Q$32,'418'!$Q$43,'418'!$Q$45,'418'!$Q$47,'418'!$Q$50,'418'!$Q$52,'418'!$Q$54,'418'!$Q$56,'418'!$Q$59,'418'!$Q$63,'418'!$Q$65,'418'!$Q$72,'418'!$Q$75,'418'!$Q$77</definedName>
    <definedName name="OSRRefG20x" localSheetId="81">'423'!$Q$18,'423'!$Q$27,'423'!$Q$38,'423'!$Q$40,'423'!$Q$42</definedName>
    <definedName name="OSRRefG20x" localSheetId="82">'424'!$Q$18,'424'!$Q$20</definedName>
    <definedName name="OSRRefG20x" localSheetId="83">'425'!$Q$20,'425'!$Q$22,'425'!$Q$24,'425'!$Q$26,'425'!$Q$28</definedName>
    <definedName name="OSRRefG20x" localSheetId="86">'430'!$Q$18,'430'!$Q$28,'430'!$Q$39,'430'!$Q$41,'430'!$Q$43,'430'!$Q$45,'430'!$Q$48,'430'!$Q$51,'430'!$Q$53</definedName>
    <definedName name="OSRRefG20x" localSheetId="87">'433'!$Q$25,'433'!$Q$36,'433'!$Q$47,'433'!$Q$49,'433'!$Q$51,'433'!$Q$53,'433'!$Q$55,'433'!$Q$57,'433'!$Q$59,'433'!$Q$61,'433'!$Q$63,'433'!$Q$65,'433'!$Q$69,'433'!$Q$74,'433'!$Q$83,'433'!$Q$85</definedName>
    <definedName name="OSRRefG20x" localSheetId="88">'435'!$Q$21,'435'!$Q$24,'435'!$Q$26,'435'!$Q$28,'435'!$Q$30</definedName>
    <definedName name="OSRRefG20x" localSheetId="89">'444'!$Q$25,'444'!$Q$36,'444'!$Q$47,'444'!$Q$49,'444'!$Q$51,'444'!$Q$53,'444'!$Q$55,'444'!$Q$57,'444'!$Q$59,'444'!$Q$61,'444'!$Q$63,'444'!$Q$65,'444'!$Q$68,'444'!$Q$73,'444'!$Q$83,'444'!$Q$85</definedName>
    <definedName name="OSRRefG20x" localSheetId="90">'450'!$Q$25,'450'!$Q$36,'450'!$Q$47,'450'!$Q$49,'450'!$Q$51,'450'!$Q$53,'450'!$Q$55,'450'!$Q$57,'450'!$Q$59,'450'!$Q$61,'450'!$Q$63,'450'!$Q$65,'450'!$Q$68,'450'!$Q$73,'450'!$Q$81,'450'!$Q$83,'450'!$Q$85</definedName>
    <definedName name="OSRRefG20x" localSheetId="72">'491'!$Q$26,'491'!$Q$37,'491'!$Q$48,'491'!$Q$50,'491'!$Q$52,'491'!$Q$54,'491'!$Q$57,'491'!$Q$59,'491'!$Q$61,'491'!$Q$63,'491'!$Q$65,'491'!$Q$67,'491'!$Q$69,'491'!$Q$73,'491'!$Q$75,'491'!$Q$81,'491'!$Q$83,'491'!$Q$93,'491'!$Q$96,'491'!$Q$98,'491'!$Q$101</definedName>
    <definedName name="OSRRefG20x" localSheetId="85">'492'!$Q$27,'492'!$Q$38,'492'!$Q$49,'492'!$Q$51,'492'!$Q$53,'492'!$Q$55,'492'!$Q$57,'492'!$Q$59,'492'!$Q$61,'492'!$Q$63,'492'!$Q$65,'492'!$Q$67,'492'!$Q$69,'492'!$Q$73,'492'!$Q$78,'492'!$Q$88,'492'!$Q$91,'492'!$Q$93</definedName>
    <definedName name="OSRRefG20x" localSheetId="92">'501'!$Q$19,'501'!$Q$30,'501'!$Q$41,'501'!$Q$43,'501'!$Q$45,'501'!$Q$47,'501'!$Q$50,'501'!$Q$52,'501'!$Q$54,'501'!$Q$56,'501'!$Q$60,'501'!$Q$62,'501'!$Q$66,'501'!$Q$68</definedName>
    <definedName name="OSRRefG20x" localSheetId="39">'Div 2'!$Q$18,'Div 2'!$Q$30,'Div 2'!$Q$41,'Div 2'!$Q$43,'Div 2'!$Q$45,'Div 2'!$Q$47,'Div 2'!$Q$50,'Div 2'!$Q$52,'Div 2'!$Q$54,'Div 2'!$Q$56,'Div 2'!$Q$58,'Div 2'!$Q$60,'Div 2'!$Q$62,'Div 2'!$Q$67,'Div 2'!$Q$72,'Div 2'!$Q$75,'Div 2'!$Q$78,'Div 2'!$Q$84,'Div 2'!$Q$87,'Div 2'!$Q$89</definedName>
    <definedName name="OSRRefG20x" localSheetId="47">'Div 3'!$Q$58,'Div 3'!$Q$69,'Div 3'!$Q$80,'Div 3'!$Q$82,'Div 3'!$Q$84,'Div 3'!$Q$86,'Div 3'!$Q$89,'Div 3'!$Q$92,'Div 3'!$Q$94,'Div 3'!$Q$96,'Div 3'!$Q$98,'Div 3'!$Q$101,'Div 3'!$Q$103,'Div 3'!$Q$105,'Div 3'!$Q$107,'Div 3'!$Q$109,'Div 3'!$Q$111,'Div 3'!$Q$113,'Div 3'!$Q$118,'Div 3'!$Q$123,'Div 3'!$Q$128,'Div 3'!$Q$131,'Div 3'!$Q$139,'Div 3'!$Q$142,'Div 3'!$Q$144,'Div 3'!$Q$148</definedName>
    <definedName name="OSRRefG20x" localSheetId="70">'Div 4'!$Q$29,'Div 4'!$Q$40,'Div 4'!$Q$51,'Div 4'!$Q$53,'Div 4'!$Q$55,'Div 4'!$Q$57,'Div 4'!$Q$60,'Div 4'!$Q$62,'Div 4'!$Q$64,'Div 4'!$Q$66,'Div 4'!$Q$68,'Div 4'!$Q$70,'Div 4'!$Q$72,'Div 4'!$Q$74,'Div 4'!$Q$76,'Div 4'!$Q$80,'Div 4'!$Q$82,'Div 4'!$Q$88,'Div 4'!$Q$90,'Div 4'!$Q$101,'Div 4'!$Q$104,'Div 4'!$Q$106,'Div 4'!$Q$109</definedName>
    <definedName name="OSRRefG20x" localSheetId="91">'Div 5'!$Q$19,'Div 5'!$Q$30,'Div 5'!$Q$41,'Div 5'!$Q$43,'Div 5'!$Q$45,'Div 5'!$Q$47,'Div 5'!$Q$50,'Div 5'!$Q$52,'Div 5'!$Q$54,'Div 5'!$Q$56,'Div 5'!$Q$60,'Div 5'!$Q$62,'Div 5'!$Q$66,'Div 5'!$Q$68</definedName>
    <definedName name="OSRRefG20x" localSheetId="61">'Div 6'!$Q$33,'Div 6'!$Q$44,'Div 6'!$Q$55,'Div 6'!$Q$57,'Div 6'!$Q$59,'Div 6'!$Q$61,'Div 6'!$Q$63,'Div 6'!$Q$65,'Div 6'!$Q$67,'Div 6'!$Q$69,'Div 6'!$Q$72</definedName>
    <definedName name="OSRRefG20x" localSheetId="2">Summary!$Q$66,Summary!$Q$77,Summary!$Q$88,Summary!$Q$90,Summary!$Q$92,Summary!$Q$94,Summary!$Q$97,Summary!$Q$100,Summary!$Q$102,Summary!$Q$104,Summary!$Q$106,Summary!$Q$109,Summary!$Q$111,Summary!$Q$113,Summary!$Q$115,Summary!$Q$117,Summary!$Q$119,Summary!$Q$121,Summary!$Q$123,Summary!$Q$128,Summary!$Q$133,Summary!$Q$139,Summary!$Q$142,Summary!$Q$153,Summary!$Q$156,Summary!$Q$158,Summary!$Q$162</definedName>
    <definedName name="_xlnm.Print_Area" localSheetId="38">'100'!$A$1:$Q$35</definedName>
    <definedName name="_xlnm.Print_Area" localSheetId="40">'200'!$A$1:$Q$41</definedName>
    <definedName name="_xlnm.Print_Area" localSheetId="41">'201'!$A$1:$Q$84</definedName>
    <definedName name="_xlnm.Print_Area" localSheetId="42">'202'!$A$1:$Q$79</definedName>
    <definedName name="_xlnm.Print_Area" localSheetId="43">'203'!$A$1:$Q$86</definedName>
    <definedName name="_xlnm.Print_Area" localSheetId="44">'204'!$A$1:$Q$73</definedName>
    <definedName name="_xlnm.Print_Area" localSheetId="45">'205'!$A$1:$Q$68</definedName>
    <definedName name="_xlnm.Print_Area" localSheetId="46">'206'!$A$1:$Q$64</definedName>
    <definedName name="_xlnm.Print_Area" localSheetId="48">'300'!$A$1:$Q$156</definedName>
    <definedName name="_xlnm.Print_Area" localSheetId="49">'300 &amp; 317'!$A$1:$Q$162</definedName>
    <definedName name="_xlnm.Print_Area" localSheetId="50">'301'!$A$1:$Q$110</definedName>
    <definedName name="_xlnm.Print_Area" localSheetId="55">'307'!$A$1:$Q$97</definedName>
    <definedName name="_xlnm.Print_Area" localSheetId="51">'308'!$A$1:$Q$100</definedName>
    <definedName name="_xlnm.Print_Area" localSheetId="64">'309'!$A$1:$Q$70</definedName>
    <definedName name="_xlnm.Print_Area" localSheetId="63">'310'!$A$1:$Q$107</definedName>
    <definedName name="_xlnm.Print_Area" localSheetId="71">'310 &amp; 491'!$A$1:$Q$120</definedName>
    <definedName name="_xlnm.Print_Area" localSheetId="52">'311'!$A$1:$Q$100</definedName>
    <definedName name="_xlnm.Print_Area" localSheetId="65">'313'!$A$1:$Q$39</definedName>
    <definedName name="_xlnm.Print_Area" localSheetId="57">'315'!$A$1:$Q$120</definedName>
    <definedName name="_xlnm.Print_Area" localSheetId="60">'316'!$A$1:$Q$87</definedName>
    <definedName name="_xlnm.Print_Area" localSheetId="62">'317'!$A$1:$Q$89</definedName>
    <definedName name="_xlnm.Print_Area" localSheetId="66">'321'!$A$1:$Q$88</definedName>
    <definedName name="_xlnm.Print_Area" localSheetId="67">'322'!$A$1:$Q$35</definedName>
    <definedName name="_xlnm.Print_Area" localSheetId="53">'324'!$A$1:$Q$36</definedName>
    <definedName name="_xlnm.Print_Area" localSheetId="68">'325'!$A$1:$Q$99</definedName>
    <definedName name="_xlnm.Print_Area" localSheetId="58">'326'!$A$1:$Q$100</definedName>
    <definedName name="_xlnm.Print_Area" localSheetId="69">'327'!$A$1:$Q$43</definedName>
    <definedName name="_xlnm.Print_Area" localSheetId="56">'331'!$A$1:$Q$131</definedName>
    <definedName name="_xlnm.Print_Area" localSheetId="59">'332'!$A$1:$Q$87</definedName>
    <definedName name="_xlnm.Print_Area" localSheetId="54">'333'!$A$1:$Q$135</definedName>
    <definedName name="_xlnm.Print_Area" localSheetId="73">'405'!$A$1:$Q$101</definedName>
    <definedName name="_xlnm.Print_Area" localSheetId="74">'406'!$A$1:$Q$35</definedName>
    <definedName name="_xlnm.Print_Area" localSheetId="75">'411'!$A$1:$Q$86</definedName>
    <definedName name="_xlnm.Print_Area" localSheetId="76">'412'!$A$1:$Q$41</definedName>
    <definedName name="_xlnm.Print_Area" localSheetId="77">'413'!$A$1:$Q$37</definedName>
    <definedName name="_xlnm.Print_Area" localSheetId="78">'414'!$A$1:$Q$37</definedName>
    <definedName name="_xlnm.Print_Area" localSheetId="79">'415'!$A$1:$Q$105</definedName>
    <definedName name="_xlnm.Print_Area" localSheetId="80">'418'!$A$1:$Q$94</definedName>
    <definedName name="_xlnm.Print_Area" localSheetId="81">'423'!$A$1:$Q$59</definedName>
    <definedName name="_xlnm.Print_Area" localSheetId="82">'424'!$A$1:$Q$37</definedName>
    <definedName name="_xlnm.Print_Area" localSheetId="83">'425'!$A$1:$Q$45</definedName>
    <definedName name="_xlnm.Print_Area" localSheetId="86">'430'!$A$1:$Q$70</definedName>
    <definedName name="_xlnm.Print_Area" localSheetId="87">'433'!$A$1:$Q$102</definedName>
    <definedName name="_xlnm.Print_Area" localSheetId="88">'435'!$A$1:$Q$47</definedName>
    <definedName name="_xlnm.Print_Area" localSheetId="89">'444'!$A$1:$Q$102</definedName>
    <definedName name="_xlnm.Print_Area" localSheetId="90">'450'!$A$1:$Q$102</definedName>
    <definedName name="_xlnm.Print_Area" localSheetId="84">'455'!$A$1:$Q$33</definedName>
    <definedName name="_xlnm.Print_Area" localSheetId="72">'491'!$A$1:$Q$118</definedName>
    <definedName name="_xlnm.Print_Area" localSheetId="85">'492'!$A$1:$Q$111</definedName>
    <definedName name="_xlnm.Print_Area" localSheetId="92">'501'!$A$1:$Q$85</definedName>
    <definedName name="_xlnm.Print_Area" localSheetId="93">Dept!$A$1:$G$39</definedName>
    <definedName name="_xlnm.Print_Area" localSheetId="5">'Div 1'!$A$1:$Q$34</definedName>
    <definedName name="_xlnm.Print_Area" localSheetId="39">'Div 2'!$A$1:$Q$106</definedName>
    <definedName name="_xlnm.Print_Area" localSheetId="47">'Div 3'!$A$1:$Q$165</definedName>
    <definedName name="_xlnm.Print_Area" localSheetId="70">'Div 4'!$A$1:$Q$126</definedName>
    <definedName name="_xlnm.Print_Area" localSheetId="91">'Div 5'!$A$1:$Q$85</definedName>
    <definedName name="_xlnm.Print_Area" localSheetId="61">'Div 6'!$A$1:$Q$89</definedName>
    <definedName name="_xlnm.Print_Area" localSheetId="14">'OSR_300 &amp; 317_1C00ID4'!$A$1:$G$39</definedName>
    <definedName name="_xlnm.Print_Area" localSheetId="12">OSR_300_IYZXI6!$A$1:$G$39</definedName>
    <definedName name="_xlnm.Print_Area" localSheetId="19">OSR_308_UAWDAG!$A$1:$G$39</definedName>
    <definedName name="_xlnm.Print_Area" localSheetId="35">'OSR_310 &amp; 49...7615ada9_1PJ8EDG'!$A$1:$G$39</definedName>
    <definedName name="_xlnm.Print_Area" localSheetId="33">'OSR_310 &amp; 49...76bf5af7_1A2901X'!$A$1:$G$39</definedName>
    <definedName name="_xlnm.Print_Area" localSheetId="31">'OSR_310 &amp; 491...c23f2d59_X1JXXU'!$A$1:$G$39</definedName>
    <definedName name="_xlnm.Print_Area" localSheetId="28">'OSR_310 &amp; 491_1NGRCS9'!$A$1:$G$39</definedName>
    <definedName name="_xlnm.Print_Area" localSheetId="16">OSR_310_1CMTOSB!$A$1:$G$39</definedName>
    <definedName name="_xlnm.Print_Area" localSheetId="21">OSR_331_10VKQAJ!$A$1:$G$39</definedName>
    <definedName name="_xlnm.Print_Area" localSheetId="23">OSR_332_6NDVBW!$A$1:$G$39</definedName>
    <definedName name="_xlnm.Print_Area" localSheetId="25">OSR_333_69UF5U!$A$1:$G$39</definedName>
    <definedName name="_xlnm.Print_Area" localSheetId="30">OSR_491_9Z9JH5!$A$1:$G$39</definedName>
    <definedName name="_xlnm.Print_Area" localSheetId="32">OSR_492_943FP1!$A$1:$G$39</definedName>
    <definedName name="_xlnm.Print_Area" localSheetId="4">'OSR_Current ...69b7dd8c_1IEQKFK'!$A$1:$G$39</definedName>
    <definedName name="_xlnm.Print_Area" localSheetId="7">'OSR_Dept (2)_...dd5b15a0_2T6PUA'!$A$1:$G$39</definedName>
    <definedName name="_xlnm.Print_Area" localSheetId="94">OSR_Dept_Y0WUKY!$A$1:$G$39</definedName>
    <definedName name="_xlnm.Print_Area" localSheetId="27">'OSR_Div 1 (1...42fef80a_1JUNUIZ'!$A$1:$G$39</definedName>
    <definedName name="_xlnm.Print_Area" localSheetId="24">'OSR_Div 1 (10...e834aaf2_4B2R3Z'!$A$1:$G$39</definedName>
    <definedName name="_xlnm.Print_Area" localSheetId="9">'OSR_Div 1 (2...9b2bdc94_1Y8VZ4A'!$A$1:$G$39</definedName>
    <definedName name="_xlnm.Print_Area" localSheetId="11">'OSR_Div 1 (3...74ea2e91_1YANJVT'!$A$1:$G$39</definedName>
    <definedName name="_xlnm.Print_Area" localSheetId="13">'OSR_Div 1 (4)...cdd6f638_NQSRHK'!$A$1:$G$39</definedName>
    <definedName name="_xlnm.Print_Area" localSheetId="15">'OSR_Div 1 (5)...14c61d9ac_RUIH7'!$A$1:$G$39</definedName>
    <definedName name="_xlnm.Print_Area" localSheetId="17">'OSR_Div 1 (6)...754b1b2a_ZV1FUK'!$A$1:$G$39</definedName>
    <definedName name="_xlnm.Print_Area" localSheetId="18">'OSR_Div 1 (7)...77c4adfc_YECVQC'!$A$1:$G$39</definedName>
    <definedName name="_xlnm.Print_Area" localSheetId="20">'OSR_Div 1 (8...54681dd8_1N56J6G'!$A$1:$G$39</definedName>
    <definedName name="_xlnm.Print_Area" localSheetId="22">'OSR_Div 1 (9)...81df0cf4_TBZUNU'!$A$1:$G$39</definedName>
    <definedName name="_xlnm.Print_Area" localSheetId="6">'OSR_Div 1_7H47HR'!$A$1:$G$39</definedName>
    <definedName name="_xlnm.Print_Area" localSheetId="8">'OSR_Div 2_1PQ800A'!$A$1:$G$39</definedName>
    <definedName name="_xlnm.Print_Area" localSheetId="10">'OSR_Div 3_18723PH'!$A$1:$G$39</definedName>
    <definedName name="_xlnm.Print_Area" localSheetId="29">'OSR_Div 4 (2)...a8a8204b_XPPX5M'!$A$1:$G$39</definedName>
    <definedName name="_xlnm.Print_Area" localSheetId="26">'OSR_Div 4_1740TMT'!$A$1:$G$39</definedName>
    <definedName name="_xlnm.Print_Area" localSheetId="37">'OSR_Div 5 (2...bac05800_1LZIM8H'!$A$1:$G$39</definedName>
    <definedName name="_xlnm.Print_Area" localSheetId="34">'OSR_Div 5_16NAZO2'!$A$1:$G$39</definedName>
    <definedName name="_xlnm.Print_Area" localSheetId="36">'OSR_Div 6_P37YY7'!$A$1:$G$39</definedName>
    <definedName name="_xlnm.Print_Area" localSheetId="95">'OSR_Summary (...56e5d78f_5JEYZH'!$A$1:$G$39</definedName>
    <definedName name="_xlnm.Print_Area" localSheetId="3">OSR_Summary_18VAVWG!$A$1:$G$39</definedName>
    <definedName name="_xlnm.Print_Area" localSheetId="2">Summary!$A$1:$Q$181</definedName>
    <definedName name="_xlnm.Print_Titles" localSheetId="38">'100'!$1:$8</definedName>
    <definedName name="_xlnm.Print_Titles" localSheetId="40">'200'!$1:$8</definedName>
    <definedName name="_xlnm.Print_Titles" localSheetId="41">'201'!$1:$8</definedName>
    <definedName name="_xlnm.Print_Titles" localSheetId="42">'202'!$1:$8</definedName>
    <definedName name="_xlnm.Print_Titles" localSheetId="43">'203'!$1:$8</definedName>
    <definedName name="_xlnm.Print_Titles" localSheetId="44">'204'!$1:$8</definedName>
    <definedName name="_xlnm.Print_Titles" localSheetId="45">'205'!$1:$8</definedName>
    <definedName name="_xlnm.Print_Titles" localSheetId="46">'206'!$1:$8</definedName>
    <definedName name="_xlnm.Print_Titles" localSheetId="48">'300'!$1:$8</definedName>
    <definedName name="_xlnm.Print_Titles" localSheetId="49">'300 &amp; 317'!$1:$8</definedName>
    <definedName name="_xlnm.Print_Titles" localSheetId="50">'301'!$1:$8</definedName>
    <definedName name="_xlnm.Print_Titles" localSheetId="55">'307'!$1:$8</definedName>
    <definedName name="_xlnm.Print_Titles" localSheetId="51">'308'!$1:$8</definedName>
    <definedName name="_xlnm.Print_Titles" localSheetId="64">'309'!$1:$8</definedName>
    <definedName name="_xlnm.Print_Titles" localSheetId="63">'310'!$1:$8</definedName>
    <definedName name="_xlnm.Print_Titles" localSheetId="71">'310 &amp; 491'!$1:$8</definedName>
    <definedName name="_xlnm.Print_Titles" localSheetId="52">'311'!$1:$8</definedName>
    <definedName name="_xlnm.Print_Titles" localSheetId="65">'313'!$1:$8</definedName>
    <definedName name="_xlnm.Print_Titles" localSheetId="57">'315'!$1:$8</definedName>
    <definedName name="_xlnm.Print_Titles" localSheetId="60">'316'!$1:$8</definedName>
    <definedName name="_xlnm.Print_Titles" localSheetId="62">'317'!$1:$8</definedName>
    <definedName name="_xlnm.Print_Titles" localSheetId="66">'321'!$1:$8</definedName>
    <definedName name="_xlnm.Print_Titles" localSheetId="67">'322'!$1:$8</definedName>
    <definedName name="_xlnm.Print_Titles" localSheetId="53">'324'!$1:$8</definedName>
    <definedName name="_xlnm.Print_Titles" localSheetId="68">'325'!$1:$8</definedName>
    <definedName name="_xlnm.Print_Titles" localSheetId="58">'326'!$1:$8</definedName>
    <definedName name="_xlnm.Print_Titles" localSheetId="69">'327'!$1:$8</definedName>
    <definedName name="_xlnm.Print_Titles" localSheetId="56">'331'!$1:$8</definedName>
    <definedName name="_xlnm.Print_Titles" localSheetId="59">'332'!$1:$8</definedName>
    <definedName name="_xlnm.Print_Titles" localSheetId="54">'333'!$1:$8</definedName>
    <definedName name="_xlnm.Print_Titles" localSheetId="73">'405'!$1:$8</definedName>
    <definedName name="_xlnm.Print_Titles" localSheetId="74">'406'!$1:$8</definedName>
    <definedName name="_xlnm.Print_Titles" localSheetId="75">'411'!$1:$8</definedName>
    <definedName name="_xlnm.Print_Titles" localSheetId="76">'412'!$1:$8</definedName>
    <definedName name="_xlnm.Print_Titles" localSheetId="77">'413'!$1:$8</definedName>
    <definedName name="_xlnm.Print_Titles" localSheetId="78">'414'!$1:$8</definedName>
    <definedName name="_xlnm.Print_Titles" localSheetId="79">'415'!$1:$8</definedName>
    <definedName name="_xlnm.Print_Titles" localSheetId="80">'418'!$1:$8</definedName>
    <definedName name="_xlnm.Print_Titles" localSheetId="81">'423'!$1:$8</definedName>
    <definedName name="_xlnm.Print_Titles" localSheetId="82">'424'!$1:$8</definedName>
    <definedName name="_xlnm.Print_Titles" localSheetId="83">'425'!$1:$8</definedName>
    <definedName name="_xlnm.Print_Titles" localSheetId="86">'430'!$1:$8</definedName>
    <definedName name="_xlnm.Print_Titles" localSheetId="87">'433'!$1:$8</definedName>
    <definedName name="_xlnm.Print_Titles" localSheetId="88">'435'!$1:$8</definedName>
    <definedName name="_xlnm.Print_Titles" localSheetId="89">'444'!$1:$8</definedName>
    <definedName name="_xlnm.Print_Titles" localSheetId="90">'450'!$1:$8</definedName>
    <definedName name="_xlnm.Print_Titles" localSheetId="84">'455'!$1:$8</definedName>
    <definedName name="_xlnm.Print_Titles" localSheetId="72">'491'!$1:$8</definedName>
    <definedName name="_xlnm.Print_Titles" localSheetId="85">'492'!$1:$8</definedName>
    <definedName name="_xlnm.Print_Titles" localSheetId="92">'501'!$1:$8</definedName>
    <definedName name="_xlnm.Print_Titles" localSheetId="93">Dept!$A:$C,Dept!$1:$8</definedName>
    <definedName name="_xlnm.Print_Titles" localSheetId="5">'Div 1'!$1:$8</definedName>
    <definedName name="_xlnm.Print_Titles" localSheetId="39">'Div 2'!$1:$8</definedName>
    <definedName name="_xlnm.Print_Titles" localSheetId="47">'Div 3'!$1:$8</definedName>
    <definedName name="_xlnm.Print_Titles" localSheetId="70">'Div 4'!$1:$8</definedName>
    <definedName name="_xlnm.Print_Titles" localSheetId="91">'Div 5'!$1:$8</definedName>
    <definedName name="_xlnm.Print_Titles" localSheetId="61">'Div 6'!$1:$8</definedName>
    <definedName name="_xlnm.Print_Titles" localSheetId="14">'OSR_300 &amp; 317_1C00ID4'!$1:$8</definedName>
    <definedName name="_xlnm.Print_Titles" localSheetId="12">OSR_300_IYZXI6!$A:$C,OSR_300_IYZXI6!$1:$8</definedName>
    <definedName name="_xlnm.Print_Titles" localSheetId="19">OSR_308_UAWDAG!$A:$C,OSR_308_UAWDAG!$1:$8</definedName>
    <definedName name="_xlnm.Print_Titles" localSheetId="35">'OSR_310 &amp; 49...7615ada9_1PJ8EDG'!$1:$8</definedName>
    <definedName name="_xlnm.Print_Titles" localSheetId="33">'OSR_310 &amp; 49...76bf5af7_1A2901X'!$1:$8</definedName>
    <definedName name="_xlnm.Print_Titles" localSheetId="31">'OSR_310 &amp; 491...c23f2d59_X1JXXU'!$1:$8</definedName>
    <definedName name="_xlnm.Print_Titles" localSheetId="28">'OSR_310 &amp; 491_1NGRCS9'!$1:$8</definedName>
    <definedName name="_xlnm.Print_Titles" localSheetId="16">OSR_310_1CMTOSB!$A:$C,OSR_310_1CMTOSB!$1:$8</definedName>
    <definedName name="_xlnm.Print_Titles" localSheetId="21">OSR_331_10VKQAJ!$A:$C,OSR_331_10VKQAJ!$1:$8</definedName>
    <definedName name="_xlnm.Print_Titles" localSheetId="23">OSR_332_6NDVBW!$A:$C,OSR_332_6NDVBW!$1:$8</definedName>
    <definedName name="_xlnm.Print_Titles" localSheetId="25">OSR_333_69UF5U!$A:$C,OSR_333_69UF5U!$1:$8</definedName>
    <definedName name="_xlnm.Print_Titles" localSheetId="30">OSR_491_9Z9JH5!$A:$C,OSR_491_9Z9JH5!$1:$8</definedName>
    <definedName name="_xlnm.Print_Titles" localSheetId="32">OSR_492_943FP1!$A:$C,OSR_492_943FP1!$1:$8</definedName>
    <definedName name="_xlnm.Print_Titles" localSheetId="4">'OSR_Current ...69b7dd8c_1IEQKFK'!$1:$8</definedName>
    <definedName name="_xlnm.Print_Titles" localSheetId="7">'OSR_Dept (2)_...dd5b15a0_2T6PUA'!$1:$8</definedName>
    <definedName name="_xlnm.Print_Titles" localSheetId="94">OSR_Dept_Y0WUKY!$A:$C,OSR_Dept_Y0WUKY!$1:$8</definedName>
    <definedName name="_xlnm.Print_Titles" localSheetId="27">'OSR_Div 1 (1...42fef80a_1JUNUIZ'!$1:$8</definedName>
    <definedName name="_xlnm.Print_Titles" localSheetId="24">'OSR_Div 1 (10...e834aaf2_4B2R3Z'!$1:$8</definedName>
    <definedName name="_xlnm.Print_Titles" localSheetId="9">'OSR_Div 1 (2...9b2bdc94_1Y8VZ4A'!$1:$8</definedName>
    <definedName name="_xlnm.Print_Titles" localSheetId="11">'OSR_Div 1 (3...74ea2e91_1YANJVT'!$1:$8</definedName>
    <definedName name="_xlnm.Print_Titles" localSheetId="13">'OSR_Div 1 (4)...cdd6f638_NQSRHK'!$1:$8</definedName>
    <definedName name="_xlnm.Print_Titles" localSheetId="15">'OSR_Div 1 (5)...14c61d9ac_RUIH7'!$1:$8</definedName>
    <definedName name="_xlnm.Print_Titles" localSheetId="17">'OSR_Div 1 (6)...754b1b2a_ZV1FUK'!$1:$8</definedName>
    <definedName name="_xlnm.Print_Titles" localSheetId="18">'OSR_Div 1 (7)...77c4adfc_YECVQC'!$1:$8</definedName>
    <definedName name="_xlnm.Print_Titles" localSheetId="20">'OSR_Div 1 (8...54681dd8_1N56J6G'!$1:$8</definedName>
    <definedName name="_xlnm.Print_Titles" localSheetId="22">'OSR_Div 1 (9)...81df0cf4_TBZUNU'!$1:$8</definedName>
    <definedName name="_xlnm.Print_Titles" localSheetId="6">'OSR_Div 1_7H47HR'!$1:$8</definedName>
    <definedName name="_xlnm.Print_Titles" localSheetId="8">'OSR_Div 2_1PQ800A'!$1:$8</definedName>
    <definedName name="_xlnm.Print_Titles" localSheetId="10">'OSR_Div 3_18723PH'!$1:$8</definedName>
    <definedName name="_xlnm.Print_Titles" localSheetId="29">'OSR_Div 4 (2)...a8a8204b_XPPX5M'!$1:$8</definedName>
    <definedName name="_xlnm.Print_Titles" localSheetId="26">'OSR_Div 4_1740TMT'!$1:$8</definedName>
    <definedName name="_xlnm.Print_Titles" localSheetId="37">'OSR_Div 5 (2...bac05800_1LZIM8H'!$1:$8</definedName>
    <definedName name="_xlnm.Print_Titles" localSheetId="34">'OSR_Div 5_16NAZO2'!$1:$8</definedName>
    <definedName name="_xlnm.Print_Titles" localSheetId="36">'OSR_Div 6_P37YY7'!$1:$8</definedName>
    <definedName name="_xlnm.Print_Titles" localSheetId="95">'OSR_Summary (...56e5d78f_5JEYZH'!$1:$8</definedName>
    <definedName name="_xlnm.Print_Titles" localSheetId="3">OSR_Summary_18VAVWG!$A:$C,OSR_Summary_18VAVWG!$1:$8</definedName>
    <definedName name="_xlnm.Print_Titles" localSheetId="2">Summary!$A:$C,Summary!$1:$8</definedName>
  </definedNames>
  <calcPr calcId="191029" iterate="1" iterateCount="1000" iterateDelta="0.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9" i="96" l="1"/>
  <c r="B38" i="96"/>
  <c r="G34" i="96"/>
  <c r="E34" i="96"/>
  <c r="D34" i="96"/>
  <c r="G33" i="96"/>
  <c r="E33" i="96"/>
  <c r="D33" i="96"/>
  <c r="G28" i="96"/>
  <c r="E28" i="96"/>
  <c r="D28" i="96"/>
  <c r="G23" i="96"/>
  <c r="E23" i="96"/>
  <c r="D23" i="96"/>
  <c r="G21" i="96"/>
  <c r="E21" i="96"/>
  <c r="D21" i="96"/>
  <c r="B21" i="96"/>
  <c r="G20" i="96"/>
  <c r="E20" i="96"/>
  <c r="D20" i="96"/>
  <c r="B20" i="96"/>
  <c r="G19" i="96"/>
  <c r="E19" i="96"/>
  <c r="D19" i="96"/>
  <c r="G14" i="96"/>
  <c r="E14" i="96"/>
  <c r="D14" i="96"/>
  <c r="B14" i="96"/>
  <c r="G13" i="96"/>
  <c r="E13" i="96"/>
  <c r="D13" i="96"/>
  <c r="G11" i="96"/>
  <c r="E11" i="96"/>
  <c r="D11" i="96"/>
  <c r="B11" i="96"/>
  <c r="G10" i="96"/>
  <c r="E10" i="96"/>
  <c r="D10" i="96"/>
  <c r="E8" i="96"/>
  <c r="D8" i="96"/>
  <c r="B5" i="96"/>
  <c r="B39" i="95"/>
  <c r="B38" i="95"/>
  <c r="G34" i="95"/>
  <c r="E34" i="95"/>
  <c r="D34" i="95"/>
  <c r="G33" i="95"/>
  <c r="E33" i="95"/>
  <c r="D33" i="95"/>
  <c r="G28" i="95"/>
  <c r="E28" i="95"/>
  <c r="D28" i="95"/>
  <c r="G23" i="95"/>
  <c r="E23" i="95"/>
  <c r="D23" i="95"/>
  <c r="G21" i="95"/>
  <c r="E21" i="95"/>
  <c r="D21" i="95"/>
  <c r="B21" i="95"/>
  <c r="G20" i="95"/>
  <c r="E20" i="95"/>
  <c r="D20" i="95"/>
  <c r="B20" i="95"/>
  <c r="G19" i="95"/>
  <c r="E19" i="95"/>
  <c r="D19" i="95"/>
  <c r="G14" i="95"/>
  <c r="E14" i="95"/>
  <c r="D14" i="95"/>
  <c r="B14" i="95"/>
  <c r="G13" i="95"/>
  <c r="E13" i="95"/>
  <c r="D13" i="95"/>
  <c r="G11" i="95"/>
  <c r="E11" i="95"/>
  <c r="D11" i="95"/>
  <c r="B11" i="95"/>
  <c r="G10" i="95"/>
  <c r="E10" i="95"/>
  <c r="D10" i="95"/>
  <c r="E8" i="95"/>
  <c r="D8" i="95"/>
  <c r="B5" i="95"/>
  <c r="B39" i="94"/>
  <c r="B38" i="94"/>
  <c r="G34" i="94"/>
  <c r="E34" i="94"/>
  <c r="D34" i="94"/>
  <c r="G33" i="94"/>
  <c r="E33" i="94"/>
  <c r="D33" i="94"/>
  <c r="G28" i="94"/>
  <c r="E28" i="94"/>
  <c r="D28" i="94"/>
  <c r="G23" i="94"/>
  <c r="E23" i="94"/>
  <c r="D23" i="94"/>
  <c r="G21" i="94"/>
  <c r="E21" i="94"/>
  <c r="D21" i="94"/>
  <c r="B21" i="94"/>
  <c r="G20" i="94"/>
  <c r="E20" i="94"/>
  <c r="D20" i="94"/>
  <c r="B20" i="94"/>
  <c r="G19" i="94"/>
  <c r="E19" i="94"/>
  <c r="D19" i="94"/>
  <c r="G14" i="94"/>
  <c r="E14" i="94"/>
  <c r="D14" i="94"/>
  <c r="B14" i="94"/>
  <c r="G13" i="94"/>
  <c r="E13" i="94"/>
  <c r="D13" i="94"/>
  <c r="G11" i="94"/>
  <c r="E11" i="94"/>
  <c r="D11" i="94"/>
  <c r="B11" i="94"/>
  <c r="G10" i="94"/>
  <c r="E10" i="94"/>
  <c r="D10" i="94"/>
  <c r="E8" i="94"/>
  <c r="D8" i="94"/>
  <c r="B5" i="94"/>
  <c r="Q76" i="93"/>
  <c r="M71" i="93"/>
  <c r="L71" i="93"/>
  <c r="K71" i="93"/>
  <c r="J71" i="93"/>
  <c r="I71" i="93"/>
  <c r="H71" i="93"/>
  <c r="G71" i="93"/>
  <c r="F71" i="93"/>
  <c r="Q71" i="93" s="1"/>
  <c r="E71" i="93"/>
  <c r="D71" i="93"/>
  <c r="Q69" i="93"/>
  <c r="B69" i="93"/>
  <c r="O68" i="93"/>
  <c r="N68" i="93"/>
  <c r="M68" i="93"/>
  <c r="L68" i="93"/>
  <c r="K68" i="93"/>
  <c r="J68" i="93"/>
  <c r="I68" i="93"/>
  <c r="H68" i="93"/>
  <c r="G68" i="93"/>
  <c r="F68" i="93"/>
  <c r="E68" i="93"/>
  <c r="Q68" i="93" s="1"/>
  <c r="D68" i="93"/>
  <c r="B68" i="93"/>
  <c r="Q67" i="93"/>
  <c r="B67" i="93"/>
  <c r="O66" i="93"/>
  <c r="N66" i="93"/>
  <c r="M66" i="93"/>
  <c r="L66" i="93"/>
  <c r="K66" i="93"/>
  <c r="J66" i="93"/>
  <c r="I66" i="93"/>
  <c r="H66" i="93"/>
  <c r="G66" i="93"/>
  <c r="F66" i="93"/>
  <c r="E66" i="93"/>
  <c r="Q66" i="93" s="1"/>
  <c r="D66" i="93"/>
  <c r="B66" i="93"/>
  <c r="Q65" i="93"/>
  <c r="B65" i="93"/>
  <c r="Q64" i="93"/>
  <c r="B64" i="93"/>
  <c r="Q63" i="93"/>
  <c r="B63" i="93"/>
  <c r="O62" i="93"/>
  <c r="N62" i="93"/>
  <c r="M62" i="93"/>
  <c r="L62" i="93"/>
  <c r="K62" i="93"/>
  <c r="J62" i="93"/>
  <c r="I62" i="93"/>
  <c r="H62" i="93"/>
  <c r="G62" i="93"/>
  <c r="F62" i="93"/>
  <c r="E62" i="93"/>
  <c r="D62" i="93"/>
  <c r="Q62" i="93" s="1"/>
  <c r="B62" i="93"/>
  <c r="Q61" i="93"/>
  <c r="B61" i="93"/>
  <c r="O60" i="93"/>
  <c r="N60" i="93"/>
  <c r="M60" i="93"/>
  <c r="L60" i="93"/>
  <c r="K60" i="93"/>
  <c r="J60" i="93"/>
  <c r="I60" i="93"/>
  <c r="H60" i="93"/>
  <c r="G60" i="93"/>
  <c r="F60" i="93"/>
  <c r="E60" i="93"/>
  <c r="D60" i="93"/>
  <c r="B60" i="93"/>
  <c r="Q59" i="93"/>
  <c r="B59" i="93"/>
  <c r="Q58" i="93"/>
  <c r="B58" i="93"/>
  <c r="Q57" i="93"/>
  <c r="B57" i="93"/>
  <c r="O56" i="93"/>
  <c r="N56" i="93"/>
  <c r="M56" i="93"/>
  <c r="L56" i="93"/>
  <c r="K56" i="93"/>
  <c r="J56" i="93"/>
  <c r="I56" i="93"/>
  <c r="H56" i="93"/>
  <c r="G56" i="93"/>
  <c r="F56" i="93"/>
  <c r="E56" i="93"/>
  <c r="Q56" i="93" s="1"/>
  <c r="D56" i="93"/>
  <c r="B56" i="93"/>
  <c r="Q55" i="93"/>
  <c r="B55" i="93"/>
  <c r="O54" i="93"/>
  <c r="N54" i="93"/>
  <c r="M54" i="93"/>
  <c r="L54" i="93"/>
  <c r="K54" i="93"/>
  <c r="J54" i="93"/>
  <c r="I54" i="93"/>
  <c r="H54" i="93"/>
  <c r="G54" i="93"/>
  <c r="F54" i="93"/>
  <c r="E54" i="93"/>
  <c r="Q54" i="93" s="1"/>
  <c r="D54" i="93"/>
  <c r="B54" i="93"/>
  <c r="Q53" i="93"/>
  <c r="B53" i="93"/>
  <c r="O52" i="93"/>
  <c r="N52" i="93"/>
  <c r="M52" i="93"/>
  <c r="L52" i="93"/>
  <c r="K52" i="93"/>
  <c r="J52" i="93"/>
  <c r="I52" i="93"/>
  <c r="H52" i="93"/>
  <c r="G52" i="93"/>
  <c r="F52" i="93"/>
  <c r="E52" i="93"/>
  <c r="Q52" i="93" s="1"/>
  <c r="D52" i="93"/>
  <c r="B52" i="93"/>
  <c r="Q51" i="93"/>
  <c r="B51" i="93"/>
  <c r="O50" i="93"/>
  <c r="N50" i="93"/>
  <c r="M50" i="93"/>
  <c r="L50" i="93"/>
  <c r="K50" i="93"/>
  <c r="J50" i="93"/>
  <c r="I50" i="93"/>
  <c r="H50" i="93"/>
  <c r="G50" i="93"/>
  <c r="F50" i="93"/>
  <c r="E50" i="93"/>
  <c r="Q50" i="93" s="1"/>
  <c r="D50" i="93"/>
  <c r="B50" i="93"/>
  <c r="Q49" i="93"/>
  <c r="B49" i="93"/>
  <c r="Q48" i="93"/>
  <c r="B48" i="93"/>
  <c r="O47" i="93"/>
  <c r="N47" i="93"/>
  <c r="M47" i="93"/>
  <c r="L47" i="93"/>
  <c r="K47" i="93"/>
  <c r="J47" i="93"/>
  <c r="I47" i="93"/>
  <c r="H47" i="93"/>
  <c r="G47" i="93"/>
  <c r="F47" i="93"/>
  <c r="E47" i="93"/>
  <c r="D47" i="93"/>
  <c r="Q47" i="93" s="1"/>
  <c r="B47" i="93"/>
  <c r="Q46" i="93"/>
  <c r="B46" i="93"/>
  <c r="O45" i="93"/>
  <c r="N45" i="93"/>
  <c r="M45" i="93"/>
  <c r="L45" i="93"/>
  <c r="K45" i="93"/>
  <c r="J45" i="93"/>
  <c r="I45" i="93"/>
  <c r="H45" i="93"/>
  <c r="G45" i="93"/>
  <c r="F45" i="93"/>
  <c r="E45" i="93"/>
  <c r="D45" i="93"/>
  <c r="B45" i="93"/>
  <c r="Q44" i="93"/>
  <c r="B44" i="93"/>
  <c r="O43" i="93"/>
  <c r="N43" i="93"/>
  <c r="M43" i="93"/>
  <c r="L43" i="93"/>
  <c r="K43" i="93"/>
  <c r="J43" i="93"/>
  <c r="I43" i="93"/>
  <c r="H43" i="93"/>
  <c r="G43" i="93"/>
  <c r="F43" i="93"/>
  <c r="E43" i="93"/>
  <c r="D43" i="93"/>
  <c r="B43" i="93"/>
  <c r="Q42" i="93"/>
  <c r="B42" i="93"/>
  <c r="O41" i="93"/>
  <c r="N41" i="93"/>
  <c r="M41" i="93"/>
  <c r="L41" i="93"/>
  <c r="K41" i="93"/>
  <c r="J41" i="93"/>
  <c r="I41" i="93"/>
  <c r="H41" i="93"/>
  <c r="G41" i="93"/>
  <c r="G18" i="93" s="1" a="1"/>
  <c r="G18" i="93" s="1"/>
  <c r="F41" i="93"/>
  <c r="E41" i="93"/>
  <c r="D41" i="93"/>
  <c r="B41" i="93"/>
  <c r="Q40" i="93"/>
  <c r="B40" i="93"/>
  <c r="Q39" i="93"/>
  <c r="B39" i="93"/>
  <c r="Q38" i="93"/>
  <c r="B38" i="93"/>
  <c r="Q37" i="93"/>
  <c r="B37" i="93"/>
  <c r="Q36" i="93"/>
  <c r="B36" i="93"/>
  <c r="Q35" i="93"/>
  <c r="B35" i="93"/>
  <c r="Q34" i="93"/>
  <c r="B34" i="93"/>
  <c r="Q33" i="93"/>
  <c r="B33" i="93"/>
  <c r="Q32" i="93"/>
  <c r="B32" i="93"/>
  <c r="Q31" i="93"/>
  <c r="B31" i="93"/>
  <c r="O30" i="93"/>
  <c r="N30" i="93"/>
  <c r="M30" i="93"/>
  <c r="L30" i="93"/>
  <c r="K30" i="93"/>
  <c r="J30" i="93"/>
  <c r="I30" i="93"/>
  <c r="H30" i="93"/>
  <c r="G30" i="93"/>
  <c r="F30" i="93"/>
  <c r="E30" i="93"/>
  <c r="D30" i="93"/>
  <c r="B30" i="93"/>
  <c r="Q29" i="93"/>
  <c r="B29" i="93"/>
  <c r="Q28" i="93"/>
  <c r="B28" i="93"/>
  <c r="Q27" i="93"/>
  <c r="B27" i="93"/>
  <c r="Q26" i="93"/>
  <c r="B26" i="93"/>
  <c r="Q25" i="93"/>
  <c r="B25" i="93"/>
  <c r="Q24" i="93"/>
  <c r="B24" i="93"/>
  <c r="Q23" i="93"/>
  <c r="B23" i="93"/>
  <c r="Q22" i="93"/>
  <c r="B22" i="93"/>
  <c r="Q21" i="93"/>
  <c r="B21" i="93"/>
  <c r="Q20" i="93"/>
  <c r="B20" i="93"/>
  <c r="O19" i="93"/>
  <c r="O18" i="93" s="1" a="1"/>
  <c r="O18" i="93" s="1"/>
  <c r="N19" i="93"/>
  <c r="M19" i="93"/>
  <c r="L19" i="93"/>
  <c r="K19" i="93"/>
  <c r="K18" i="93" s="1" a="1"/>
  <c r="K18" i="93" s="1"/>
  <c r="J19" i="93"/>
  <c r="I19" i="93"/>
  <c r="H19" i="93"/>
  <c r="G19" i="93"/>
  <c r="F19" i="93"/>
  <c r="E19" i="93"/>
  <c r="D19" i="93"/>
  <c r="B19" i="93"/>
  <c r="N18" i="93" a="1"/>
  <c r="N18" i="93"/>
  <c r="L18" i="93" a="1"/>
  <c r="L18" i="93" s="1"/>
  <c r="J18" i="93" a="1"/>
  <c r="J18" i="93"/>
  <c r="H18" i="93" a="1"/>
  <c r="H18" i="93" s="1"/>
  <c r="F18" i="93" a="1"/>
  <c r="F18" i="93"/>
  <c r="D18" i="93" a="1"/>
  <c r="D18" i="93" s="1"/>
  <c r="K16" i="93"/>
  <c r="Q13" i="93"/>
  <c r="O13" i="93"/>
  <c r="O15" i="93" s="1"/>
  <c r="N13" i="93"/>
  <c r="M13" i="93"/>
  <c r="L13" i="93"/>
  <c r="K13" i="93"/>
  <c r="J13" i="93"/>
  <c r="I13" i="93"/>
  <c r="H13" i="93"/>
  <c r="G13" i="93"/>
  <c r="F13" i="93"/>
  <c r="E13" i="93"/>
  <c r="D13" i="93"/>
  <c r="M11" i="93"/>
  <c r="L11" i="93"/>
  <c r="L10" i="93" s="1"/>
  <c r="L15" i="93" s="1"/>
  <c r="K11" i="93"/>
  <c r="K10" i="93" s="1"/>
  <c r="K15" i="93" s="1"/>
  <c r="K73" i="93" s="1"/>
  <c r="J11" i="93"/>
  <c r="J10" i="93" s="1"/>
  <c r="J15" i="93" s="1"/>
  <c r="I11" i="93"/>
  <c r="H11" i="93"/>
  <c r="H10" i="93" s="1"/>
  <c r="H15" i="93" s="1"/>
  <c r="G11" i="93"/>
  <c r="G10" i="93" s="1"/>
  <c r="G15" i="93" s="1"/>
  <c r="F11" i="93"/>
  <c r="E11" i="93"/>
  <c r="D11" i="93"/>
  <c r="B11" i="93"/>
  <c r="O10" i="93"/>
  <c r="N10" i="93"/>
  <c r="N15" i="93" s="1"/>
  <c r="M10" i="93"/>
  <c r="M15" i="93" s="1"/>
  <c r="I10" i="93"/>
  <c r="I15" i="93" s="1"/>
  <c r="F10" i="93"/>
  <c r="F15" i="93" s="1"/>
  <c r="E10" i="93"/>
  <c r="O8" i="93"/>
  <c r="N8" i="93"/>
  <c r="M8" i="93"/>
  <c r="L8" i="93"/>
  <c r="K8" i="93"/>
  <c r="J8" i="93"/>
  <c r="I8" i="93"/>
  <c r="H8" i="93"/>
  <c r="G8" i="93"/>
  <c r="F8" i="93"/>
  <c r="E8" i="93"/>
  <c r="D8" i="93"/>
  <c r="B5" i="93"/>
  <c r="O26" i="92"/>
  <c r="Q24" i="92"/>
  <c r="M19" i="92"/>
  <c r="L19" i="92"/>
  <c r="K19" i="92"/>
  <c r="J19" i="92"/>
  <c r="I19" i="92"/>
  <c r="H19" i="92"/>
  <c r="G19" i="92"/>
  <c r="F19" i="92"/>
  <c r="E19" i="92"/>
  <c r="D19" i="92"/>
  <c r="Q17" i="92"/>
  <c r="O17" i="92"/>
  <c r="N17" i="92"/>
  <c r="M17" i="92"/>
  <c r="L17" i="92"/>
  <c r="K17" i="92"/>
  <c r="J17" i="92"/>
  <c r="I17" i="92"/>
  <c r="H17" i="92"/>
  <c r="G17" i="92"/>
  <c r="F17" i="92"/>
  <c r="E17" i="92"/>
  <c r="D17" i="92"/>
  <c r="O15" i="92"/>
  <c r="G15" i="92"/>
  <c r="O14" i="92"/>
  <c r="O21" i="92" s="1"/>
  <c r="O22" i="92" s="1"/>
  <c r="L14" i="92"/>
  <c r="G14" i="92"/>
  <c r="G21" i="92" s="1"/>
  <c r="G22" i="92" s="1"/>
  <c r="D14" i="92"/>
  <c r="Q12" i="92"/>
  <c r="O12" i="92"/>
  <c r="N12" i="92"/>
  <c r="M12" i="92"/>
  <c r="L12" i="92"/>
  <c r="K12" i="92"/>
  <c r="K14" i="92" s="1"/>
  <c r="J12" i="92"/>
  <c r="I12" i="92"/>
  <c r="H12" i="92"/>
  <c r="G12" i="92"/>
  <c r="F12" i="92"/>
  <c r="E12" i="92"/>
  <c r="D12" i="92"/>
  <c r="Q10" i="92"/>
  <c r="Q14" i="92" s="1"/>
  <c r="O10" i="92"/>
  <c r="N10" i="92"/>
  <c r="N14" i="92" s="1"/>
  <c r="M10" i="92"/>
  <c r="M14" i="92" s="1"/>
  <c r="L10" i="92"/>
  <c r="K10" i="92"/>
  <c r="J10" i="92"/>
  <c r="J14" i="92" s="1"/>
  <c r="J15" i="92" s="1"/>
  <c r="I10" i="92"/>
  <c r="H10" i="92"/>
  <c r="H14" i="92" s="1"/>
  <c r="G10" i="92"/>
  <c r="F10" i="92"/>
  <c r="F14" i="92" s="1"/>
  <c r="E10" i="92"/>
  <c r="E14" i="92" s="1"/>
  <c r="D10" i="92"/>
  <c r="O8" i="92"/>
  <c r="N8" i="92"/>
  <c r="M8" i="92"/>
  <c r="L8" i="92"/>
  <c r="K8" i="92"/>
  <c r="J8" i="92"/>
  <c r="I8" i="92"/>
  <c r="H8" i="92"/>
  <c r="G8" i="92"/>
  <c r="F8" i="92"/>
  <c r="E8" i="92"/>
  <c r="D8" i="92"/>
  <c r="B5" i="92"/>
  <c r="Q93" i="91"/>
  <c r="M88" i="91"/>
  <c r="L88" i="91"/>
  <c r="K88" i="91"/>
  <c r="J88" i="91"/>
  <c r="I88" i="91"/>
  <c r="H88" i="91"/>
  <c r="G88" i="91"/>
  <c r="F88" i="91"/>
  <c r="E88" i="91"/>
  <c r="D88" i="91"/>
  <c r="Q88" i="91" s="1"/>
  <c r="Q86" i="91"/>
  <c r="B86" i="91"/>
  <c r="O85" i="91"/>
  <c r="N85" i="91"/>
  <c r="M85" i="91"/>
  <c r="L85" i="91"/>
  <c r="K85" i="91"/>
  <c r="J85" i="91"/>
  <c r="I85" i="91"/>
  <c r="H85" i="91"/>
  <c r="G85" i="91"/>
  <c r="F85" i="91"/>
  <c r="E85" i="91"/>
  <c r="D85" i="91"/>
  <c r="Q85" i="91" s="1"/>
  <c r="B85" i="91"/>
  <c r="Q84" i="91"/>
  <c r="B84" i="91"/>
  <c r="O83" i="91"/>
  <c r="N83" i="91"/>
  <c r="M83" i="91"/>
  <c r="L83" i="91"/>
  <c r="K83" i="91"/>
  <c r="J83" i="91"/>
  <c r="I83" i="91"/>
  <c r="H83" i="91"/>
  <c r="G83" i="91"/>
  <c r="F83" i="91"/>
  <c r="E83" i="91"/>
  <c r="D83" i="91"/>
  <c r="Q83" i="91" s="1"/>
  <c r="B83" i="91"/>
  <c r="Q82" i="91"/>
  <c r="B82" i="91"/>
  <c r="O81" i="91"/>
  <c r="N81" i="91"/>
  <c r="M81" i="91"/>
  <c r="L81" i="91"/>
  <c r="K81" i="91"/>
  <c r="J81" i="91"/>
  <c r="I81" i="91"/>
  <c r="H81" i="91"/>
  <c r="G81" i="91"/>
  <c r="F81" i="91"/>
  <c r="E81" i="91"/>
  <c r="D81" i="91"/>
  <c r="Q81" i="91" s="1"/>
  <c r="B81" i="91"/>
  <c r="Q80" i="91"/>
  <c r="B80" i="91"/>
  <c r="Q79" i="91"/>
  <c r="B79" i="91"/>
  <c r="Q78" i="91"/>
  <c r="B78" i="91"/>
  <c r="Q77" i="91"/>
  <c r="B77" i="91"/>
  <c r="Q76" i="91"/>
  <c r="B76" i="91"/>
  <c r="Q75" i="91"/>
  <c r="B75" i="91"/>
  <c r="Q74" i="91"/>
  <c r="B74" i="91"/>
  <c r="O73" i="91"/>
  <c r="N73" i="91"/>
  <c r="M73" i="91"/>
  <c r="L73" i="91"/>
  <c r="K73" i="91"/>
  <c r="J73" i="91"/>
  <c r="I73" i="91"/>
  <c r="H73" i="91"/>
  <c r="Q73" i="91" s="1"/>
  <c r="G73" i="91"/>
  <c r="F73" i="91"/>
  <c r="E73" i="91"/>
  <c r="D73" i="91"/>
  <c r="B73" i="91"/>
  <c r="Q72" i="91"/>
  <c r="B72" i="91"/>
  <c r="Q71" i="91"/>
  <c r="B71" i="91"/>
  <c r="Q70" i="91"/>
  <c r="B70" i="91"/>
  <c r="Q69" i="91"/>
  <c r="B69" i="91"/>
  <c r="O68" i="91"/>
  <c r="N68" i="91"/>
  <c r="N24" i="91" s="1" a="1"/>
  <c r="N24" i="91" s="1"/>
  <c r="M68" i="91"/>
  <c r="L68" i="91"/>
  <c r="K68" i="91"/>
  <c r="J68" i="91"/>
  <c r="I68" i="91"/>
  <c r="H68" i="91"/>
  <c r="G68" i="91"/>
  <c r="F68" i="91"/>
  <c r="E68" i="91"/>
  <c r="D68" i="91"/>
  <c r="B68" i="91"/>
  <c r="Q67" i="91"/>
  <c r="B67" i="91"/>
  <c r="Q66" i="91"/>
  <c r="B66" i="91"/>
  <c r="O65" i="91"/>
  <c r="N65" i="91"/>
  <c r="M65" i="91"/>
  <c r="L65" i="91"/>
  <c r="K65" i="91"/>
  <c r="J65" i="91"/>
  <c r="I65" i="91"/>
  <c r="H65" i="91"/>
  <c r="Q65" i="91" s="1"/>
  <c r="G65" i="91"/>
  <c r="F65" i="91"/>
  <c r="E65" i="91"/>
  <c r="D65" i="91"/>
  <c r="B65" i="91"/>
  <c r="Q64" i="91"/>
  <c r="B64" i="91"/>
  <c r="O63" i="91"/>
  <c r="N63" i="91"/>
  <c r="M63" i="91"/>
  <c r="L63" i="91"/>
  <c r="K63" i="91"/>
  <c r="J63" i="91"/>
  <c r="I63" i="91"/>
  <c r="H63" i="91"/>
  <c r="Q63" i="91" s="1"/>
  <c r="G63" i="91"/>
  <c r="F63" i="91"/>
  <c r="E63" i="91"/>
  <c r="D63" i="91"/>
  <c r="B63" i="91"/>
  <c r="Q62" i="91"/>
  <c r="B62" i="91"/>
  <c r="O61" i="91"/>
  <c r="N61" i="91"/>
  <c r="M61" i="91"/>
  <c r="L61" i="91"/>
  <c r="K61" i="91"/>
  <c r="J61" i="91"/>
  <c r="I61" i="91"/>
  <c r="H61" i="91"/>
  <c r="Q61" i="91" s="1"/>
  <c r="G61" i="91"/>
  <c r="F61" i="91"/>
  <c r="E61" i="91"/>
  <c r="D61" i="91"/>
  <c r="B61" i="91"/>
  <c r="Q60" i="91"/>
  <c r="B60" i="91"/>
  <c r="O59" i="91"/>
  <c r="N59" i="91"/>
  <c r="M59" i="91"/>
  <c r="L59" i="91"/>
  <c r="K59" i="91"/>
  <c r="J59" i="91"/>
  <c r="I59" i="91"/>
  <c r="H59" i="91"/>
  <c r="Q59" i="91" s="1"/>
  <c r="G59" i="91"/>
  <c r="F59" i="91"/>
  <c r="E59" i="91"/>
  <c r="D59" i="91"/>
  <c r="B59" i="91"/>
  <c r="Q58" i="91"/>
  <c r="B58" i="91"/>
  <c r="O57" i="91"/>
  <c r="N57" i="91"/>
  <c r="M57" i="91"/>
  <c r="L57" i="91"/>
  <c r="K57" i="91"/>
  <c r="J57" i="91"/>
  <c r="I57" i="91"/>
  <c r="H57" i="91"/>
  <c r="Q57" i="91" s="1"/>
  <c r="G57" i="91"/>
  <c r="F57" i="91"/>
  <c r="E57" i="91"/>
  <c r="D57" i="91"/>
  <c r="B57" i="91"/>
  <c r="Q56" i="91"/>
  <c r="B56" i="91"/>
  <c r="O55" i="91"/>
  <c r="N55" i="91"/>
  <c r="M55" i="91"/>
  <c r="L55" i="91"/>
  <c r="K55" i="91"/>
  <c r="J55" i="91"/>
  <c r="I55" i="91"/>
  <c r="H55" i="91"/>
  <c r="Q55" i="91" s="1"/>
  <c r="G55" i="91"/>
  <c r="F55" i="91"/>
  <c r="E55" i="91"/>
  <c r="D55" i="91"/>
  <c r="B55" i="91"/>
  <c r="Q54" i="91"/>
  <c r="B54" i="91"/>
  <c r="O53" i="91"/>
  <c r="N53" i="91"/>
  <c r="M53" i="91"/>
  <c r="L53" i="91"/>
  <c r="K53" i="91"/>
  <c r="J53" i="91"/>
  <c r="I53" i="91"/>
  <c r="H53" i="91"/>
  <c r="Q53" i="91" s="1"/>
  <c r="G53" i="91"/>
  <c r="F53" i="91"/>
  <c r="E53" i="91"/>
  <c r="D53" i="91"/>
  <c r="B53" i="91"/>
  <c r="Q52" i="91"/>
  <c r="B52" i="91"/>
  <c r="O51" i="91"/>
  <c r="N51" i="91"/>
  <c r="M51" i="91"/>
  <c r="L51" i="91"/>
  <c r="K51" i="91"/>
  <c r="J51" i="91"/>
  <c r="I51" i="91"/>
  <c r="H51" i="91"/>
  <c r="Q51" i="91" s="1"/>
  <c r="G51" i="91"/>
  <c r="F51" i="91"/>
  <c r="E51" i="91"/>
  <c r="D51" i="91"/>
  <c r="B51" i="91"/>
  <c r="Q50" i="91"/>
  <c r="B50" i="91"/>
  <c r="O49" i="91"/>
  <c r="N49" i="91"/>
  <c r="M49" i="91"/>
  <c r="L49" i="91"/>
  <c r="K49" i="91"/>
  <c r="J49" i="91"/>
  <c r="I49" i="91"/>
  <c r="H49" i="91"/>
  <c r="Q49" i="91" s="1"/>
  <c r="G49" i="91"/>
  <c r="F49" i="91"/>
  <c r="E49" i="91"/>
  <c r="D49" i="91"/>
  <c r="B49" i="91"/>
  <c r="Q48" i="91"/>
  <c r="B48" i="91"/>
  <c r="O47" i="91"/>
  <c r="N47" i="91"/>
  <c r="M47" i="91"/>
  <c r="L47" i="91"/>
  <c r="K47" i="91"/>
  <c r="J47" i="91"/>
  <c r="I47" i="91"/>
  <c r="H47" i="91"/>
  <c r="G47" i="91"/>
  <c r="F47" i="91"/>
  <c r="E47" i="91"/>
  <c r="D47" i="91"/>
  <c r="B47" i="91"/>
  <c r="Q46" i="91"/>
  <c r="B46" i="91"/>
  <c r="Q45" i="91"/>
  <c r="B45" i="91"/>
  <c r="Q44" i="91"/>
  <c r="B44" i="91"/>
  <c r="Q43" i="91"/>
  <c r="B43" i="91"/>
  <c r="Q42" i="91"/>
  <c r="B42" i="91"/>
  <c r="Q41" i="91"/>
  <c r="B41" i="91"/>
  <c r="Q40" i="91"/>
  <c r="B40" i="91"/>
  <c r="Q39" i="91"/>
  <c r="B39" i="91"/>
  <c r="Q38" i="91"/>
  <c r="B38" i="91"/>
  <c r="Q37" i="91"/>
  <c r="B37" i="91"/>
  <c r="O36" i="91"/>
  <c r="N36" i="91"/>
  <c r="M36" i="91"/>
  <c r="L36" i="91"/>
  <c r="K36" i="91"/>
  <c r="J36" i="91"/>
  <c r="J24" i="91" s="1" a="1"/>
  <c r="J24" i="91" s="1"/>
  <c r="I36" i="91"/>
  <c r="H36" i="91"/>
  <c r="G36" i="91"/>
  <c r="F36" i="91"/>
  <c r="E36" i="91"/>
  <c r="D36" i="91"/>
  <c r="B36" i="91"/>
  <c r="Q35" i="91"/>
  <c r="B35" i="91"/>
  <c r="Q34" i="91"/>
  <c r="B34" i="91"/>
  <c r="Q33" i="91"/>
  <c r="B33" i="91"/>
  <c r="Q32" i="91"/>
  <c r="B32" i="91"/>
  <c r="Q31" i="91"/>
  <c r="B31" i="91"/>
  <c r="Q30" i="91"/>
  <c r="B30" i="91"/>
  <c r="Q29" i="91"/>
  <c r="B29" i="91"/>
  <c r="Q28" i="91"/>
  <c r="B28" i="91"/>
  <c r="Q27" i="91"/>
  <c r="B27" i="91"/>
  <c r="Q26" i="91"/>
  <c r="B26" i="91"/>
  <c r="O25" i="91"/>
  <c r="O24" i="91" s="1" a="1"/>
  <c r="O24" i="91" s="1"/>
  <c r="N25" i="91"/>
  <c r="M25" i="91"/>
  <c r="L25" i="91"/>
  <c r="K25" i="91"/>
  <c r="J25" i="91"/>
  <c r="I25" i="91"/>
  <c r="H25" i="91"/>
  <c r="G25" i="91"/>
  <c r="F25" i="91"/>
  <c r="E25" i="91"/>
  <c r="D25" i="91"/>
  <c r="B25" i="91"/>
  <c r="M24" i="91" a="1"/>
  <c r="M24" i="91" s="1"/>
  <c r="K24" i="91" a="1"/>
  <c r="K24" i="91" s="1"/>
  <c r="I24" i="91" a="1"/>
  <c r="I24" i="91" s="1"/>
  <c r="G24" i="91" a="1"/>
  <c r="G24" i="91" s="1"/>
  <c r="E24" i="91" a="1"/>
  <c r="E24" i="91" s="1"/>
  <c r="D22" i="91"/>
  <c r="Q19" i="91"/>
  <c r="B19" i="91"/>
  <c r="Q18" i="91"/>
  <c r="B18" i="91"/>
  <c r="Q17" i="91"/>
  <c r="B17" i="91"/>
  <c r="O16" i="91"/>
  <c r="N16" i="91"/>
  <c r="M16" i="91"/>
  <c r="L16" i="91"/>
  <c r="K16" i="91"/>
  <c r="J16" i="91"/>
  <c r="I16" i="91"/>
  <c r="H16" i="91"/>
  <c r="G16" i="91"/>
  <c r="F16" i="91"/>
  <c r="E16" i="91"/>
  <c r="D16" i="91"/>
  <c r="M14" i="91"/>
  <c r="L14" i="91"/>
  <c r="K14" i="91"/>
  <c r="J14" i="91"/>
  <c r="I14" i="91"/>
  <c r="H14" i="91"/>
  <c r="G14" i="91"/>
  <c r="F14" i="91"/>
  <c r="E14" i="91"/>
  <c r="D14" i="91"/>
  <c r="B14" i="91"/>
  <c r="M13" i="91"/>
  <c r="L13" i="91"/>
  <c r="K13" i="91"/>
  <c r="J13" i="91"/>
  <c r="I13" i="91"/>
  <c r="H13" i="91"/>
  <c r="G13" i="91"/>
  <c r="F13" i="91"/>
  <c r="E13" i="91"/>
  <c r="D13" i="91"/>
  <c r="B13" i="91"/>
  <c r="M12" i="91"/>
  <c r="L12" i="91"/>
  <c r="K12" i="91"/>
  <c r="J12" i="91"/>
  <c r="I12" i="91"/>
  <c r="H12" i="91"/>
  <c r="G12" i="91"/>
  <c r="G10" i="91" s="1"/>
  <c r="G21" i="91" s="1"/>
  <c r="F12" i="91"/>
  <c r="E12" i="91"/>
  <c r="D12" i="91"/>
  <c r="B12" i="91"/>
  <c r="M11" i="91"/>
  <c r="M10" i="91" s="1"/>
  <c r="M21" i="91" s="1"/>
  <c r="L11" i="91"/>
  <c r="K11" i="91"/>
  <c r="J11" i="91"/>
  <c r="J10" i="91" s="1"/>
  <c r="J21" i="91" s="1"/>
  <c r="I11" i="91"/>
  <c r="H11" i="91"/>
  <c r="G11" i="91"/>
  <c r="F11" i="91"/>
  <c r="F10" i="91" s="1"/>
  <c r="F21" i="91" s="1"/>
  <c r="E11" i="91"/>
  <c r="E10" i="91" s="1"/>
  <c r="E21" i="91" s="1"/>
  <c r="D11" i="91"/>
  <c r="B11" i="91"/>
  <c r="O10" i="91"/>
  <c r="O21" i="91" s="1"/>
  <c r="N10" i="91"/>
  <c r="N21" i="91" s="1"/>
  <c r="L10" i="91"/>
  <c r="I10" i="91"/>
  <c r="I21" i="91" s="1"/>
  <c r="H10" i="91"/>
  <c r="H21" i="91" s="1"/>
  <c r="D10" i="91"/>
  <c r="D21" i="91" s="1"/>
  <c r="O8" i="91"/>
  <c r="N8" i="91"/>
  <c r="M8" i="91"/>
  <c r="L8" i="91"/>
  <c r="K8" i="91"/>
  <c r="J8" i="91"/>
  <c r="I8" i="91"/>
  <c r="H8" i="91"/>
  <c r="G8" i="91"/>
  <c r="F8" i="91"/>
  <c r="E8" i="91"/>
  <c r="D8" i="91"/>
  <c r="B5" i="91"/>
  <c r="Q93" i="90"/>
  <c r="M88" i="90"/>
  <c r="L88" i="90"/>
  <c r="K88" i="90"/>
  <c r="J88" i="90"/>
  <c r="I88" i="90"/>
  <c r="H88" i="90"/>
  <c r="G88" i="90"/>
  <c r="F88" i="90"/>
  <c r="Q88" i="90" s="1"/>
  <c r="E88" i="90"/>
  <c r="D88" i="90"/>
  <c r="Q86" i="90"/>
  <c r="B86" i="90"/>
  <c r="O85" i="90"/>
  <c r="N85" i="90"/>
  <c r="M85" i="90"/>
  <c r="L85" i="90"/>
  <c r="K85" i="90"/>
  <c r="J85" i="90"/>
  <c r="I85" i="90"/>
  <c r="H85" i="90"/>
  <c r="G85" i="90"/>
  <c r="F85" i="90"/>
  <c r="E85" i="90"/>
  <c r="D85" i="90"/>
  <c r="B85" i="90"/>
  <c r="Q84" i="90"/>
  <c r="B84" i="90"/>
  <c r="O83" i="90"/>
  <c r="N83" i="90"/>
  <c r="M83" i="90"/>
  <c r="L83" i="90"/>
  <c r="K83" i="90"/>
  <c r="J83" i="90"/>
  <c r="I83" i="90"/>
  <c r="H83" i="90"/>
  <c r="G83" i="90"/>
  <c r="F83" i="90"/>
  <c r="E83" i="90"/>
  <c r="Q83" i="90" s="1"/>
  <c r="D83" i="90"/>
  <c r="B83" i="90"/>
  <c r="Q82" i="90"/>
  <c r="B82" i="90"/>
  <c r="Q81" i="90"/>
  <c r="B81" i="90"/>
  <c r="Q80" i="90"/>
  <c r="B80" i="90"/>
  <c r="Q79" i="90"/>
  <c r="B79" i="90"/>
  <c r="Q78" i="90"/>
  <c r="B78" i="90"/>
  <c r="Q77" i="90"/>
  <c r="B77" i="90"/>
  <c r="Q76" i="90"/>
  <c r="B76" i="90"/>
  <c r="Q75" i="90"/>
  <c r="B75" i="90"/>
  <c r="Q74" i="90"/>
  <c r="B74" i="90"/>
  <c r="O73" i="90"/>
  <c r="N73" i="90"/>
  <c r="M73" i="90"/>
  <c r="L73" i="90"/>
  <c r="K73" i="90"/>
  <c r="J73" i="90"/>
  <c r="I73" i="90"/>
  <c r="H73" i="90"/>
  <c r="G73" i="90"/>
  <c r="F73" i="90"/>
  <c r="E73" i="90"/>
  <c r="D73" i="90"/>
  <c r="B73" i="90"/>
  <c r="Q72" i="90"/>
  <c r="B72" i="90"/>
  <c r="Q71" i="90"/>
  <c r="B71" i="90"/>
  <c r="Q70" i="90"/>
  <c r="B70" i="90"/>
  <c r="Q69" i="90"/>
  <c r="B69" i="90"/>
  <c r="O68" i="90"/>
  <c r="N68" i="90"/>
  <c r="M68" i="90"/>
  <c r="L68" i="90"/>
  <c r="K68" i="90"/>
  <c r="J68" i="90"/>
  <c r="I68" i="90"/>
  <c r="H68" i="90"/>
  <c r="G68" i="90"/>
  <c r="F68" i="90"/>
  <c r="E68" i="90"/>
  <c r="Q68" i="90" s="1"/>
  <c r="D68" i="90"/>
  <c r="B68" i="90"/>
  <c r="Q67" i="90"/>
  <c r="B67" i="90"/>
  <c r="Q66" i="90"/>
  <c r="B66" i="90"/>
  <c r="O65" i="90"/>
  <c r="N65" i="90"/>
  <c r="M65" i="90"/>
  <c r="L65" i="90"/>
  <c r="K65" i="90"/>
  <c r="J65" i="90"/>
  <c r="I65" i="90"/>
  <c r="H65" i="90"/>
  <c r="G65" i="90"/>
  <c r="F65" i="90"/>
  <c r="E65" i="90"/>
  <c r="D65" i="90"/>
  <c r="Q65" i="90" s="1"/>
  <c r="B65" i="90"/>
  <c r="Q64" i="90"/>
  <c r="B64" i="90"/>
  <c r="O63" i="90"/>
  <c r="N63" i="90"/>
  <c r="M63" i="90"/>
  <c r="L63" i="90"/>
  <c r="K63" i="90"/>
  <c r="J63" i="90"/>
  <c r="I63" i="90"/>
  <c r="H63" i="90"/>
  <c r="G63" i="90"/>
  <c r="F63" i="90"/>
  <c r="E63" i="90"/>
  <c r="D63" i="90"/>
  <c r="B63" i="90"/>
  <c r="Q62" i="90"/>
  <c r="B62" i="90"/>
  <c r="O61" i="90"/>
  <c r="N61" i="90"/>
  <c r="M61" i="90"/>
  <c r="L61" i="90"/>
  <c r="K61" i="90"/>
  <c r="J61" i="90"/>
  <c r="I61" i="90"/>
  <c r="H61" i="90"/>
  <c r="G61" i="90"/>
  <c r="F61" i="90"/>
  <c r="E61" i="90"/>
  <c r="D61" i="90"/>
  <c r="B61" i="90"/>
  <c r="Q60" i="90"/>
  <c r="B60" i="90"/>
  <c r="O59" i="90"/>
  <c r="N59" i="90"/>
  <c r="M59" i="90"/>
  <c r="L59" i="90"/>
  <c r="K59" i="90"/>
  <c r="J59" i="90"/>
  <c r="I59" i="90"/>
  <c r="H59" i="90"/>
  <c r="G59" i="90"/>
  <c r="F59" i="90"/>
  <c r="E59" i="90"/>
  <c r="D59" i="90"/>
  <c r="B59" i="90"/>
  <c r="Q58" i="90"/>
  <c r="B58" i="90"/>
  <c r="O57" i="90"/>
  <c r="N57" i="90"/>
  <c r="M57" i="90"/>
  <c r="L57" i="90"/>
  <c r="K57" i="90"/>
  <c r="J57" i="90"/>
  <c r="I57" i="90"/>
  <c r="H57" i="90"/>
  <c r="G57" i="90"/>
  <c r="F57" i="90"/>
  <c r="E57" i="90"/>
  <c r="D57" i="90"/>
  <c r="Q57" i="90" s="1"/>
  <c r="B57" i="90"/>
  <c r="Q56" i="90"/>
  <c r="B56" i="90"/>
  <c r="O55" i="90"/>
  <c r="N55" i="90"/>
  <c r="M55" i="90"/>
  <c r="L55" i="90"/>
  <c r="K55" i="90"/>
  <c r="J55" i="90"/>
  <c r="I55" i="90"/>
  <c r="H55" i="90"/>
  <c r="G55" i="90"/>
  <c r="F55" i="90"/>
  <c r="E55" i="90"/>
  <c r="Q55" i="90" s="1"/>
  <c r="D55" i="90"/>
  <c r="B55" i="90"/>
  <c r="Q54" i="90"/>
  <c r="B54" i="90"/>
  <c r="O53" i="90"/>
  <c r="N53" i="90"/>
  <c r="M53" i="90"/>
  <c r="L53" i="90"/>
  <c r="K53" i="90"/>
  <c r="J53" i="90"/>
  <c r="I53" i="90"/>
  <c r="H53" i="90"/>
  <c r="G53" i="90"/>
  <c r="F53" i="90"/>
  <c r="E53" i="90"/>
  <c r="D53" i="90"/>
  <c r="B53" i="90"/>
  <c r="Q52" i="90"/>
  <c r="B52" i="90"/>
  <c r="O51" i="90"/>
  <c r="N51" i="90"/>
  <c r="M51" i="90"/>
  <c r="L51" i="90"/>
  <c r="K51" i="90"/>
  <c r="J51" i="90"/>
  <c r="I51" i="90"/>
  <c r="H51" i="90"/>
  <c r="G51" i="90"/>
  <c r="F51" i="90"/>
  <c r="E51" i="90"/>
  <c r="Q51" i="90" s="1"/>
  <c r="D51" i="90"/>
  <c r="B51" i="90"/>
  <c r="Q50" i="90"/>
  <c r="B50" i="90"/>
  <c r="O49" i="90"/>
  <c r="N49" i="90"/>
  <c r="M49" i="90"/>
  <c r="L49" i="90"/>
  <c r="K49" i="90"/>
  <c r="J49" i="90"/>
  <c r="I49" i="90"/>
  <c r="H49" i="90"/>
  <c r="G49" i="90"/>
  <c r="F49" i="90"/>
  <c r="E49" i="90"/>
  <c r="Q49" i="90" s="1"/>
  <c r="D49" i="90"/>
  <c r="B49" i="90"/>
  <c r="Q48" i="90"/>
  <c r="B48" i="90"/>
  <c r="O47" i="90"/>
  <c r="N47" i="90"/>
  <c r="M47" i="90"/>
  <c r="L47" i="90"/>
  <c r="K47" i="90"/>
  <c r="J47" i="90"/>
  <c r="I47" i="90"/>
  <c r="H47" i="90"/>
  <c r="G47" i="90"/>
  <c r="F47" i="90"/>
  <c r="E47" i="90"/>
  <c r="D47" i="90"/>
  <c r="B47" i="90"/>
  <c r="Q46" i="90"/>
  <c r="B46" i="90"/>
  <c r="Q45" i="90"/>
  <c r="B45" i="90"/>
  <c r="Q44" i="90"/>
  <c r="B44" i="90"/>
  <c r="Q43" i="90"/>
  <c r="B43" i="90"/>
  <c r="Q42" i="90"/>
  <c r="B42" i="90"/>
  <c r="Q41" i="90"/>
  <c r="B41" i="90"/>
  <c r="Q40" i="90"/>
  <c r="B40" i="90"/>
  <c r="Q39" i="90"/>
  <c r="B39" i="90"/>
  <c r="Q38" i="90"/>
  <c r="B38" i="90"/>
  <c r="Q37" i="90"/>
  <c r="B37" i="90"/>
  <c r="O36" i="90"/>
  <c r="N36" i="90"/>
  <c r="M36" i="90"/>
  <c r="L36" i="90"/>
  <c r="K36" i="90"/>
  <c r="J36" i="90"/>
  <c r="I36" i="90"/>
  <c r="I24" i="90" s="1" a="1"/>
  <c r="H36" i="90"/>
  <c r="G36" i="90"/>
  <c r="F36" i="90"/>
  <c r="E36" i="90"/>
  <c r="D36" i="90"/>
  <c r="Q36" i="90" s="1"/>
  <c r="B36" i="90"/>
  <c r="Q35" i="90"/>
  <c r="B35" i="90"/>
  <c r="Q34" i="90"/>
  <c r="B34" i="90"/>
  <c r="Q33" i="90"/>
  <c r="B33" i="90"/>
  <c r="Q32" i="90"/>
  <c r="B32" i="90"/>
  <c r="Q31" i="90"/>
  <c r="B31" i="90"/>
  <c r="Q30" i="90"/>
  <c r="B30" i="90"/>
  <c r="Q29" i="90"/>
  <c r="B29" i="90"/>
  <c r="Q28" i="90"/>
  <c r="B28" i="90"/>
  <c r="Q27" i="90"/>
  <c r="B27" i="90"/>
  <c r="Q26" i="90"/>
  <c r="B26" i="90"/>
  <c r="O25" i="90"/>
  <c r="N25" i="90"/>
  <c r="M25" i="90"/>
  <c r="M24" i="90" s="1" a="1"/>
  <c r="M24" i="90" s="1"/>
  <c r="L25" i="90"/>
  <c r="K25" i="90"/>
  <c r="K24" i="90" s="1" a="1"/>
  <c r="K24" i="90" s="1"/>
  <c r="J25" i="90"/>
  <c r="I25" i="90"/>
  <c r="H25" i="90"/>
  <c r="G25" i="90"/>
  <c r="F25" i="90"/>
  <c r="E25" i="90"/>
  <c r="D25" i="90"/>
  <c r="B25" i="90"/>
  <c r="N24" i="90" a="1"/>
  <c r="N24" i="90"/>
  <c r="L24" i="90" a="1"/>
  <c r="L24" i="90" s="1"/>
  <c r="J24" i="90" a="1"/>
  <c r="J24" i="90"/>
  <c r="I24" i="90"/>
  <c r="H24" i="90" a="1"/>
  <c r="H24" i="90" s="1"/>
  <c r="F24" i="90" a="1"/>
  <c r="F24" i="90"/>
  <c r="E24" i="90" a="1"/>
  <c r="E24" i="90"/>
  <c r="D24" i="90" a="1"/>
  <c r="D24" i="90" s="1"/>
  <c r="O21" i="90"/>
  <c r="Q19" i="90"/>
  <c r="B19" i="90"/>
  <c r="Q18" i="90"/>
  <c r="B18" i="90"/>
  <c r="Q17" i="90"/>
  <c r="B17" i="90"/>
  <c r="Q16" i="90"/>
  <c r="O16" i="90"/>
  <c r="N16" i="90"/>
  <c r="M16" i="90"/>
  <c r="L16" i="90"/>
  <c r="K16" i="90"/>
  <c r="J16" i="90"/>
  <c r="I16" i="90"/>
  <c r="H16" i="90"/>
  <c r="G16" i="90"/>
  <c r="F16" i="90"/>
  <c r="E16" i="90"/>
  <c r="D16" i="90"/>
  <c r="M14" i="90"/>
  <c r="M10" i="90" s="1"/>
  <c r="M21" i="90" s="1"/>
  <c r="L14" i="90"/>
  <c r="K14" i="90"/>
  <c r="J14" i="90"/>
  <c r="I14" i="90"/>
  <c r="H14" i="90"/>
  <c r="G14" i="90"/>
  <c r="F14" i="90"/>
  <c r="E14" i="90"/>
  <c r="D14" i="90"/>
  <c r="B14" i="90"/>
  <c r="M13" i="90"/>
  <c r="L13" i="90"/>
  <c r="K13" i="90"/>
  <c r="J13" i="90"/>
  <c r="I13" i="90"/>
  <c r="H13" i="90"/>
  <c r="G13" i="90"/>
  <c r="F13" i="90"/>
  <c r="E13" i="90"/>
  <c r="D13" i="90"/>
  <c r="B13" i="90"/>
  <c r="M12" i="90"/>
  <c r="L12" i="90"/>
  <c r="K12" i="90"/>
  <c r="J12" i="90"/>
  <c r="I12" i="90"/>
  <c r="H12" i="90"/>
  <c r="G12" i="90"/>
  <c r="F12" i="90"/>
  <c r="F10" i="90" s="1"/>
  <c r="F21" i="90" s="1"/>
  <c r="E12" i="90"/>
  <c r="D12" i="90"/>
  <c r="B12" i="90"/>
  <c r="M11" i="90"/>
  <c r="L11" i="90"/>
  <c r="L10" i="90" s="1"/>
  <c r="L21" i="90" s="1"/>
  <c r="K11" i="90"/>
  <c r="J11" i="90"/>
  <c r="I11" i="90"/>
  <c r="H11" i="90"/>
  <c r="G11" i="90"/>
  <c r="F11" i="90"/>
  <c r="E11" i="90"/>
  <c r="D11" i="90"/>
  <c r="B11" i="90"/>
  <c r="O10" i="90"/>
  <c r="N10" i="90"/>
  <c r="N21" i="90" s="1"/>
  <c r="J10" i="90"/>
  <c r="J21" i="90" s="1"/>
  <c r="G10" i="90"/>
  <c r="G21" i="90" s="1"/>
  <c r="O8" i="90"/>
  <c r="N8" i="90"/>
  <c r="M8" i="90"/>
  <c r="L8" i="90"/>
  <c r="K8" i="90"/>
  <c r="J8" i="90"/>
  <c r="I8" i="90"/>
  <c r="H8" i="90"/>
  <c r="G8" i="90"/>
  <c r="F8" i="90"/>
  <c r="E8" i="90"/>
  <c r="D8" i="90"/>
  <c r="B5" i="90"/>
  <c r="Q38" i="89"/>
  <c r="M33" i="89"/>
  <c r="L33" i="89"/>
  <c r="K33" i="89"/>
  <c r="J33" i="89"/>
  <c r="I33" i="89"/>
  <c r="H33" i="89"/>
  <c r="G33" i="89"/>
  <c r="F33" i="89"/>
  <c r="Q33" i="89" s="1"/>
  <c r="E33" i="89"/>
  <c r="D33" i="89"/>
  <c r="Q31" i="89"/>
  <c r="B31" i="89"/>
  <c r="O30" i="89"/>
  <c r="N30" i="89"/>
  <c r="M30" i="89"/>
  <c r="L30" i="89"/>
  <c r="K30" i="89"/>
  <c r="J30" i="89"/>
  <c r="I30" i="89"/>
  <c r="H30" i="89"/>
  <c r="G30" i="89"/>
  <c r="F30" i="89"/>
  <c r="E30" i="89"/>
  <c r="Q30" i="89" s="1"/>
  <c r="D30" i="89"/>
  <c r="B30" i="89"/>
  <c r="Q29" i="89"/>
  <c r="B29" i="89"/>
  <c r="O28" i="89"/>
  <c r="N28" i="89"/>
  <c r="M28" i="89"/>
  <c r="L28" i="89"/>
  <c r="K28" i="89"/>
  <c r="J28" i="89"/>
  <c r="I28" i="89"/>
  <c r="H28" i="89"/>
  <c r="G28" i="89"/>
  <c r="F28" i="89"/>
  <c r="E28" i="89"/>
  <c r="Q28" i="89" s="1"/>
  <c r="D28" i="89"/>
  <c r="B28" i="89"/>
  <c r="Q27" i="89"/>
  <c r="B27" i="89"/>
  <c r="O26" i="89"/>
  <c r="N26" i="89"/>
  <c r="M26" i="89"/>
  <c r="L26" i="89"/>
  <c r="K26" i="89"/>
  <c r="J26" i="89"/>
  <c r="I26" i="89"/>
  <c r="H26" i="89"/>
  <c r="G26" i="89"/>
  <c r="F26" i="89"/>
  <c r="E26" i="89"/>
  <c r="Q26" i="89" s="1"/>
  <c r="D26" i="89"/>
  <c r="B26" i="89"/>
  <c r="Q25" i="89"/>
  <c r="B25" i="89"/>
  <c r="O24" i="89"/>
  <c r="N24" i="89"/>
  <c r="N20" i="89" s="1" a="1"/>
  <c r="M24" i="89"/>
  <c r="L24" i="89"/>
  <c r="K24" i="89"/>
  <c r="K20" i="89" s="1" a="1"/>
  <c r="J24" i="89"/>
  <c r="I24" i="89"/>
  <c r="H24" i="89"/>
  <c r="G24" i="89"/>
  <c r="F24" i="89"/>
  <c r="F20" i="89" s="1" a="1"/>
  <c r="E24" i="89"/>
  <c r="Q24" i="89" s="1"/>
  <c r="D24" i="89"/>
  <c r="B24" i="89"/>
  <c r="Q23" i="89"/>
  <c r="B23" i="89"/>
  <c r="Q22" i="89"/>
  <c r="B22" i="89"/>
  <c r="O21" i="89"/>
  <c r="O20" i="89" s="1" a="1"/>
  <c r="O20" i="89" s="1"/>
  <c r="N21" i="89"/>
  <c r="M21" i="89"/>
  <c r="L21" i="89"/>
  <c r="K21" i="89"/>
  <c r="J21" i="89"/>
  <c r="J20" i="89" s="1" a="1"/>
  <c r="J20" i="89" s="1"/>
  <c r="I21" i="89"/>
  <c r="I20" i="89" s="1" a="1"/>
  <c r="I20" i="89" s="1"/>
  <c r="H21" i="89"/>
  <c r="G21" i="89"/>
  <c r="G20" i="89" s="1" a="1"/>
  <c r="F21" i="89"/>
  <c r="E21" i="89"/>
  <c r="D21" i="89"/>
  <c r="B21" i="89"/>
  <c r="N20" i="89"/>
  <c r="L20" i="89" a="1"/>
  <c r="L20" i="89" s="1"/>
  <c r="K20" i="89"/>
  <c r="H20" i="89" a="1"/>
  <c r="H20" i="89" s="1"/>
  <c r="G20" i="89"/>
  <c r="F20" i="89"/>
  <c r="D20" i="89" a="1"/>
  <c r="D20" i="89" s="1"/>
  <c r="M18" i="89"/>
  <c r="O17" i="89"/>
  <c r="L17" i="89"/>
  <c r="G17" i="89"/>
  <c r="Q15" i="89"/>
  <c r="Q14" i="89" s="1"/>
  <c r="B15" i="89"/>
  <c r="O14" i="89"/>
  <c r="N14" i="89"/>
  <c r="M14" i="89"/>
  <c r="L14" i="89"/>
  <c r="K14" i="89"/>
  <c r="J14" i="89"/>
  <c r="I14" i="89"/>
  <c r="H14" i="89"/>
  <c r="G14" i="89"/>
  <c r="F14" i="89"/>
  <c r="E14" i="89"/>
  <c r="D14" i="89"/>
  <c r="M12" i="89"/>
  <c r="L12" i="89"/>
  <c r="L10" i="89" s="1"/>
  <c r="K12" i="89"/>
  <c r="J12" i="89"/>
  <c r="I12" i="89"/>
  <c r="I10" i="89" s="1"/>
  <c r="I17" i="89" s="1"/>
  <c r="I18" i="89" s="1"/>
  <c r="H12" i="89"/>
  <c r="G12" i="89"/>
  <c r="G10" i="89" s="1"/>
  <c r="F12" i="89"/>
  <c r="F10" i="89" s="1"/>
  <c r="F17" i="89" s="1"/>
  <c r="E12" i="89"/>
  <c r="D12" i="89"/>
  <c r="D10" i="89" s="1"/>
  <c r="D17" i="89" s="1"/>
  <c r="B12" i="89"/>
  <c r="M11" i="89"/>
  <c r="M10" i="89" s="1"/>
  <c r="M17" i="89" s="1"/>
  <c r="L11" i="89"/>
  <c r="K11" i="89"/>
  <c r="J11" i="89"/>
  <c r="J10" i="89" s="1"/>
  <c r="J17" i="89" s="1"/>
  <c r="I11" i="89"/>
  <c r="H11" i="89"/>
  <c r="H10" i="89" s="1"/>
  <c r="H17" i="89" s="1"/>
  <c r="G11" i="89"/>
  <c r="F11" i="89"/>
  <c r="E11" i="89"/>
  <c r="E10" i="89" s="1"/>
  <c r="E17" i="89" s="1"/>
  <c r="D11" i="89"/>
  <c r="Q11" i="89" s="1"/>
  <c r="B11" i="89"/>
  <c r="O10" i="89"/>
  <c r="N10" i="89"/>
  <c r="K10" i="89"/>
  <c r="O8" i="89"/>
  <c r="N8" i="89"/>
  <c r="M8" i="89"/>
  <c r="L8" i="89"/>
  <c r="K8" i="89"/>
  <c r="J8" i="89"/>
  <c r="I8" i="89"/>
  <c r="H8" i="89"/>
  <c r="G8" i="89"/>
  <c r="F8" i="89"/>
  <c r="E8" i="89"/>
  <c r="D8" i="89"/>
  <c r="B5" i="89"/>
  <c r="Q93" i="88"/>
  <c r="M91" i="88"/>
  <c r="M88" i="88"/>
  <c r="L88" i="88"/>
  <c r="K88" i="88"/>
  <c r="J88" i="88"/>
  <c r="I88" i="88"/>
  <c r="H88" i="88"/>
  <c r="G88" i="88"/>
  <c r="F88" i="88"/>
  <c r="E88" i="88"/>
  <c r="D88" i="88"/>
  <c r="Q88" i="88" s="1"/>
  <c r="Q86" i="88"/>
  <c r="B86" i="88"/>
  <c r="O85" i="88"/>
  <c r="N85" i="88"/>
  <c r="M85" i="88"/>
  <c r="L85" i="88"/>
  <c r="K85" i="88"/>
  <c r="J85" i="88"/>
  <c r="I85" i="88"/>
  <c r="H85" i="88"/>
  <c r="G85" i="88"/>
  <c r="F85" i="88"/>
  <c r="E85" i="88"/>
  <c r="D85" i="88"/>
  <c r="B85" i="88"/>
  <c r="Q84" i="88"/>
  <c r="B84" i="88"/>
  <c r="O83" i="88"/>
  <c r="N83" i="88"/>
  <c r="M83" i="88"/>
  <c r="L83" i="88"/>
  <c r="K83" i="88"/>
  <c r="J83" i="88"/>
  <c r="I83" i="88"/>
  <c r="H83" i="88"/>
  <c r="G83" i="88"/>
  <c r="F83" i="88"/>
  <c r="E83" i="88"/>
  <c r="D83" i="88"/>
  <c r="B83" i="88"/>
  <c r="Q82" i="88"/>
  <c r="B82" i="88"/>
  <c r="Q81" i="88"/>
  <c r="B81" i="88"/>
  <c r="Q80" i="88"/>
  <c r="B80" i="88"/>
  <c r="Q79" i="88"/>
  <c r="B79" i="88"/>
  <c r="Q78" i="88"/>
  <c r="B78" i="88"/>
  <c r="Q77" i="88"/>
  <c r="B77" i="88"/>
  <c r="Q76" i="88"/>
  <c r="B76" i="88"/>
  <c r="Q75" i="88"/>
  <c r="B75" i="88"/>
  <c r="O74" i="88"/>
  <c r="O24" i="88" s="1" a="1"/>
  <c r="O24" i="88" s="1"/>
  <c r="N74" i="88"/>
  <c r="M74" i="88"/>
  <c r="L74" i="88"/>
  <c r="K74" i="88"/>
  <c r="J74" i="88"/>
  <c r="I74" i="88"/>
  <c r="H74" i="88"/>
  <c r="G74" i="88"/>
  <c r="F74" i="88"/>
  <c r="E74" i="88"/>
  <c r="D74" i="88"/>
  <c r="B74" i="88"/>
  <c r="Q73" i="88"/>
  <c r="B73" i="88"/>
  <c r="Q72" i="88"/>
  <c r="B72" i="88"/>
  <c r="Q71" i="88"/>
  <c r="B71" i="88"/>
  <c r="Q70" i="88"/>
  <c r="B70" i="88"/>
  <c r="O69" i="88"/>
  <c r="N69" i="88"/>
  <c r="M69" i="88"/>
  <c r="L69" i="88"/>
  <c r="K69" i="88"/>
  <c r="J69" i="88"/>
  <c r="I69" i="88"/>
  <c r="H69" i="88"/>
  <c r="H24" i="88" s="1" a="1"/>
  <c r="H24" i="88" s="1"/>
  <c r="G69" i="88"/>
  <c r="F69" i="88"/>
  <c r="E69" i="88"/>
  <c r="D69" i="88"/>
  <c r="B69" i="88"/>
  <c r="Q68" i="88"/>
  <c r="B68" i="88"/>
  <c r="Q67" i="88"/>
  <c r="B67" i="88"/>
  <c r="Q66" i="88"/>
  <c r="B66" i="88"/>
  <c r="O65" i="88"/>
  <c r="N65" i="88"/>
  <c r="M65" i="88"/>
  <c r="L65" i="88"/>
  <c r="K65" i="88"/>
  <c r="J65" i="88"/>
  <c r="I65" i="88"/>
  <c r="H65" i="88"/>
  <c r="G65" i="88"/>
  <c r="F65" i="88"/>
  <c r="E65" i="88"/>
  <c r="D65" i="88"/>
  <c r="Q65" i="88" s="1"/>
  <c r="B65" i="88"/>
  <c r="Q64" i="88"/>
  <c r="B64" i="88"/>
  <c r="O63" i="88"/>
  <c r="N63" i="88"/>
  <c r="M63" i="88"/>
  <c r="L63" i="88"/>
  <c r="K63" i="88"/>
  <c r="J63" i="88"/>
  <c r="I63" i="88"/>
  <c r="H63" i="88"/>
  <c r="G63" i="88"/>
  <c r="F63" i="88"/>
  <c r="E63" i="88"/>
  <c r="D63" i="88"/>
  <c r="B63" i="88"/>
  <c r="Q62" i="88"/>
  <c r="B62" i="88"/>
  <c r="O61" i="88"/>
  <c r="N61" i="88"/>
  <c r="M61" i="88"/>
  <c r="L61" i="88"/>
  <c r="K61" i="88"/>
  <c r="J61" i="88"/>
  <c r="I61" i="88"/>
  <c r="H61" i="88"/>
  <c r="G61" i="88"/>
  <c r="F61" i="88"/>
  <c r="E61" i="88"/>
  <c r="D61" i="88"/>
  <c r="B61" i="88"/>
  <c r="Q60" i="88"/>
  <c r="B60" i="88"/>
  <c r="O59" i="88"/>
  <c r="N59" i="88"/>
  <c r="M59" i="88"/>
  <c r="L59" i="88"/>
  <c r="K59" i="88"/>
  <c r="J59" i="88"/>
  <c r="I59" i="88"/>
  <c r="H59" i="88"/>
  <c r="G59" i="88"/>
  <c r="F59" i="88"/>
  <c r="E59" i="88"/>
  <c r="D59" i="88"/>
  <c r="B59" i="88"/>
  <c r="Q58" i="88"/>
  <c r="B58" i="88"/>
  <c r="O57" i="88"/>
  <c r="N57" i="88"/>
  <c r="M57" i="88"/>
  <c r="L57" i="88"/>
  <c r="K57" i="88"/>
  <c r="J57" i="88"/>
  <c r="I57" i="88"/>
  <c r="H57" i="88"/>
  <c r="G57" i="88"/>
  <c r="F57" i="88"/>
  <c r="E57" i="88"/>
  <c r="D57" i="88"/>
  <c r="Q57" i="88" s="1"/>
  <c r="B57" i="88"/>
  <c r="Q56" i="88"/>
  <c r="B56" i="88"/>
  <c r="O55" i="88"/>
  <c r="N55" i="88"/>
  <c r="M55" i="88"/>
  <c r="L55" i="88"/>
  <c r="K55" i="88"/>
  <c r="J55" i="88"/>
  <c r="I55" i="88"/>
  <c r="H55" i="88"/>
  <c r="G55" i="88"/>
  <c r="F55" i="88"/>
  <c r="E55" i="88"/>
  <c r="D55" i="88"/>
  <c r="B55" i="88"/>
  <c r="Q54" i="88"/>
  <c r="B54" i="88"/>
  <c r="O53" i="88"/>
  <c r="N53" i="88"/>
  <c r="M53" i="88"/>
  <c r="L53" i="88"/>
  <c r="K53" i="88"/>
  <c r="J53" i="88"/>
  <c r="I53" i="88"/>
  <c r="H53" i="88"/>
  <c r="G53" i="88"/>
  <c r="F53" i="88"/>
  <c r="E53" i="88"/>
  <c r="D53" i="88"/>
  <c r="B53" i="88"/>
  <c r="Q52" i="88"/>
  <c r="B52" i="88"/>
  <c r="O51" i="88"/>
  <c r="N51" i="88"/>
  <c r="M51" i="88"/>
  <c r="L51" i="88"/>
  <c r="K51" i="88"/>
  <c r="J51" i="88"/>
  <c r="I51" i="88"/>
  <c r="H51" i="88"/>
  <c r="G51" i="88"/>
  <c r="F51" i="88"/>
  <c r="E51" i="88"/>
  <c r="D51" i="88"/>
  <c r="Q51" i="88" s="1"/>
  <c r="B51" i="88"/>
  <c r="Q50" i="88"/>
  <c r="B50" i="88"/>
  <c r="O49" i="88"/>
  <c r="N49" i="88"/>
  <c r="M49" i="88"/>
  <c r="L49" i="88"/>
  <c r="K49" i="88"/>
  <c r="J49" i="88"/>
  <c r="I49" i="88"/>
  <c r="H49" i="88"/>
  <c r="G49" i="88"/>
  <c r="F49" i="88"/>
  <c r="E49" i="88"/>
  <c r="D49" i="88"/>
  <c r="B49" i="88"/>
  <c r="Q48" i="88"/>
  <c r="B48" i="88"/>
  <c r="O47" i="88"/>
  <c r="N47" i="88"/>
  <c r="M47" i="88"/>
  <c r="L47" i="88"/>
  <c r="K47" i="88"/>
  <c r="J47" i="88"/>
  <c r="I47" i="88"/>
  <c r="H47" i="88"/>
  <c r="G47" i="88"/>
  <c r="F47" i="88"/>
  <c r="E47" i="88"/>
  <c r="D47" i="88"/>
  <c r="B47" i="88"/>
  <c r="Q46" i="88"/>
  <c r="B46" i="88"/>
  <c r="Q45" i="88"/>
  <c r="B45" i="88"/>
  <c r="Q44" i="88"/>
  <c r="B44" i="88"/>
  <c r="Q43" i="88"/>
  <c r="B43" i="88"/>
  <c r="Q42" i="88"/>
  <c r="B42" i="88"/>
  <c r="Q41" i="88"/>
  <c r="B41" i="88"/>
  <c r="Q40" i="88"/>
  <c r="B40" i="88"/>
  <c r="Q39" i="88"/>
  <c r="B39" i="88"/>
  <c r="Q38" i="88"/>
  <c r="B38" i="88"/>
  <c r="Q37" i="88"/>
  <c r="B37" i="88"/>
  <c r="O36" i="88"/>
  <c r="N36" i="88"/>
  <c r="M36" i="88"/>
  <c r="L36" i="88"/>
  <c r="K36" i="88"/>
  <c r="J36" i="88"/>
  <c r="I36" i="88"/>
  <c r="H36" i="88"/>
  <c r="Q36" i="88" s="1"/>
  <c r="G36" i="88"/>
  <c r="F36" i="88"/>
  <c r="E36" i="88"/>
  <c r="D36" i="88"/>
  <c r="B36" i="88"/>
  <c r="Q35" i="88"/>
  <c r="B35" i="88"/>
  <c r="Q34" i="88"/>
  <c r="B34" i="88"/>
  <c r="Q33" i="88"/>
  <c r="B33" i="88"/>
  <c r="Q32" i="88"/>
  <c r="B32" i="88"/>
  <c r="Q31" i="88"/>
  <c r="B31" i="88"/>
  <c r="Q30" i="88"/>
  <c r="B30" i="88"/>
  <c r="Q29" i="88"/>
  <c r="B29" i="88"/>
  <c r="Q28" i="88"/>
  <c r="B28" i="88"/>
  <c r="Q27" i="88"/>
  <c r="B27" i="88"/>
  <c r="Q26" i="88"/>
  <c r="B26" i="88"/>
  <c r="O25" i="88"/>
  <c r="N25" i="88"/>
  <c r="M25" i="88"/>
  <c r="M24" i="88" s="1" a="1"/>
  <c r="M24" i="88" s="1"/>
  <c r="L25" i="88"/>
  <c r="K25" i="88"/>
  <c r="J25" i="88"/>
  <c r="I25" i="88"/>
  <c r="H25" i="88"/>
  <c r="Q25" i="88" s="1"/>
  <c r="G25" i="88"/>
  <c r="F25" i="88"/>
  <c r="E25" i="88"/>
  <c r="E24" i="88" s="1" a="1"/>
  <c r="E24" i="88" s="1"/>
  <c r="D25" i="88"/>
  <c r="B25" i="88"/>
  <c r="K24" i="88" a="1"/>
  <c r="K24" i="88" s="1"/>
  <c r="G24" i="88" a="1"/>
  <c r="G24" i="88" s="1"/>
  <c r="E22" i="88"/>
  <c r="E21" i="88"/>
  <c r="E90" i="88" s="1"/>
  <c r="Q19" i="88"/>
  <c r="B19" i="88"/>
  <c r="Q18" i="88"/>
  <c r="B18" i="88"/>
  <c r="Q17" i="88"/>
  <c r="B17" i="88"/>
  <c r="Q16" i="88"/>
  <c r="O16" i="88"/>
  <c r="N16" i="88"/>
  <c r="M16" i="88"/>
  <c r="L16" i="88"/>
  <c r="K16" i="88"/>
  <c r="J16" i="88"/>
  <c r="I16" i="88"/>
  <c r="H16" i="88"/>
  <c r="G16" i="88"/>
  <c r="F16" i="88"/>
  <c r="E16" i="88"/>
  <c r="D16" i="88"/>
  <c r="M14" i="88"/>
  <c r="M10" i="88" s="1"/>
  <c r="M21" i="88" s="1"/>
  <c r="M90" i="88" s="1"/>
  <c r="M95" i="88" s="1"/>
  <c r="M96" i="88" s="1"/>
  <c r="L14" i="88"/>
  <c r="K14" i="88"/>
  <c r="J14" i="88"/>
  <c r="I14" i="88"/>
  <c r="H14" i="88"/>
  <c r="G14" i="88"/>
  <c r="F14" i="88"/>
  <c r="E14" i="88"/>
  <c r="D14" i="88"/>
  <c r="B14" i="88"/>
  <c r="M13" i="88"/>
  <c r="L13" i="88"/>
  <c r="K13" i="88"/>
  <c r="J13" i="88"/>
  <c r="I13" i="88"/>
  <c r="H13" i="88"/>
  <c r="G13" i="88"/>
  <c r="F13" i="88"/>
  <c r="E13" i="88"/>
  <c r="D13" i="88"/>
  <c r="B13" i="88"/>
  <c r="M12" i="88"/>
  <c r="L12" i="88"/>
  <c r="K12" i="88"/>
  <c r="K10" i="88" s="1"/>
  <c r="K21" i="88" s="1"/>
  <c r="J12" i="88"/>
  <c r="I12" i="88"/>
  <c r="H12" i="88"/>
  <c r="H10" i="88" s="1"/>
  <c r="H21" i="88" s="1"/>
  <c r="G12" i="88"/>
  <c r="F12" i="88"/>
  <c r="E12" i="88"/>
  <c r="D12" i="88"/>
  <c r="B12" i="88"/>
  <c r="M11" i="88"/>
  <c r="L11" i="88"/>
  <c r="K11" i="88"/>
  <c r="J11" i="88"/>
  <c r="I11" i="88"/>
  <c r="H11" i="88"/>
  <c r="G11" i="88"/>
  <c r="G10" i="88" s="1"/>
  <c r="G21" i="88" s="1"/>
  <c r="F11" i="88"/>
  <c r="F10" i="88" s="1"/>
  <c r="F21" i="88" s="1"/>
  <c r="E11" i="88"/>
  <c r="D11" i="88"/>
  <c r="B11" i="88"/>
  <c r="O10" i="88"/>
  <c r="O21" i="88" s="1"/>
  <c r="N10" i="88"/>
  <c r="N21" i="88" s="1"/>
  <c r="J10" i="88"/>
  <c r="J21" i="88" s="1"/>
  <c r="E10" i="88"/>
  <c r="O8" i="88"/>
  <c r="N8" i="88"/>
  <c r="M8" i="88"/>
  <c r="L8" i="88"/>
  <c r="K8" i="88"/>
  <c r="J8" i="88"/>
  <c r="I8" i="88"/>
  <c r="H8" i="88"/>
  <c r="G8" i="88"/>
  <c r="F8" i="88"/>
  <c r="E8" i="88"/>
  <c r="D8" i="88"/>
  <c r="B5" i="88"/>
  <c r="Q61" i="87"/>
  <c r="F58" i="87"/>
  <c r="M56" i="87"/>
  <c r="L56" i="87"/>
  <c r="K56" i="87"/>
  <c r="J56" i="87"/>
  <c r="I56" i="87"/>
  <c r="H56" i="87"/>
  <c r="G56" i="87"/>
  <c r="F56" i="87"/>
  <c r="Q56" i="87" s="1"/>
  <c r="E56" i="87"/>
  <c r="D56" i="87"/>
  <c r="Q54" i="87"/>
  <c r="B54" i="87"/>
  <c r="O53" i="87"/>
  <c r="N53" i="87"/>
  <c r="M53" i="87"/>
  <c r="L53" i="87"/>
  <c r="K53" i="87"/>
  <c r="J53" i="87"/>
  <c r="I53" i="87"/>
  <c r="H53" i="87"/>
  <c r="G53" i="87"/>
  <c r="F53" i="87"/>
  <c r="E53" i="87"/>
  <c r="Q53" i="87" s="1"/>
  <c r="D53" i="87"/>
  <c r="B53" i="87"/>
  <c r="Q52" i="87"/>
  <c r="B52" i="87"/>
  <c r="O51" i="87"/>
  <c r="N51" i="87"/>
  <c r="M51" i="87"/>
  <c r="L51" i="87"/>
  <c r="K51" i="87"/>
  <c r="J51" i="87"/>
  <c r="I51" i="87"/>
  <c r="H51" i="87"/>
  <c r="H17" i="87" s="1" a="1"/>
  <c r="G51" i="87"/>
  <c r="F51" i="87"/>
  <c r="E51" i="87"/>
  <c r="Q51" i="87" s="1"/>
  <c r="D51" i="87"/>
  <c r="B51" i="87"/>
  <c r="Q50" i="87"/>
  <c r="B50" i="87"/>
  <c r="Q49" i="87"/>
  <c r="B49" i="87"/>
  <c r="O48" i="87"/>
  <c r="N48" i="87"/>
  <c r="M48" i="87"/>
  <c r="M17" i="87" s="1" a="1"/>
  <c r="M17" i="87" s="1"/>
  <c r="L48" i="87"/>
  <c r="K48" i="87"/>
  <c r="J48" i="87"/>
  <c r="J17" i="87" s="1" a="1"/>
  <c r="J17" i="87" s="1"/>
  <c r="I48" i="87"/>
  <c r="H48" i="87"/>
  <c r="G48" i="87"/>
  <c r="F48" i="87"/>
  <c r="E48" i="87"/>
  <c r="Q48" i="87" s="1"/>
  <c r="D48" i="87"/>
  <c r="B48" i="87"/>
  <c r="Q47" i="87"/>
  <c r="B47" i="87"/>
  <c r="Q46" i="87"/>
  <c r="B46" i="87"/>
  <c r="O45" i="87"/>
  <c r="N45" i="87"/>
  <c r="M45" i="87"/>
  <c r="L45" i="87"/>
  <c r="K45" i="87"/>
  <c r="J45" i="87"/>
  <c r="I45" i="87"/>
  <c r="H45" i="87"/>
  <c r="G45" i="87"/>
  <c r="F45" i="87"/>
  <c r="E45" i="87"/>
  <c r="D45" i="87"/>
  <c r="B45" i="87"/>
  <c r="Q44" i="87"/>
  <c r="B44" i="87"/>
  <c r="O43" i="87"/>
  <c r="N43" i="87"/>
  <c r="M43" i="87"/>
  <c r="L43" i="87"/>
  <c r="K43" i="87"/>
  <c r="J43" i="87"/>
  <c r="I43" i="87"/>
  <c r="H43" i="87"/>
  <c r="G43" i="87"/>
  <c r="F43" i="87"/>
  <c r="E43" i="87"/>
  <c r="D43" i="87"/>
  <c r="B43" i="87"/>
  <c r="Q42" i="87"/>
  <c r="B42" i="87"/>
  <c r="O41" i="87"/>
  <c r="N41" i="87"/>
  <c r="M41" i="87"/>
  <c r="L41" i="87"/>
  <c r="K41" i="87"/>
  <c r="J41" i="87"/>
  <c r="I41" i="87"/>
  <c r="H41" i="87"/>
  <c r="G41" i="87"/>
  <c r="F41" i="87"/>
  <c r="E41" i="87"/>
  <c r="D41" i="87"/>
  <c r="Q41" i="87" s="1"/>
  <c r="B41" i="87"/>
  <c r="Q40" i="87"/>
  <c r="B40" i="87"/>
  <c r="O39" i="87"/>
  <c r="N39" i="87"/>
  <c r="M39" i="87"/>
  <c r="L39" i="87"/>
  <c r="K39" i="87"/>
  <c r="J39" i="87"/>
  <c r="I39" i="87"/>
  <c r="H39" i="87"/>
  <c r="G39" i="87"/>
  <c r="F39" i="87"/>
  <c r="E39" i="87"/>
  <c r="D39" i="87"/>
  <c r="Q39" i="87" s="1"/>
  <c r="B39" i="87"/>
  <c r="Q38" i="87"/>
  <c r="B38" i="87"/>
  <c r="Q37" i="87"/>
  <c r="B37" i="87"/>
  <c r="Q36" i="87"/>
  <c r="B36" i="87"/>
  <c r="Q35" i="87"/>
  <c r="B35" i="87"/>
  <c r="Q34" i="87"/>
  <c r="B34" i="87"/>
  <c r="Q33" i="87"/>
  <c r="B33" i="87"/>
  <c r="Q32" i="87"/>
  <c r="B32" i="87"/>
  <c r="Q31" i="87"/>
  <c r="B31" i="87"/>
  <c r="Q30" i="87"/>
  <c r="B30" i="87"/>
  <c r="Q29" i="87"/>
  <c r="B29" i="87"/>
  <c r="O28" i="87"/>
  <c r="N28" i="87"/>
  <c r="M28" i="87"/>
  <c r="L28" i="87"/>
  <c r="K28" i="87"/>
  <c r="J28" i="87"/>
  <c r="I28" i="87"/>
  <c r="H28" i="87"/>
  <c r="G28" i="87"/>
  <c r="F28" i="87"/>
  <c r="F17" i="87" s="1" a="1"/>
  <c r="F17" i="87" s="1"/>
  <c r="E28" i="87"/>
  <c r="D28" i="87"/>
  <c r="Q28" i="87" s="1"/>
  <c r="B28" i="87"/>
  <c r="Q27" i="87"/>
  <c r="B27" i="87"/>
  <c r="Q26" i="87"/>
  <c r="B26" i="87"/>
  <c r="Q25" i="87"/>
  <c r="B25" i="87"/>
  <c r="Q24" i="87"/>
  <c r="B24" i="87"/>
  <c r="Q23" i="87"/>
  <c r="B23" i="87"/>
  <c r="Q22" i="87"/>
  <c r="B22" i="87"/>
  <c r="Q21" i="87"/>
  <c r="B21" i="87"/>
  <c r="Q20" i="87"/>
  <c r="B20" i="87"/>
  <c r="Q19" i="87"/>
  <c r="B19" i="87"/>
  <c r="O18" i="87"/>
  <c r="N18" i="87"/>
  <c r="M18" i="87"/>
  <c r="L18" i="87"/>
  <c r="K18" i="87"/>
  <c r="K17" i="87" s="1" a="1"/>
  <c r="K17" i="87" s="1"/>
  <c r="J18" i="87"/>
  <c r="I18" i="87"/>
  <c r="H18" i="87"/>
  <c r="G18" i="87"/>
  <c r="F18" i="87"/>
  <c r="E18" i="87"/>
  <c r="D18" i="87"/>
  <c r="B18" i="87"/>
  <c r="N17" i="87" a="1"/>
  <c r="N17" i="87" s="1"/>
  <c r="I17" i="87" a="1"/>
  <c r="I17" i="87"/>
  <c r="H17" i="87"/>
  <c r="O14" i="87"/>
  <c r="K14" i="87"/>
  <c r="I14" i="87"/>
  <c r="G14" i="87"/>
  <c r="F14" i="87"/>
  <c r="F15" i="87" s="1"/>
  <c r="Q12" i="87"/>
  <c r="O12" i="87"/>
  <c r="N12" i="87"/>
  <c r="N14" i="87" s="1"/>
  <c r="M12" i="87"/>
  <c r="L12" i="87"/>
  <c r="L14" i="87" s="1"/>
  <c r="K12" i="87"/>
  <c r="J12" i="87"/>
  <c r="I12" i="87"/>
  <c r="H12" i="87"/>
  <c r="G12" i="87"/>
  <c r="F12" i="87"/>
  <c r="E12" i="87"/>
  <c r="D12" i="87"/>
  <c r="D14" i="87" s="1"/>
  <c r="Q10" i="87"/>
  <c r="Q14" i="87" s="1"/>
  <c r="O10" i="87"/>
  <c r="N10" i="87"/>
  <c r="M10" i="87"/>
  <c r="L10" i="87"/>
  <c r="K10" i="87"/>
  <c r="J10" i="87"/>
  <c r="J14" i="87" s="1"/>
  <c r="I10" i="87"/>
  <c r="H10" i="87"/>
  <c r="H14" i="87" s="1"/>
  <c r="G10" i="87"/>
  <c r="F10" i="87"/>
  <c r="E10" i="87"/>
  <c r="D10" i="87"/>
  <c r="O8" i="87"/>
  <c r="N8" i="87"/>
  <c r="M8" i="87"/>
  <c r="L8" i="87"/>
  <c r="K8" i="87"/>
  <c r="J8" i="87"/>
  <c r="I8" i="87"/>
  <c r="H8" i="87"/>
  <c r="G8" i="87"/>
  <c r="F8" i="87"/>
  <c r="E8" i="87"/>
  <c r="D8" i="87"/>
  <c r="B5" i="87"/>
  <c r="Q36" i="86"/>
  <c r="M31" i="86"/>
  <c r="L31" i="86"/>
  <c r="K31" i="86"/>
  <c r="J31" i="86"/>
  <c r="I31" i="86"/>
  <c r="H31" i="86"/>
  <c r="G31" i="86"/>
  <c r="F31" i="86"/>
  <c r="Q31" i="86" s="1"/>
  <c r="E31" i="86"/>
  <c r="D31" i="86"/>
  <c r="Q29" i="86"/>
  <c r="B29" i="86"/>
  <c r="O28" i="86"/>
  <c r="N28" i="86"/>
  <c r="M28" i="86"/>
  <c r="L28" i="86"/>
  <c r="K28" i="86"/>
  <c r="J28" i="86"/>
  <c r="I28" i="86"/>
  <c r="H28" i="86"/>
  <c r="G28" i="86"/>
  <c r="F28" i="86"/>
  <c r="E28" i="86"/>
  <c r="D28" i="86"/>
  <c r="B28" i="86"/>
  <c r="Q27" i="86"/>
  <c r="B27" i="86"/>
  <c r="O26" i="86"/>
  <c r="N26" i="86"/>
  <c r="M26" i="86"/>
  <c r="L26" i="86"/>
  <c r="K26" i="86"/>
  <c r="J26" i="86"/>
  <c r="I26" i="86"/>
  <c r="H26" i="86"/>
  <c r="G26" i="86"/>
  <c r="F26" i="86"/>
  <c r="E26" i="86"/>
  <c r="D26" i="86"/>
  <c r="B26" i="86"/>
  <c r="Q25" i="86"/>
  <c r="B25" i="86"/>
  <c r="O24" i="86"/>
  <c r="N24" i="86"/>
  <c r="M24" i="86"/>
  <c r="L24" i="86"/>
  <c r="K24" i="86"/>
  <c r="J24" i="86"/>
  <c r="I24" i="86"/>
  <c r="H24" i="86"/>
  <c r="G24" i="86"/>
  <c r="F24" i="86"/>
  <c r="E24" i="86"/>
  <c r="D24" i="86"/>
  <c r="B24" i="86"/>
  <c r="Q23" i="86"/>
  <c r="B23" i="86"/>
  <c r="O22" i="86"/>
  <c r="N22" i="86"/>
  <c r="M22" i="86"/>
  <c r="L22" i="86"/>
  <c r="K22" i="86"/>
  <c r="J22" i="86"/>
  <c r="I22" i="86"/>
  <c r="I19" i="86" s="1" a="1"/>
  <c r="I19" i="86" s="1"/>
  <c r="H22" i="86"/>
  <c r="G22" i="86"/>
  <c r="F22" i="86"/>
  <c r="E22" i="86"/>
  <c r="D22" i="86"/>
  <c r="B22" i="86"/>
  <c r="Q21" i="86"/>
  <c r="B21" i="86"/>
  <c r="O20" i="86"/>
  <c r="N20" i="86"/>
  <c r="M20" i="86"/>
  <c r="L20" i="86"/>
  <c r="L19" i="86" s="1" a="1"/>
  <c r="L19" i="86" s="1"/>
  <c r="L33" i="86" s="1"/>
  <c r="K20" i="86"/>
  <c r="J20" i="86"/>
  <c r="J19" i="86" s="1" a="1"/>
  <c r="I20" i="86"/>
  <c r="H20" i="86"/>
  <c r="G20" i="86"/>
  <c r="F20" i="86"/>
  <c r="E20" i="86"/>
  <c r="D20" i="86"/>
  <c r="B20" i="86"/>
  <c r="N19" i="86" a="1"/>
  <c r="N19" i="86"/>
  <c r="J19" i="86"/>
  <c r="H19" i="86" a="1"/>
  <c r="H19" i="86"/>
  <c r="F19" i="86" a="1"/>
  <c r="F19" i="86"/>
  <c r="L17" i="86"/>
  <c r="E17" i="86"/>
  <c r="N16" i="86"/>
  <c r="L16" i="86"/>
  <c r="J16" i="86"/>
  <c r="D16" i="86"/>
  <c r="Q14" i="86"/>
  <c r="B14" i="86"/>
  <c r="Q13" i="86"/>
  <c r="O13" i="86"/>
  <c r="N13" i="86"/>
  <c r="M13" i="86"/>
  <c r="L13" i="86"/>
  <c r="K13" i="86"/>
  <c r="J13" i="86"/>
  <c r="I13" i="86"/>
  <c r="H13" i="86"/>
  <c r="G13" i="86"/>
  <c r="F13" i="86"/>
  <c r="E13" i="86"/>
  <c r="D13" i="86"/>
  <c r="M11" i="86"/>
  <c r="L11" i="86"/>
  <c r="K11" i="86"/>
  <c r="K10" i="86" s="1"/>
  <c r="K16" i="86" s="1"/>
  <c r="J11" i="86"/>
  <c r="J10" i="86" s="1"/>
  <c r="I11" i="86"/>
  <c r="H11" i="86"/>
  <c r="G11" i="86"/>
  <c r="F11" i="86"/>
  <c r="F10" i="86" s="1"/>
  <c r="F16" i="86" s="1"/>
  <c r="E11" i="86"/>
  <c r="D11" i="86"/>
  <c r="B11" i="86"/>
  <c r="O10" i="86"/>
  <c r="N10" i="86"/>
  <c r="M10" i="86"/>
  <c r="M16" i="86" s="1"/>
  <c r="M17" i="86" s="1"/>
  <c r="L10" i="86"/>
  <c r="I10" i="86"/>
  <c r="I16" i="86" s="1"/>
  <c r="H10" i="86"/>
  <c r="G10" i="86"/>
  <c r="G16" i="86" s="1"/>
  <c r="E10" i="86"/>
  <c r="E16" i="86" s="1"/>
  <c r="D10" i="86"/>
  <c r="O8" i="86"/>
  <c r="N8" i="86"/>
  <c r="M8" i="86"/>
  <c r="L8" i="86"/>
  <c r="K8" i="86"/>
  <c r="J8" i="86"/>
  <c r="I8" i="86"/>
  <c r="H8" i="86"/>
  <c r="G8" i="86"/>
  <c r="F8" i="86"/>
  <c r="E8" i="86"/>
  <c r="D8" i="86"/>
  <c r="B5" i="86"/>
  <c r="Q28" i="85"/>
  <c r="M25" i="85"/>
  <c r="M30" i="85" s="1"/>
  <c r="M23" i="85"/>
  <c r="L23" i="85"/>
  <c r="K23" i="85"/>
  <c r="J23" i="85"/>
  <c r="I23" i="85"/>
  <c r="H23" i="85"/>
  <c r="G23" i="85"/>
  <c r="F23" i="85"/>
  <c r="E23" i="85"/>
  <c r="D23" i="85"/>
  <c r="Q21" i="85"/>
  <c r="B21" i="85"/>
  <c r="O20" i="85"/>
  <c r="N20" i="85"/>
  <c r="M20" i="85"/>
  <c r="L20" i="85"/>
  <c r="K20" i="85"/>
  <c r="J20" i="85"/>
  <c r="I20" i="85"/>
  <c r="H20" i="85"/>
  <c r="G20" i="85"/>
  <c r="Q20" i="85" s="1"/>
  <c r="F20" i="85"/>
  <c r="E20" i="85"/>
  <c r="D20" i="85"/>
  <c r="B20" i="85"/>
  <c r="Q19" i="85"/>
  <c r="B19" i="85"/>
  <c r="O18" i="85"/>
  <c r="O17" i="85" s="1" a="1"/>
  <c r="O17" i="85" s="1"/>
  <c r="N18" i="85"/>
  <c r="M18" i="85"/>
  <c r="L18" i="85"/>
  <c r="L17" i="85" s="1" a="1"/>
  <c r="L17" i="85" s="1"/>
  <c r="K18" i="85"/>
  <c r="J18" i="85"/>
  <c r="I18" i="85"/>
  <c r="H18" i="85"/>
  <c r="G18" i="85"/>
  <c r="Q18" i="85" s="1"/>
  <c r="Q17" i="85" s="1" a="1"/>
  <c r="Q17" i="85" s="1"/>
  <c r="F18" i="85"/>
  <c r="F17" i="85" s="1" a="1"/>
  <c r="F17" i="85" s="1"/>
  <c r="E18" i="85"/>
  <c r="D18" i="85"/>
  <c r="B18" i="85"/>
  <c r="N17" i="85" a="1"/>
  <c r="N17" i="85" s="1"/>
  <c r="M17" i="85" a="1"/>
  <c r="M17" i="85" s="1"/>
  <c r="K17" i="85" a="1"/>
  <c r="K17" i="85"/>
  <c r="J17" i="85" a="1"/>
  <c r="J17" i="85" s="1"/>
  <c r="I17" i="85" a="1"/>
  <c r="I17" i="85" s="1"/>
  <c r="H17" i="85" a="1"/>
  <c r="H17" i="85" s="1"/>
  <c r="H25" i="85" s="1"/>
  <c r="H30" i="85" s="1"/>
  <c r="E17" i="85" a="1"/>
  <c r="E17" i="85" s="1"/>
  <c r="D17" i="85" a="1"/>
  <c r="D17" i="85" s="1"/>
  <c r="M14" i="85"/>
  <c r="M15" i="85" s="1"/>
  <c r="L14" i="85"/>
  <c r="E14" i="85"/>
  <c r="D14" i="85"/>
  <c r="D25" i="85" s="1"/>
  <c r="Q12" i="85"/>
  <c r="Q14" i="85" s="1"/>
  <c r="O12" i="85"/>
  <c r="N12" i="85"/>
  <c r="M12" i="85"/>
  <c r="L12" i="85"/>
  <c r="K12" i="85"/>
  <c r="J12" i="85"/>
  <c r="J14" i="85" s="1"/>
  <c r="I12" i="85"/>
  <c r="H12" i="85"/>
  <c r="H14" i="85" s="1"/>
  <c r="H15" i="85" s="1"/>
  <c r="G12" i="85"/>
  <c r="F12" i="85"/>
  <c r="E12" i="85"/>
  <c r="D12" i="85"/>
  <c r="Q10" i="85"/>
  <c r="O10" i="85"/>
  <c r="O14" i="85" s="1"/>
  <c r="N10" i="85"/>
  <c r="M10" i="85"/>
  <c r="L10" i="85"/>
  <c r="K10" i="85"/>
  <c r="K14" i="85" s="1"/>
  <c r="J10" i="85"/>
  <c r="I10" i="85"/>
  <c r="I14" i="85" s="1"/>
  <c r="H10" i="85"/>
  <c r="G10" i="85"/>
  <c r="G14" i="85" s="1"/>
  <c r="F10" i="85"/>
  <c r="E10" i="85"/>
  <c r="D10" i="85"/>
  <c r="O8" i="85"/>
  <c r="N8" i="85"/>
  <c r="M8" i="85"/>
  <c r="L8" i="85"/>
  <c r="K8" i="85"/>
  <c r="J8" i="85"/>
  <c r="I8" i="85"/>
  <c r="H8" i="85"/>
  <c r="G8" i="85"/>
  <c r="F8" i="85"/>
  <c r="E8" i="85"/>
  <c r="D8" i="85"/>
  <c r="B5" i="85"/>
  <c r="Q50" i="84"/>
  <c r="M45" i="84"/>
  <c r="L45" i="84"/>
  <c r="K45" i="84"/>
  <c r="J45" i="84"/>
  <c r="I45" i="84"/>
  <c r="H45" i="84"/>
  <c r="G45" i="84"/>
  <c r="F45" i="84"/>
  <c r="Q45" i="84" s="1"/>
  <c r="E45" i="84"/>
  <c r="D45" i="84"/>
  <c r="Q43" i="84"/>
  <c r="B43" i="84"/>
  <c r="O42" i="84"/>
  <c r="N42" i="84"/>
  <c r="M42" i="84"/>
  <c r="L42" i="84"/>
  <c r="K42" i="84"/>
  <c r="J42" i="84"/>
  <c r="I42" i="84"/>
  <c r="H42" i="84"/>
  <c r="G42" i="84"/>
  <c r="F42" i="84"/>
  <c r="E42" i="84"/>
  <c r="D42" i="84"/>
  <c r="B42" i="84"/>
  <c r="Q41" i="84"/>
  <c r="B41" i="84"/>
  <c r="O40" i="84"/>
  <c r="N40" i="84"/>
  <c r="M40" i="84"/>
  <c r="L40" i="84"/>
  <c r="K40" i="84"/>
  <c r="J40" i="84"/>
  <c r="I40" i="84"/>
  <c r="H40" i="84"/>
  <c r="G40" i="84"/>
  <c r="F40" i="84"/>
  <c r="E40" i="84"/>
  <c r="D40" i="84"/>
  <c r="B40" i="84"/>
  <c r="Q39" i="84"/>
  <c r="B39" i="84"/>
  <c r="O38" i="84"/>
  <c r="N38" i="84"/>
  <c r="M38" i="84"/>
  <c r="M17" i="84" s="1" a="1"/>
  <c r="M17" i="84" s="1"/>
  <c r="L38" i="84"/>
  <c r="K38" i="84"/>
  <c r="J38" i="84"/>
  <c r="I38" i="84"/>
  <c r="I17" i="84" s="1" a="1"/>
  <c r="H38" i="84"/>
  <c r="G38" i="84"/>
  <c r="F38" i="84"/>
  <c r="E38" i="84"/>
  <c r="E17" i="84" s="1" a="1"/>
  <c r="E17" i="84" s="1"/>
  <c r="D38" i="84"/>
  <c r="B38" i="84"/>
  <c r="Q37" i="84"/>
  <c r="B37" i="84"/>
  <c r="Q36" i="84"/>
  <c r="B36" i="84"/>
  <c r="Q35" i="84"/>
  <c r="B35" i="84"/>
  <c r="Q34" i="84"/>
  <c r="B34" i="84"/>
  <c r="Q33" i="84"/>
  <c r="B33" i="84"/>
  <c r="Q32" i="84"/>
  <c r="B32" i="84"/>
  <c r="Q31" i="84"/>
  <c r="B31" i="84"/>
  <c r="Q30" i="84"/>
  <c r="B30" i="84"/>
  <c r="Q29" i="84"/>
  <c r="B29" i="84"/>
  <c r="Q28" i="84"/>
  <c r="B28" i="84"/>
  <c r="O27" i="84"/>
  <c r="N27" i="84"/>
  <c r="N17" i="84" s="1" a="1"/>
  <c r="N17" i="84" s="1"/>
  <c r="M27" i="84"/>
  <c r="L27" i="84"/>
  <c r="K27" i="84"/>
  <c r="J27" i="84"/>
  <c r="I27" i="84"/>
  <c r="H27" i="84"/>
  <c r="G27" i="84"/>
  <c r="F27" i="84"/>
  <c r="F17" i="84" s="1" a="1"/>
  <c r="F17" i="84" s="1"/>
  <c r="E27" i="84"/>
  <c r="D27" i="84"/>
  <c r="B27" i="84"/>
  <c r="Q26" i="84"/>
  <c r="B26" i="84"/>
  <c r="Q25" i="84"/>
  <c r="B25" i="84"/>
  <c r="Q24" i="84"/>
  <c r="B24" i="84"/>
  <c r="Q23" i="84"/>
  <c r="B23" i="84"/>
  <c r="Q22" i="84"/>
  <c r="B22" i="84"/>
  <c r="Q21" i="84"/>
  <c r="B21" i="84"/>
  <c r="Q20" i="84"/>
  <c r="B20" i="84"/>
  <c r="Q19" i="84"/>
  <c r="B19" i="84"/>
  <c r="O18" i="84"/>
  <c r="N18" i="84"/>
  <c r="M18" i="84"/>
  <c r="L18" i="84"/>
  <c r="K18" i="84"/>
  <c r="K17" i="84" s="1" a="1"/>
  <c r="K17" i="84" s="1"/>
  <c r="J18" i="84"/>
  <c r="I18" i="84"/>
  <c r="H18" i="84"/>
  <c r="G18" i="84"/>
  <c r="F18" i="84"/>
  <c r="E18" i="84"/>
  <c r="D18" i="84"/>
  <c r="B18" i="84"/>
  <c r="L17" i="84" a="1"/>
  <c r="L17" i="84" s="1"/>
  <c r="I17" i="84"/>
  <c r="H17" i="84" a="1"/>
  <c r="H17" i="84" s="1"/>
  <c r="D17" i="84" a="1"/>
  <c r="D17" i="84"/>
  <c r="K15" i="84"/>
  <c r="G15" i="84"/>
  <c r="O14" i="84"/>
  <c r="H14" i="84"/>
  <c r="G14" i="84"/>
  <c r="Q12" i="84"/>
  <c r="O12" i="84"/>
  <c r="N12" i="84"/>
  <c r="M12" i="84"/>
  <c r="L12" i="84"/>
  <c r="K12" i="84"/>
  <c r="J12" i="84"/>
  <c r="I12" i="84"/>
  <c r="H12" i="84"/>
  <c r="G12" i="84"/>
  <c r="F12" i="84"/>
  <c r="E12" i="84"/>
  <c r="D12" i="84"/>
  <c r="D14" i="84" s="1"/>
  <c r="Q10" i="84"/>
  <c r="Q14" i="84" s="1"/>
  <c r="O10" i="84"/>
  <c r="N10" i="84"/>
  <c r="N14" i="84" s="1"/>
  <c r="M10" i="84"/>
  <c r="M14" i="84" s="1"/>
  <c r="L10" i="84"/>
  <c r="K10" i="84"/>
  <c r="K14" i="84" s="1"/>
  <c r="J10" i="84"/>
  <c r="J14" i="84" s="1"/>
  <c r="I10" i="84"/>
  <c r="I14" i="84" s="1"/>
  <c r="H10" i="84"/>
  <c r="G10" i="84"/>
  <c r="F10" i="84"/>
  <c r="F14" i="84" s="1"/>
  <c r="E10" i="84"/>
  <c r="E14" i="84" s="1"/>
  <c r="D10" i="84"/>
  <c r="O8" i="84"/>
  <c r="N8" i="84"/>
  <c r="M8" i="84"/>
  <c r="L8" i="84"/>
  <c r="K8" i="84"/>
  <c r="J8" i="84"/>
  <c r="I8" i="84"/>
  <c r="H8" i="84"/>
  <c r="G8" i="84"/>
  <c r="F8" i="84"/>
  <c r="E8" i="84"/>
  <c r="D8" i="84"/>
  <c r="B5" i="84"/>
  <c r="Q85" i="83"/>
  <c r="M80" i="83"/>
  <c r="L80" i="83"/>
  <c r="K80" i="83"/>
  <c r="J80" i="83"/>
  <c r="I80" i="83"/>
  <c r="H80" i="83"/>
  <c r="G80" i="83"/>
  <c r="F80" i="83"/>
  <c r="E80" i="83"/>
  <c r="Q80" i="83" s="1"/>
  <c r="D80" i="83"/>
  <c r="Q78" i="83"/>
  <c r="B78" i="83"/>
  <c r="O77" i="83"/>
  <c r="N77" i="83"/>
  <c r="M77" i="83"/>
  <c r="L77" i="83"/>
  <c r="K77" i="83"/>
  <c r="J77" i="83"/>
  <c r="I77" i="83"/>
  <c r="H77" i="83"/>
  <c r="G77" i="83"/>
  <c r="F77" i="83"/>
  <c r="E77" i="83"/>
  <c r="D77" i="83"/>
  <c r="Q77" i="83" s="1"/>
  <c r="B77" i="83"/>
  <c r="Q76" i="83"/>
  <c r="B76" i="83"/>
  <c r="O75" i="83"/>
  <c r="N75" i="83"/>
  <c r="M75" i="83"/>
  <c r="L75" i="83"/>
  <c r="K75" i="83"/>
  <c r="J75" i="83"/>
  <c r="I75" i="83"/>
  <c r="H75" i="83"/>
  <c r="G75" i="83"/>
  <c r="F75" i="83"/>
  <c r="E75" i="83"/>
  <c r="D75" i="83"/>
  <c r="Q75" i="83" s="1"/>
  <c r="B75" i="83"/>
  <c r="Q74" i="83"/>
  <c r="B74" i="83"/>
  <c r="Q73" i="83"/>
  <c r="B73" i="83"/>
  <c r="O72" i="83"/>
  <c r="N72" i="83"/>
  <c r="M72" i="83"/>
  <c r="L72" i="83"/>
  <c r="K72" i="83"/>
  <c r="J72" i="83"/>
  <c r="I72" i="83"/>
  <c r="H72" i="83"/>
  <c r="G72" i="83"/>
  <c r="F72" i="83"/>
  <c r="E72" i="83"/>
  <c r="Q72" i="83" s="1"/>
  <c r="D72" i="83"/>
  <c r="B72" i="83"/>
  <c r="Q71" i="83"/>
  <c r="B71" i="83"/>
  <c r="Q70" i="83"/>
  <c r="B70" i="83"/>
  <c r="Q69" i="83"/>
  <c r="B69" i="83"/>
  <c r="Q68" i="83"/>
  <c r="B68" i="83"/>
  <c r="Q67" i="83"/>
  <c r="B67" i="83"/>
  <c r="Q66" i="83"/>
  <c r="B66" i="83"/>
  <c r="O65" i="83"/>
  <c r="N65" i="83"/>
  <c r="M65" i="83"/>
  <c r="L65" i="83"/>
  <c r="K65" i="83"/>
  <c r="J65" i="83"/>
  <c r="I65" i="83"/>
  <c r="H65" i="83"/>
  <c r="G65" i="83"/>
  <c r="F65" i="83"/>
  <c r="E65" i="83"/>
  <c r="D65" i="83"/>
  <c r="Q65" i="83" s="1"/>
  <c r="B65" i="83"/>
  <c r="Q64" i="83"/>
  <c r="B64" i="83"/>
  <c r="O63" i="83"/>
  <c r="N63" i="83"/>
  <c r="M63" i="83"/>
  <c r="L63" i="83"/>
  <c r="K63" i="83"/>
  <c r="J63" i="83"/>
  <c r="I63" i="83"/>
  <c r="H63" i="83"/>
  <c r="G63" i="83"/>
  <c r="F63" i="83"/>
  <c r="E63" i="83"/>
  <c r="D63" i="83"/>
  <c r="B63" i="83"/>
  <c r="Q62" i="83"/>
  <c r="B62" i="83"/>
  <c r="Q61" i="83"/>
  <c r="B61" i="83"/>
  <c r="Q60" i="83"/>
  <c r="B60" i="83"/>
  <c r="O59" i="83"/>
  <c r="N59" i="83"/>
  <c r="M59" i="83"/>
  <c r="L59" i="83"/>
  <c r="K59" i="83"/>
  <c r="J59" i="83"/>
  <c r="I59" i="83"/>
  <c r="H59" i="83"/>
  <c r="G59" i="83"/>
  <c r="F59" i="83"/>
  <c r="E59" i="83"/>
  <c r="Q59" i="83" s="1"/>
  <c r="D59" i="83"/>
  <c r="B59" i="83"/>
  <c r="Q58" i="83"/>
  <c r="B58" i="83"/>
  <c r="Q57" i="83"/>
  <c r="B57" i="83"/>
  <c r="O56" i="83"/>
  <c r="N56" i="83"/>
  <c r="M56" i="83"/>
  <c r="L56" i="83"/>
  <c r="K56" i="83"/>
  <c r="J56" i="83"/>
  <c r="I56" i="83"/>
  <c r="H56" i="83"/>
  <c r="G56" i="83"/>
  <c r="F56" i="83"/>
  <c r="E56" i="83"/>
  <c r="D56" i="83"/>
  <c r="B56" i="83"/>
  <c r="Q55" i="83"/>
  <c r="B55" i="83"/>
  <c r="O54" i="83"/>
  <c r="N54" i="83"/>
  <c r="M54" i="83"/>
  <c r="L54" i="83"/>
  <c r="K54" i="83"/>
  <c r="J54" i="83"/>
  <c r="I54" i="83"/>
  <c r="H54" i="83"/>
  <c r="G54" i="83"/>
  <c r="F54" i="83"/>
  <c r="E54" i="83"/>
  <c r="D54" i="83"/>
  <c r="B54" i="83"/>
  <c r="Q53" i="83"/>
  <c r="B53" i="83"/>
  <c r="O52" i="83"/>
  <c r="N52" i="83"/>
  <c r="M52" i="83"/>
  <c r="L52" i="83"/>
  <c r="K52" i="83"/>
  <c r="J52" i="83"/>
  <c r="I52" i="83"/>
  <c r="H52" i="83"/>
  <c r="G52" i="83"/>
  <c r="F52" i="83"/>
  <c r="E52" i="83"/>
  <c r="D52" i="83"/>
  <c r="B52" i="83"/>
  <c r="Q51" i="83"/>
  <c r="B51" i="83"/>
  <c r="O50" i="83"/>
  <c r="N50" i="83"/>
  <c r="M50" i="83"/>
  <c r="L50" i="83"/>
  <c r="K50" i="83"/>
  <c r="J50" i="83"/>
  <c r="I50" i="83"/>
  <c r="H50" i="83"/>
  <c r="G50" i="83"/>
  <c r="F50" i="83"/>
  <c r="E50" i="83"/>
  <c r="D50" i="83"/>
  <c r="B50" i="83"/>
  <c r="Q49" i="83"/>
  <c r="B49" i="83"/>
  <c r="Q48" i="83"/>
  <c r="B48" i="83"/>
  <c r="O47" i="83"/>
  <c r="N47" i="83"/>
  <c r="M47" i="83"/>
  <c r="L47" i="83"/>
  <c r="K47" i="83"/>
  <c r="J47" i="83"/>
  <c r="I47" i="83"/>
  <c r="H47" i="83"/>
  <c r="G47" i="83"/>
  <c r="F47" i="83"/>
  <c r="E47" i="83"/>
  <c r="Q47" i="83" s="1"/>
  <c r="D47" i="83"/>
  <c r="B47" i="83"/>
  <c r="Q46" i="83"/>
  <c r="B46" i="83"/>
  <c r="O45" i="83"/>
  <c r="N45" i="83"/>
  <c r="M45" i="83"/>
  <c r="L45" i="83"/>
  <c r="K45" i="83"/>
  <c r="J45" i="83"/>
  <c r="I45" i="83"/>
  <c r="H45" i="83"/>
  <c r="G45" i="83"/>
  <c r="F45" i="83"/>
  <c r="E45" i="83"/>
  <c r="Q45" i="83" s="1"/>
  <c r="D45" i="83"/>
  <c r="B45" i="83"/>
  <c r="Q44" i="83"/>
  <c r="B44" i="83"/>
  <c r="O43" i="83"/>
  <c r="N43" i="83"/>
  <c r="M43" i="83"/>
  <c r="M21" i="83" s="1" a="1"/>
  <c r="M21" i="83" s="1"/>
  <c r="L43" i="83"/>
  <c r="K43" i="83"/>
  <c r="J43" i="83"/>
  <c r="I43" i="83"/>
  <c r="H43" i="83"/>
  <c r="H21" i="83" s="1" a="1"/>
  <c r="H21" i="83" s="1"/>
  <c r="G43" i="83"/>
  <c r="F43" i="83"/>
  <c r="E43" i="83"/>
  <c r="D43" i="83"/>
  <c r="B43" i="83"/>
  <c r="Q42" i="83"/>
  <c r="B42" i="83"/>
  <c r="Q41" i="83"/>
  <c r="B41" i="83"/>
  <c r="Q40" i="83"/>
  <c r="B40" i="83"/>
  <c r="Q39" i="83"/>
  <c r="B39" i="83"/>
  <c r="Q38" i="83"/>
  <c r="B38" i="83"/>
  <c r="Q37" i="83"/>
  <c r="B37" i="83"/>
  <c r="Q36" i="83"/>
  <c r="B36" i="83"/>
  <c r="Q35" i="83"/>
  <c r="B35" i="83"/>
  <c r="Q34" i="83"/>
  <c r="B34" i="83"/>
  <c r="Q33" i="83"/>
  <c r="B33" i="83"/>
  <c r="O32" i="83"/>
  <c r="N32" i="83"/>
  <c r="N21" i="83" s="1" a="1"/>
  <c r="N21" i="83" s="1"/>
  <c r="M32" i="83"/>
  <c r="L32" i="83"/>
  <c r="K32" i="83"/>
  <c r="J32" i="83"/>
  <c r="I32" i="83"/>
  <c r="H32" i="83"/>
  <c r="G32" i="83"/>
  <c r="F32" i="83"/>
  <c r="F21" i="83" s="1" a="1"/>
  <c r="F21" i="83" s="1"/>
  <c r="F82" i="83" s="1"/>
  <c r="E32" i="83"/>
  <c r="D32" i="83"/>
  <c r="B32" i="83"/>
  <c r="Q31" i="83"/>
  <c r="B31" i="83"/>
  <c r="Q30" i="83"/>
  <c r="B30" i="83"/>
  <c r="Q29" i="83"/>
  <c r="B29" i="83"/>
  <c r="Q28" i="83"/>
  <c r="B28" i="83"/>
  <c r="Q27" i="83"/>
  <c r="B27" i="83"/>
  <c r="Q26" i="83"/>
  <c r="B26" i="83"/>
  <c r="Q25" i="83"/>
  <c r="B25" i="83"/>
  <c r="Q24" i="83"/>
  <c r="B24" i="83"/>
  <c r="Q23" i="83"/>
  <c r="B23" i="83"/>
  <c r="O22" i="83"/>
  <c r="N22" i="83"/>
  <c r="M22" i="83"/>
  <c r="L22" i="83"/>
  <c r="K22" i="83"/>
  <c r="K21" i="83" s="1" a="1"/>
  <c r="K21" i="83" s="1"/>
  <c r="J22" i="83"/>
  <c r="I22" i="83"/>
  <c r="H22" i="83"/>
  <c r="G22" i="83"/>
  <c r="F22" i="83"/>
  <c r="E22" i="83"/>
  <c r="D22" i="83"/>
  <c r="B22" i="83"/>
  <c r="O19" i="83"/>
  <c r="F19" i="83"/>
  <c r="O18" i="83"/>
  <c r="H18" i="83"/>
  <c r="Q16" i="83"/>
  <c r="Q14" i="83" s="1"/>
  <c r="B16" i="83"/>
  <c r="Q15" i="83"/>
  <c r="B15" i="83"/>
  <c r="O14" i="83"/>
  <c r="N14" i="83"/>
  <c r="M14" i="83"/>
  <c r="L14" i="83"/>
  <c r="K14" i="83"/>
  <c r="J14" i="83"/>
  <c r="I14" i="83"/>
  <c r="H14" i="83"/>
  <c r="G14" i="83"/>
  <c r="F14" i="83"/>
  <c r="E14" i="83"/>
  <c r="D14" i="83"/>
  <c r="M12" i="83"/>
  <c r="L12" i="83"/>
  <c r="K12" i="83"/>
  <c r="J12" i="83"/>
  <c r="I12" i="83"/>
  <c r="H12" i="83"/>
  <c r="G12" i="83"/>
  <c r="F12" i="83"/>
  <c r="E12" i="83"/>
  <c r="D12" i="83"/>
  <c r="B12" i="83"/>
  <c r="M11" i="83"/>
  <c r="L11" i="83"/>
  <c r="L10" i="83" s="1"/>
  <c r="L18" i="83" s="1"/>
  <c r="K11" i="83"/>
  <c r="J11" i="83"/>
  <c r="I11" i="83"/>
  <c r="H11" i="83"/>
  <c r="H10" i="83" s="1"/>
  <c r="G11" i="83"/>
  <c r="F11" i="83"/>
  <c r="E11" i="83"/>
  <c r="D11" i="83"/>
  <c r="B11" i="83"/>
  <c r="O10" i="83"/>
  <c r="N10" i="83"/>
  <c r="N18" i="83" s="1"/>
  <c r="M10" i="83"/>
  <c r="J10" i="83"/>
  <c r="J18" i="83" s="1"/>
  <c r="J19" i="83" s="1"/>
  <c r="I10" i="83"/>
  <c r="I18" i="83" s="1"/>
  <c r="F10" i="83"/>
  <c r="F18" i="83" s="1"/>
  <c r="E10" i="83"/>
  <c r="E18" i="83" s="1"/>
  <c r="O8" i="83"/>
  <c r="N8" i="83"/>
  <c r="M8" i="83"/>
  <c r="L8" i="83"/>
  <c r="K8" i="83"/>
  <c r="J8" i="83"/>
  <c r="I8" i="83"/>
  <c r="H8" i="83"/>
  <c r="G8" i="83"/>
  <c r="F8" i="83"/>
  <c r="E8" i="83"/>
  <c r="D8" i="83"/>
  <c r="B5" i="83"/>
  <c r="Q96" i="82"/>
  <c r="M91" i="82"/>
  <c r="L91" i="82"/>
  <c r="K91" i="82"/>
  <c r="J91" i="82"/>
  <c r="I91" i="82"/>
  <c r="H91" i="82"/>
  <c r="G91" i="82"/>
  <c r="F91" i="82"/>
  <c r="E91" i="82"/>
  <c r="D91" i="82"/>
  <c r="Q89" i="82"/>
  <c r="B89" i="82"/>
  <c r="O88" i="82"/>
  <c r="N88" i="82"/>
  <c r="M88" i="82"/>
  <c r="L88" i="82"/>
  <c r="K88" i="82"/>
  <c r="J88" i="82"/>
  <c r="I88" i="82"/>
  <c r="H88" i="82"/>
  <c r="G88" i="82"/>
  <c r="F88" i="82"/>
  <c r="E88" i="82"/>
  <c r="D88" i="82"/>
  <c r="Q88" i="82" s="1"/>
  <c r="B88" i="82"/>
  <c r="Q87" i="82"/>
  <c r="B87" i="82"/>
  <c r="O86" i="82"/>
  <c r="N86" i="82"/>
  <c r="M86" i="82"/>
  <c r="L86" i="82"/>
  <c r="K86" i="82"/>
  <c r="J86" i="82"/>
  <c r="I86" i="82"/>
  <c r="H86" i="82"/>
  <c r="G86" i="82"/>
  <c r="F86" i="82"/>
  <c r="E86" i="82"/>
  <c r="D86" i="82"/>
  <c r="Q86" i="82" s="1"/>
  <c r="B86" i="82"/>
  <c r="Q85" i="82"/>
  <c r="B85" i="82"/>
  <c r="Q84" i="82"/>
  <c r="B84" i="82"/>
  <c r="O83" i="82"/>
  <c r="N83" i="82"/>
  <c r="M83" i="82"/>
  <c r="M24" i="82" s="1" a="1"/>
  <c r="M24" i="82" s="1"/>
  <c r="L83" i="82"/>
  <c r="K83" i="82"/>
  <c r="J83" i="82"/>
  <c r="I83" i="82"/>
  <c r="H83" i="82"/>
  <c r="G83" i="82"/>
  <c r="F83" i="82"/>
  <c r="E83" i="82"/>
  <c r="E24" i="82" s="1" a="1"/>
  <c r="E24" i="82" s="1"/>
  <c r="D83" i="82"/>
  <c r="B83" i="82"/>
  <c r="Q82" i="82"/>
  <c r="B82" i="82"/>
  <c r="Q81" i="82"/>
  <c r="B81" i="82"/>
  <c r="Q80" i="82"/>
  <c r="B80" i="82"/>
  <c r="Q79" i="82"/>
  <c r="B79" i="82"/>
  <c r="Q78" i="82"/>
  <c r="B78" i="82"/>
  <c r="Q77" i="82"/>
  <c r="B77" i="82"/>
  <c r="O76" i="82"/>
  <c r="N76" i="82"/>
  <c r="M76" i="82"/>
  <c r="L76" i="82"/>
  <c r="K76" i="82"/>
  <c r="J76" i="82"/>
  <c r="I76" i="82"/>
  <c r="H76" i="82"/>
  <c r="G76" i="82"/>
  <c r="F76" i="82"/>
  <c r="E76" i="82"/>
  <c r="D76" i="82"/>
  <c r="Q76" i="82" s="1"/>
  <c r="B76" i="82"/>
  <c r="Q75" i="82"/>
  <c r="B75" i="82"/>
  <c r="O74" i="82"/>
  <c r="N74" i="82"/>
  <c r="M74" i="82"/>
  <c r="L74" i="82"/>
  <c r="K74" i="82"/>
  <c r="J74" i="82"/>
  <c r="I74" i="82"/>
  <c r="H74" i="82"/>
  <c r="G74" i="82"/>
  <c r="F74" i="82"/>
  <c r="E74" i="82"/>
  <c r="D74" i="82"/>
  <c r="Q74" i="82" s="1"/>
  <c r="B74" i="82"/>
  <c r="Q73" i="82"/>
  <c r="B73" i="82"/>
  <c r="Q72" i="82"/>
  <c r="B72" i="82"/>
  <c r="Q71" i="82"/>
  <c r="B71" i="82"/>
  <c r="Q70" i="82"/>
  <c r="B70" i="82"/>
  <c r="O69" i="82"/>
  <c r="N69" i="82"/>
  <c r="M69" i="82"/>
  <c r="L69" i="82"/>
  <c r="K69" i="82"/>
  <c r="J69" i="82"/>
  <c r="I69" i="82"/>
  <c r="H69" i="82"/>
  <c r="G69" i="82"/>
  <c r="F69" i="82"/>
  <c r="E69" i="82"/>
  <c r="D69" i="82"/>
  <c r="B69" i="82"/>
  <c r="Q68" i="82"/>
  <c r="B68" i="82"/>
  <c r="Q67" i="82"/>
  <c r="B67" i="82"/>
  <c r="O66" i="82"/>
  <c r="N66" i="82"/>
  <c r="M66" i="82"/>
  <c r="L66" i="82"/>
  <c r="K66" i="82"/>
  <c r="J66" i="82"/>
  <c r="I66" i="82"/>
  <c r="H66" i="82"/>
  <c r="G66" i="82"/>
  <c r="F66" i="82"/>
  <c r="E66" i="82"/>
  <c r="D66" i="82"/>
  <c r="B66" i="82"/>
  <c r="Q65" i="82"/>
  <c r="B65" i="82"/>
  <c r="O64" i="82"/>
  <c r="N64" i="82"/>
  <c r="M64" i="82"/>
  <c r="L64" i="82"/>
  <c r="K64" i="82"/>
  <c r="J64" i="82"/>
  <c r="I64" i="82"/>
  <c r="H64" i="82"/>
  <c r="G64" i="82"/>
  <c r="F64" i="82"/>
  <c r="E64" i="82"/>
  <c r="D64" i="82"/>
  <c r="B64" i="82"/>
  <c r="Q63" i="82"/>
  <c r="B63" i="82"/>
  <c r="O62" i="82"/>
  <c r="N62" i="82"/>
  <c r="M62" i="82"/>
  <c r="L62" i="82"/>
  <c r="K62" i="82"/>
  <c r="J62" i="82"/>
  <c r="I62" i="82"/>
  <c r="H62" i="82"/>
  <c r="G62" i="82"/>
  <c r="F62" i="82"/>
  <c r="E62" i="82"/>
  <c r="D62" i="82"/>
  <c r="B62" i="82"/>
  <c r="Q61" i="82"/>
  <c r="B61" i="82"/>
  <c r="O60" i="82"/>
  <c r="N60" i="82"/>
  <c r="M60" i="82"/>
  <c r="L60" i="82"/>
  <c r="K60" i="82"/>
  <c r="J60" i="82"/>
  <c r="I60" i="82"/>
  <c r="H60" i="82"/>
  <c r="G60" i="82"/>
  <c r="F60" i="82"/>
  <c r="E60" i="82"/>
  <c r="D60" i="82"/>
  <c r="B60" i="82"/>
  <c r="Q59" i="82"/>
  <c r="B59" i="82"/>
  <c r="O58" i="82"/>
  <c r="N58" i="82"/>
  <c r="M58" i="82"/>
  <c r="L58" i="82"/>
  <c r="K58" i="82"/>
  <c r="J58" i="82"/>
  <c r="I58" i="82"/>
  <c r="H58" i="82"/>
  <c r="G58" i="82"/>
  <c r="F58" i="82"/>
  <c r="E58" i="82"/>
  <c r="D58" i="82"/>
  <c r="Q58" i="82" s="1"/>
  <c r="B58" i="82"/>
  <c r="Q57" i="82"/>
  <c r="B57" i="82"/>
  <c r="O56" i="82"/>
  <c r="N56" i="82"/>
  <c r="M56" i="82"/>
  <c r="L56" i="82"/>
  <c r="K56" i="82"/>
  <c r="J56" i="82"/>
  <c r="I56" i="82"/>
  <c r="H56" i="82"/>
  <c r="G56" i="82"/>
  <c r="F56" i="82"/>
  <c r="E56" i="82"/>
  <c r="D56" i="82"/>
  <c r="B56" i="82"/>
  <c r="Q55" i="82"/>
  <c r="B55" i="82"/>
  <c r="Q54" i="82"/>
  <c r="B54" i="82"/>
  <c r="O53" i="82"/>
  <c r="N53" i="82"/>
  <c r="M53" i="82"/>
  <c r="L53" i="82"/>
  <c r="K53" i="82"/>
  <c r="J53" i="82"/>
  <c r="I53" i="82"/>
  <c r="H53" i="82"/>
  <c r="Q53" i="82" s="1"/>
  <c r="G53" i="82"/>
  <c r="F53" i="82"/>
  <c r="E53" i="82"/>
  <c r="D53" i="82"/>
  <c r="B53" i="82"/>
  <c r="Q52" i="82"/>
  <c r="B52" i="82"/>
  <c r="O51" i="82"/>
  <c r="N51" i="82"/>
  <c r="M51" i="82"/>
  <c r="L51" i="82"/>
  <c r="K51" i="82"/>
  <c r="J51" i="82"/>
  <c r="I51" i="82"/>
  <c r="H51" i="82"/>
  <c r="Q51" i="82" s="1"/>
  <c r="G51" i="82"/>
  <c r="F51" i="82"/>
  <c r="E51" i="82"/>
  <c r="D51" i="82"/>
  <c r="B51" i="82"/>
  <c r="Q50" i="82"/>
  <c r="B50" i="82"/>
  <c r="O49" i="82"/>
  <c r="N49" i="82"/>
  <c r="M49" i="82"/>
  <c r="L49" i="82"/>
  <c r="K49" i="82"/>
  <c r="J49" i="82"/>
  <c r="I49" i="82"/>
  <c r="H49" i="82"/>
  <c r="Q49" i="82" s="1"/>
  <c r="G49" i="82"/>
  <c r="F49" i="82"/>
  <c r="E49" i="82"/>
  <c r="D49" i="82"/>
  <c r="B49" i="82"/>
  <c r="Q48" i="82"/>
  <c r="B48" i="82"/>
  <c r="O47" i="82"/>
  <c r="N47" i="82"/>
  <c r="M47" i="82"/>
  <c r="L47" i="82"/>
  <c r="K47" i="82"/>
  <c r="J47" i="82"/>
  <c r="I47" i="82"/>
  <c r="H47" i="82"/>
  <c r="Q47" i="82" s="1"/>
  <c r="G47" i="82"/>
  <c r="F47" i="82"/>
  <c r="E47" i="82"/>
  <c r="D47" i="82"/>
  <c r="B47" i="82"/>
  <c r="Q46" i="82"/>
  <c r="B46" i="82"/>
  <c r="Q45" i="82"/>
  <c r="B45" i="82"/>
  <c r="Q44" i="82"/>
  <c r="B44" i="82"/>
  <c r="Q43" i="82"/>
  <c r="B43" i="82"/>
  <c r="Q42" i="82"/>
  <c r="B42" i="82"/>
  <c r="Q41" i="82"/>
  <c r="B41" i="82"/>
  <c r="Q40" i="82"/>
  <c r="B40" i="82"/>
  <c r="Q39" i="82"/>
  <c r="B39" i="82"/>
  <c r="Q38" i="82"/>
  <c r="B38" i="82"/>
  <c r="Q37" i="82"/>
  <c r="B37" i="82"/>
  <c r="O36" i="82"/>
  <c r="N36" i="82"/>
  <c r="M36" i="82"/>
  <c r="L36" i="82"/>
  <c r="K36" i="82"/>
  <c r="K24" i="82" s="1" a="1"/>
  <c r="K24" i="82" s="1"/>
  <c r="J36" i="82"/>
  <c r="J24" i="82" s="1" a="1"/>
  <c r="J24" i="82" s="1"/>
  <c r="I36" i="82"/>
  <c r="H36" i="82"/>
  <c r="G36" i="82"/>
  <c r="F36" i="82"/>
  <c r="E36" i="82"/>
  <c r="D36" i="82"/>
  <c r="B36" i="82"/>
  <c r="Q35" i="82"/>
  <c r="B35" i="82"/>
  <c r="Q34" i="82"/>
  <c r="B34" i="82"/>
  <c r="Q33" i="82"/>
  <c r="B33" i="82"/>
  <c r="Q32" i="82"/>
  <c r="B32" i="82"/>
  <c r="Q31" i="82"/>
  <c r="B31" i="82"/>
  <c r="Q30" i="82"/>
  <c r="B30" i="82"/>
  <c r="Q29" i="82"/>
  <c r="B29" i="82"/>
  <c r="Q28" i="82"/>
  <c r="B28" i="82"/>
  <c r="Q27" i="82"/>
  <c r="B27" i="82"/>
  <c r="Q26" i="82"/>
  <c r="B26" i="82"/>
  <c r="O25" i="82"/>
  <c r="N25" i="82"/>
  <c r="M25" i="82"/>
  <c r="L25" i="82"/>
  <c r="K25" i="82"/>
  <c r="J25" i="82"/>
  <c r="I25" i="82"/>
  <c r="H25" i="82"/>
  <c r="G25" i="82"/>
  <c r="F25" i="82"/>
  <c r="E25" i="82"/>
  <c r="D25" i="82"/>
  <c r="B25" i="82"/>
  <c r="I24" i="82" a="1"/>
  <c r="I24" i="82" s="1"/>
  <c r="N22" i="82"/>
  <c r="O21" i="82"/>
  <c r="Q19" i="82"/>
  <c r="B19" i="82"/>
  <c r="Q18" i="82"/>
  <c r="B18" i="82"/>
  <c r="Q17" i="82"/>
  <c r="B17" i="82"/>
  <c r="O16" i="82"/>
  <c r="N16" i="82"/>
  <c r="M16" i="82"/>
  <c r="L16" i="82"/>
  <c r="K16" i="82"/>
  <c r="J16" i="82"/>
  <c r="I16" i="82"/>
  <c r="H16" i="82"/>
  <c r="G16" i="82"/>
  <c r="F16" i="82"/>
  <c r="F21" i="82" s="1"/>
  <c r="E16" i="82"/>
  <c r="D16" i="82"/>
  <c r="M14" i="82"/>
  <c r="L14" i="82"/>
  <c r="K14" i="82"/>
  <c r="J14" i="82"/>
  <c r="I14" i="82"/>
  <c r="H14" i="82"/>
  <c r="G14" i="82"/>
  <c r="F14" i="82"/>
  <c r="E14" i="82"/>
  <c r="D14" i="82"/>
  <c r="B14" i="82"/>
  <c r="M13" i="82"/>
  <c r="L13" i="82"/>
  <c r="K13" i="82"/>
  <c r="J13" i="82"/>
  <c r="I13" i="82"/>
  <c r="H13" i="82"/>
  <c r="G13" i="82"/>
  <c r="F13" i="82"/>
  <c r="E13" i="82"/>
  <c r="D13" i="82"/>
  <c r="B13" i="82"/>
  <c r="M12" i="82"/>
  <c r="L12" i="82"/>
  <c r="K12" i="82"/>
  <c r="J12" i="82"/>
  <c r="I12" i="82"/>
  <c r="H12" i="82"/>
  <c r="G12" i="82"/>
  <c r="G10" i="82" s="1"/>
  <c r="G21" i="82" s="1"/>
  <c r="F12" i="82"/>
  <c r="E12" i="82"/>
  <c r="D12" i="82"/>
  <c r="Q12" i="82" s="1"/>
  <c r="B12" i="82"/>
  <c r="M11" i="82"/>
  <c r="L11" i="82"/>
  <c r="K11" i="82"/>
  <c r="J11" i="82"/>
  <c r="I11" i="82"/>
  <c r="I10" i="82" s="1"/>
  <c r="I21" i="82" s="1"/>
  <c r="H11" i="82"/>
  <c r="G11" i="82"/>
  <c r="F11" i="82"/>
  <c r="E11" i="82"/>
  <c r="D11" i="82"/>
  <c r="B11" i="82"/>
  <c r="O10" i="82"/>
  <c r="N10" i="82"/>
  <c r="N21" i="82" s="1"/>
  <c r="J10" i="82"/>
  <c r="J21" i="82" s="1"/>
  <c r="F10" i="82"/>
  <c r="O8" i="82"/>
  <c r="N8" i="82"/>
  <c r="M8" i="82"/>
  <c r="L8" i="82"/>
  <c r="K8" i="82"/>
  <c r="J8" i="82"/>
  <c r="I8" i="82"/>
  <c r="H8" i="82"/>
  <c r="G8" i="82"/>
  <c r="F8" i="82"/>
  <c r="E8" i="82"/>
  <c r="D8" i="82"/>
  <c r="B5" i="82"/>
  <c r="Q28" i="81"/>
  <c r="M23" i="81"/>
  <c r="L23" i="81"/>
  <c r="K23" i="81"/>
  <c r="J23" i="81"/>
  <c r="I23" i="81"/>
  <c r="H23" i="81"/>
  <c r="G23" i="81"/>
  <c r="F23" i="81"/>
  <c r="E23" i="81"/>
  <c r="D23" i="81"/>
  <c r="Q23" i="81" s="1"/>
  <c r="Q21" i="81"/>
  <c r="B21" i="81"/>
  <c r="O20" i="81"/>
  <c r="N20" i="81"/>
  <c r="M20" i="81"/>
  <c r="L20" i="81"/>
  <c r="K20" i="81"/>
  <c r="J20" i="81"/>
  <c r="I20" i="81"/>
  <c r="H20" i="81"/>
  <c r="G20" i="81"/>
  <c r="F20" i="81"/>
  <c r="E20" i="81"/>
  <c r="Q20" i="81" s="1"/>
  <c r="D20" i="81"/>
  <c r="B20" i="81"/>
  <c r="Q19" i="81"/>
  <c r="B19" i="81"/>
  <c r="O18" i="81"/>
  <c r="N18" i="81"/>
  <c r="M18" i="81"/>
  <c r="L18" i="81"/>
  <c r="K18" i="81"/>
  <c r="J18" i="81"/>
  <c r="I18" i="81"/>
  <c r="I17" i="81" s="1" a="1"/>
  <c r="I17" i="81" s="1"/>
  <c r="H18" i="81"/>
  <c r="G18" i="81"/>
  <c r="F18" i="81"/>
  <c r="E18" i="81"/>
  <c r="D18" i="81"/>
  <c r="B18" i="81"/>
  <c r="O17" i="81" a="1"/>
  <c r="O17" i="81" s="1"/>
  <c r="N17" i="81" a="1"/>
  <c r="N17" i="81"/>
  <c r="L17" i="81" a="1"/>
  <c r="L17" i="81" s="1"/>
  <c r="J17" i="81" a="1"/>
  <c r="J17" i="81"/>
  <c r="H17" i="81" a="1"/>
  <c r="H17" i="81" s="1"/>
  <c r="G17" i="81" a="1"/>
  <c r="G17" i="81" s="1"/>
  <c r="F17" i="81" a="1"/>
  <c r="F17" i="81"/>
  <c r="D17" i="81" a="1"/>
  <c r="D17" i="81" s="1"/>
  <c r="K15" i="81"/>
  <c r="Q14" i="81"/>
  <c r="K14" i="81"/>
  <c r="J14" i="81"/>
  <c r="H14" i="81"/>
  <c r="Q12" i="81"/>
  <c r="O12" i="81"/>
  <c r="O14" i="81" s="1"/>
  <c r="N12" i="81"/>
  <c r="M12" i="81"/>
  <c r="L12" i="81"/>
  <c r="K12" i="81"/>
  <c r="J12" i="81"/>
  <c r="I12" i="81"/>
  <c r="H12" i="81"/>
  <c r="G12" i="81"/>
  <c r="G14" i="81" s="1"/>
  <c r="F12" i="81"/>
  <c r="E12" i="81"/>
  <c r="D12" i="81"/>
  <c r="Q10" i="81"/>
  <c r="O10" i="81"/>
  <c r="N10" i="81"/>
  <c r="N14" i="81" s="1"/>
  <c r="M10" i="81"/>
  <c r="L10" i="81"/>
  <c r="L14" i="81" s="1"/>
  <c r="K10" i="81"/>
  <c r="J10" i="81"/>
  <c r="I10" i="81"/>
  <c r="I14" i="81" s="1"/>
  <c r="H10" i="81"/>
  <c r="G10" i="81"/>
  <c r="F10" i="81"/>
  <c r="F14" i="81" s="1"/>
  <c r="E10" i="81"/>
  <c r="D10" i="81"/>
  <c r="D14" i="81" s="1"/>
  <c r="O8" i="81"/>
  <c r="N8" i="81"/>
  <c r="M8" i="81"/>
  <c r="L8" i="81"/>
  <c r="K8" i="81"/>
  <c r="J8" i="81"/>
  <c r="I8" i="81"/>
  <c r="H8" i="81"/>
  <c r="G8" i="81"/>
  <c r="F8" i="81"/>
  <c r="E8" i="81"/>
  <c r="D8" i="81"/>
  <c r="B5" i="81"/>
  <c r="Q28" i="80"/>
  <c r="H25" i="80"/>
  <c r="M23" i="80"/>
  <c r="L23" i="80"/>
  <c r="K23" i="80"/>
  <c r="J23" i="80"/>
  <c r="I23" i="80"/>
  <c r="H23" i="80"/>
  <c r="G23" i="80"/>
  <c r="F23" i="80"/>
  <c r="E23" i="80"/>
  <c r="D23" i="80"/>
  <c r="Q23" i="80" s="1"/>
  <c r="Q21" i="80"/>
  <c r="B21" i="80"/>
  <c r="O20" i="80"/>
  <c r="N20" i="80"/>
  <c r="M20" i="80"/>
  <c r="L20" i="80"/>
  <c r="K20" i="80"/>
  <c r="J20" i="80"/>
  <c r="I20" i="80"/>
  <c r="H20" i="80"/>
  <c r="Q20" i="80" s="1"/>
  <c r="G20" i="80"/>
  <c r="F20" i="80"/>
  <c r="E20" i="80"/>
  <c r="D20" i="80"/>
  <c r="B20" i="80"/>
  <c r="Q19" i="80"/>
  <c r="B19" i="80"/>
  <c r="O18" i="80"/>
  <c r="N18" i="80"/>
  <c r="M18" i="80"/>
  <c r="M17" i="80" s="1" a="1"/>
  <c r="M17" i="80" s="1"/>
  <c r="L18" i="80"/>
  <c r="K18" i="80"/>
  <c r="J18" i="80"/>
  <c r="J17" i="80" s="1" a="1"/>
  <c r="J17" i="80" s="1"/>
  <c r="I18" i="80"/>
  <c r="H18" i="80"/>
  <c r="Q18" i="80" s="1"/>
  <c r="G18" i="80"/>
  <c r="F18" i="80"/>
  <c r="E18" i="80"/>
  <c r="E17" i="80" s="1" a="1"/>
  <c r="E17" i="80" s="1"/>
  <c r="D18" i="80"/>
  <c r="B18" i="80"/>
  <c r="O17" i="80" a="1"/>
  <c r="O17" i="80" s="1"/>
  <c r="N17" i="80" a="1"/>
  <c r="N17" i="80"/>
  <c r="L17" i="80" a="1"/>
  <c r="L17" i="80" s="1"/>
  <c r="K17" i="80" a="1"/>
  <c r="K17" i="80" s="1"/>
  <c r="I17" i="80" a="1"/>
  <c r="I17" i="80"/>
  <c r="H17" i="80" a="1"/>
  <c r="H17" i="80" s="1"/>
  <c r="G17" i="80" a="1"/>
  <c r="G17" i="80" s="1"/>
  <c r="F17" i="80" a="1"/>
  <c r="F17" i="80"/>
  <c r="D17" i="80" a="1"/>
  <c r="D17" i="80" s="1"/>
  <c r="Q15" i="80"/>
  <c r="H15" i="80"/>
  <c r="Q14" i="80"/>
  <c r="O14" i="80"/>
  <c r="M14" i="80"/>
  <c r="H14" i="80"/>
  <c r="E14" i="80"/>
  <c r="Q12" i="80"/>
  <c r="O12" i="80"/>
  <c r="N12" i="80"/>
  <c r="M12" i="80"/>
  <c r="L12" i="80"/>
  <c r="L14" i="80" s="1"/>
  <c r="K12" i="80"/>
  <c r="J12" i="80"/>
  <c r="I12" i="80"/>
  <c r="H12" i="80"/>
  <c r="G12" i="80"/>
  <c r="F12" i="80"/>
  <c r="E12" i="80"/>
  <c r="D12" i="80"/>
  <c r="D14" i="80" s="1"/>
  <c r="Q10" i="80"/>
  <c r="O10" i="80"/>
  <c r="N10" i="80"/>
  <c r="N14" i="80" s="1"/>
  <c r="N15" i="80" s="1"/>
  <c r="M10" i="80"/>
  <c r="L10" i="80"/>
  <c r="K10" i="80"/>
  <c r="K14" i="80" s="1"/>
  <c r="J10" i="80"/>
  <c r="J14" i="80" s="1"/>
  <c r="I10" i="80"/>
  <c r="I14" i="80" s="1"/>
  <c r="H10" i="80"/>
  <c r="G10" i="80"/>
  <c r="G14" i="80" s="1"/>
  <c r="F10" i="80"/>
  <c r="F14" i="80" s="1"/>
  <c r="F15" i="80" s="1"/>
  <c r="E10" i="80"/>
  <c r="D10" i="80"/>
  <c r="O8" i="80"/>
  <c r="N8" i="80"/>
  <c r="M8" i="80"/>
  <c r="L8" i="80"/>
  <c r="K8" i="80"/>
  <c r="J8" i="80"/>
  <c r="I8" i="80"/>
  <c r="H8" i="80"/>
  <c r="G8" i="80"/>
  <c r="F8" i="80"/>
  <c r="E8" i="80"/>
  <c r="D8" i="80"/>
  <c r="B5" i="80"/>
  <c r="Q32" i="79"/>
  <c r="N29" i="79"/>
  <c r="M27" i="79"/>
  <c r="L27" i="79"/>
  <c r="K27" i="79"/>
  <c r="J27" i="79"/>
  <c r="I27" i="79"/>
  <c r="H27" i="79"/>
  <c r="G27" i="79"/>
  <c r="F27" i="79"/>
  <c r="Q27" i="79" s="1"/>
  <c r="E27" i="79"/>
  <c r="D27" i="79"/>
  <c r="Q25" i="79"/>
  <c r="B25" i="79"/>
  <c r="O24" i="79"/>
  <c r="N24" i="79"/>
  <c r="M24" i="79"/>
  <c r="L24" i="79"/>
  <c r="K24" i="79"/>
  <c r="J24" i="79"/>
  <c r="I24" i="79"/>
  <c r="H24" i="79"/>
  <c r="G24" i="79"/>
  <c r="F24" i="79"/>
  <c r="E24" i="79"/>
  <c r="Q24" i="79" s="1"/>
  <c r="D24" i="79"/>
  <c r="B24" i="79"/>
  <c r="Q23" i="79"/>
  <c r="B23" i="79"/>
  <c r="O22" i="79"/>
  <c r="N22" i="79"/>
  <c r="M22" i="79"/>
  <c r="L22" i="79"/>
  <c r="K22" i="79"/>
  <c r="J22" i="79"/>
  <c r="I22" i="79"/>
  <c r="H22" i="79"/>
  <c r="G22" i="79"/>
  <c r="F22" i="79"/>
  <c r="E22" i="79"/>
  <c r="Q22" i="79" s="1"/>
  <c r="D22" i="79"/>
  <c r="B22" i="79"/>
  <c r="Q21" i="79"/>
  <c r="B21" i="79"/>
  <c r="O20" i="79"/>
  <c r="N20" i="79"/>
  <c r="M20" i="79"/>
  <c r="L20" i="79"/>
  <c r="K20" i="79"/>
  <c r="J20" i="79"/>
  <c r="I20" i="79"/>
  <c r="H20" i="79"/>
  <c r="G20" i="79"/>
  <c r="F20" i="79"/>
  <c r="E20" i="79"/>
  <c r="Q20" i="79" s="1"/>
  <c r="D20" i="79"/>
  <c r="B20" i="79"/>
  <c r="Q19" i="79"/>
  <c r="B19" i="79"/>
  <c r="O18" i="79"/>
  <c r="N18" i="79"/>
  <c r="M18" i="79"/>
  <c r="M17" i="79" s="1" a="1"/>
  <c r="M17" i="79" s="1"/>
  <c r="L18" i="79"/>
  <c r="K18" i="79"/>
  <c r="J18" i="79"/>
  <c r="I18" i="79"/>
  <c r="H18" i="79"/>
  <c r="G18" i="79"/>
  <c r="F18" i="79"/>
  <c r="E18" i="79"/>
  <c r="Q18" i="79" s="1"/>
  <c r="D18" i="79"/>
  <c r="B18" i="79"/>
  <c r="O17" i="79" a="1"/>
  <c r="O17" i="79" s="1"/>
  <c r="N17" i="79" a="1"/>
  <c r="N17" i="79"/>
  <c r="L17" i="79" a="1"/>
  <c r="L17" i="79" s="1"/>
  <c r="K17" i="79" a="1"/>
  <c r="K17" i="79"/>
  <c r="J17" i="79" a="1"/>
  <c r="J17" i="79"/>
  <c r="I17" i="79" a="1"/>
  <c r="I17" i="79" s="1"/>
  <c r="H17" i="79" a="1"/>
  <c r="H17" i="79" s="1"/>
  <c r="G17" i="79" a="1"/>
  <c r="G17" i="79" s="1"/>
  <c r="F17" i="79" a="1"/>
  <c r="F17" i="79"/>
  <c r="F29" i="79" s="1"/>
  <c r="D17" i="79" a="1"/>
  <c r="D17" i="79" s="1"/>
  <c r="N14" i="79"/>
  <c r="N15" i="79" s="1"/>
  <c r="L14" i="79"/>
  <c r="I14" i="79"/>
  <c r="I29" i="79" s="1"/>
  <c r="I34" i="79" s="1"/>
  <c r="F14" i="79"/>
  <c r="F15" i="79" s="1"/>
  <c r="E14" i="79"/>
  <c r="Q12" i="79"/>
  <c r="O12" i="79"/>
  <c r="N12" i="79"/>
  <c r="M12" i="79"/>
  <c r="L12" i="79"/>
  <c r="K12" i="79"/>
  <c r="J12" i="79"/>
  <c r="I12" i="79"/>
  <c r="H12" i="79"/>
  <c r="G12" i="79"/>
  <c r="F12" i="79"/>
  <c r="E12" i="79"/>
  <c r="D12" i="79"/>
  <c r="D14" i="79" s="1"/>
  <c r="Q10" i="79"/>
  <c r="O10" i="79"/>
  <c r="O14" i="79" s="1"/>
  <c r="N10" i="79"/>
  <c r="M10" i="79"/>
  <c r="M14" i="79" s="1"/>
  <c r="L10" i="79"/>
  <c r="K10" i="79"/>
  <c r="K14" i="79" s="1"/>
  <c r="J10" i="79"/>
  <c r="I10" i="79"/>
  <c r="H10" i="79"/>
  <c r="G10" i="79"/>
  <c r="G14" i="79" s="1"/>
  <c r="F10" i="79"/>
  <c r="E10" i="79"/>
  <c r="D10" i="79"/>
  <c r="O8" i="79"/>
  <c r="N8" i="79"/>
  <c r="M8" i="79"/>
  <c r="L8" i="79"/>
  <c r="K8" i="79"/>
  <c r="J8" i="79"/>
  <c r="I8" i="79"/>
  <c r="H8" i="79"/>
  <c r="G8" i="79"/>
  <c r="F8" i="79"/>
  <c r="E8" i="79"/>
  <c r="D8" i="79"/>
  <c r="B5" i="79"/>
  <c r="Q77" i="78"/>
  <c r="M72" i="78"/>
  <c r="L72" i="78"/>
  <c r="K72" i="78"/>
  <c r="J72" i="78"/>
  <c r="I72" i="78"/>
  <c r="H72" i="78"/>
  <c r="G72" i="78"/>
  <c r="F72" i="78"/>
  <c r="Q72" i="78" s="1"/>
  <c r="E72" i="78"/>
  <c r="D72" i="78"/>
  <c r="Q70" i="78"/>
  <c r="B70" i="78"/>
  <c r="O69" i="78"/>
  <c r="N69" i="78"/>
  <c r="M69" i="78"/>
  <c r="L69" i="78"/>
  <c r="K69" i="78"/>
  <c r="J69" i="78"/>
  <c r="I69" i="78"/>
  <c r="H69" i="78"/>
  <c r="H17" i="78" s="1" a="1"/>
  <c r="H17" i="78" s="1"/>
  <c r="G69" i="78"/>
  <c r="F69" i="78"/>
  <c r="E69" i="78"/>
  <c r="D69" i="78"/>
  <c r="B69" i="78"/>
  <c r="Q68" i="78"/>
  <c r="B68" i="78"/>
  <c r="Q67" i="78"/>
  <c r="B67" i="78"/>
  <c r="O66" i="78"/>
  <c r="N66" i="78"/>
  <c r="M66" i="78"/>
  <c r="L66" i="78"/>
  <c r="K66" i="78"/>
  <c r="J66" i="78"/>
  <c r="I66" i="78"/>
  <c r="H66" i="78"/>
  <c r="G66" i="78"/>
  <c r="F66" i="78"/>
  <c r="E66" i="78"/>
  <c r="Q66" i="78" s="1"/>
  <c r="D66" i="78"/>
  <c r="B66" i="78"/>
  <c r="Q65" i="78"/>
  <c r="B65" i="78"/>
  <c r="O64" i="78"/>
  <c r="N64" i="78"/>
  <c r="M64" i="78"/>
  <c r="L64" i="78"/>
  <c r="K64" i="78"/>
  <c r="J64" i="78"/>
  <c r="I64" i="78"/>
  <c r="H64" i="78"/>
  <c r="G64" i="78"/>
  <c r="F64" i="78"/>
  <c r="E64" i="78"/>
  <c r="Q64" i="78" s="1"/>
  <c r="D64" i="78"/>
  <c r="B64" i="78"/>
  <c r="Q63" i="78"/>
  <c r="B63" i="78"/>
  <c r="Q62" i="78"/>
  <c r="B62" i="78"/>
  <c r="O61" i="78"/>
  <c r="N61" i="78"/>
  <c r="M61" i="78"/>
  <c r="L61" i="78"/>
  <c r="K61" i="78"/>
  <c r="J61" i="78"/>
  <c r="I61" i="78"/>
  <c r="H61" i="78"/>
  <c r="G61" i="78"/>
  <c r="F61" i="78"/>
  <c r="E61" i="78"/>
  <c r="D61" i="78"/>
  <c r="Q61" i="78" s="1"/>
  <c r="B61" i="78"/>
  <c r="Q60" i="78"/>
  <c r="B60" i="78"/>
  <c r="O59" i="78"/>
  <c r="N59" i="78"/>
  <c r="M59" i="78"/>
  <c r="L59" i="78"/>
  <c r="K59" i="78"/>
  <c r="J59" i="78"/>
  <c r="I59" i="78"/>
  <c r="H59" i="78"/>
  <c r="G59" i="78"/>
  <c r="F59" i="78"/>
  <c r="E59" i="78"/>
  <c r="D59" i="78"/>
  <c r="B59" i="78"/>
  <c r="Q58" i="78"/>
  <c r="B58" i="78"/>
  <c r="Q57" i="78"/>
  <c r="B57" i="78"/>
  <c r="O56" i="78"/>
  <c r="N56" i="78"/>
  <c r="M56" i="78"/>
  <c r="L56" i="78"/>
  <c r="K56" i="78"/>
  <c r="J56" i="78"/>
  <c r="I56" i="78"/>
  <c r="H56" i="78"/>
  <c r="G56" i="78"/>
  <c r="F56" i="78"/>
  <c r="E56" i="78"/>
  <c r="D56" i="78"/>
  <c r="Q56" i="78" s="1"/>
  <c r="B56" i="78"/>
  <c r="Q55" i="78"/>
  <c r="B55" i="78"/>
  <c r="Q54" i="78"/>
  <c r="B54" i="78"/>
  <c r="Q53" i="78"/>
  <c r="B53" i="78"/>
  <c r="O52" i="78"/>
  <c r="N52" i="78"/>
  <c r="M52" i="78"/>
  <c r="L52" i="78"/>
  <c r="K52" i="78"/>
  <c r="J52" i="78"/>
  <c r="I52" i="78"/>
  <c r="H52" i="78"/>
  <c r="G52" i="78"/>
  <c r="F52" i="78"/>
  <c r="E52" i="78"/>
  <c r="D52" i="78"/>
  <c r="B52" i="78"/>
  <c r="Q51" i="78"/>
  <c r="B51" i="78"/>
  <c r="O50" i="78"/>
  <c r="N50" i="78"/>
  <c r="M50" i="78"/>
  <c r="L50" i="78"/>
  <c r="K50" i="78"/>
  <c r="J50" i="78"/>
  <c r="I50" i="78"/>
  <c r="H50" i="78"/>
  <c r="G50" i="78"/>
  <c r="F50" i="78"/>
  <c r="E50" i="78"/>
  <c r="D50" i="78"/>
  <c r="B50" i="78"/>
  <c r="Q49" i="78"/>
  <c r="B49" i="78"/>
  <c r="O48" i="78"/>
  <c r="N48" i="78"/>
  <c r="M48" i="78"/>
  <c r="L48" i="78"/>
  <c r="K48" i="78"/>
  <c r="J48" i="78"/>
  <c r="I48" i="78"/>
  <c r="H48" i="78"/>
  <c r="G48" i="78"/>
  <c r="F48" i="78"/>
  <c r="E48" i="78"/>
  <c r="Q48" i="78" s="1"/>
  <c r="D48" i="78"/>
  <c r="B48" i="78"/>
  <c r="Q47" i="78"/>
  <c r="B47" i="78"/>
  <c r="O46" i="78"/>
  <c r="N46" i="78"/>
  <c r="M46" i="78"/>
  <c r="L46" i="78"/>
  <c r="K46" i="78"/>
  <c r="J46" i="78"/>
  <c r="I46" i="78"/>
  <c r="H46" i="78"/>
  <c r="G46" i="78"/>
  <c r="F46" i="78"/>
  <c r="E46" i="78"/>
  <c r="Q46" i="78" s="1"/>
  <c r="D46" i="78"/>
  <c r="B46" i="78"/>
  <c r="Q45" i="78"/>
  <c r="B45" i="78"/>
  <c r="O44" i="78"/>
  <c r="N44" i="78"/>
  <c r="M44" i="78"/>
  <c r="L44" i="78"/>
  <c r="K44" i="78"/>
  <c r="J44" i="78"/>
  <c r="I44" i="78"/>
  <c r="H44" i="78"/>
  <c r="G44" i="78"/>
  <c r="F44" i="78"/>
  <c r="E44" i="78"/>
  <c r="D44" i="78"/>
  <c r="B44" i="78"/>
  <c r="Q43" i="78"/>
  <c r="B43" i="78"/>
  <c r="Q42" i="78"/>
  <c r="B42" i="78"/>
  <c r="O41" i="78"/>
  <c r="N41" i="78"/>
  <c r="M41" i="78"/>
  <c r="L41" i="78"/>
  <c r="K41" i="78"/>
  <c r="J41" i="78"/>
  <c r="I41" i="78"/>
  <c r="H41" i="78"/>
  <c r="G41" i="78"/>
  <c r="F41" i="78"/>
  <c r="E41" i="78"/>
  <c r="D41" i="78"/>
  <c r="Q41" i="78" s="1"/>
  <c r="B41" i="78"/>
  <c r="Q40" i="78"/>
  <c r="B40" i="78"/>
  <c r="O39" i="78"/>
  <c r="N39" i="78"/>
  <c r="M39" i="78"/>
  <c r="L39" i="78"/>
  <c r="L17" i="78" s="1" a="1"/>
  <c r="K39" i="78"/>
  <c r="J39" i="78"/>
  <c r="I39" i="78"/>
  <c r="H39" i="78"/>
  <c r="G39" i="78"/>
  <c r="F39" i="78"/>
  <c r="E39" i="78"/>
  <c r="D39" i="78"/>
  <c r="B39" i="78"/>
  <c r="Q38" i="78"/>
  <c r="B38" i="78"/>
  <c r="Q37" i="78"/>
  <c r="B37" i="78"/>
  <c r="Q36" i="78"/>
  <c r="B36" i="78"/>
  <c r="Q35" i="78"/>
  <c r="B35" i="78"/>
  <c r="Q34" i="78"/>
  <c r="B34" i="78"/>
  <c r="Q33" i="78"/>
  <c r="B33" i="78"/>
  <c r="Q32" i="78"/>
  <c r="B32" i="78"/>
  <c r="Q31" i="78"/>
  <c r="B31" i="78"/>
  <c r="Q30" i="78"/>
  <c r="B30" i="78"/>
  <c r="Q29" i="78"/>
  <c r="B29" i="78"/>
  <c r="O28" i="78"/>
  <c r="N28" i="78"/>
  <c r="M28" i="78"/>
  <c r="L28" i="78"/>
  <c r="K28" i="78"/>
  <c r="J28" i="78"/>
  <c r="I28" i="78"/>
  <c r="H28" i="78"/>
  <c r="G28" i="78"/>
  <c r="F28" i="78"/>
  <c r="E28" i="78"/>
  <c r="D28" i="78"/>
  <c r="Q28" i="78" s="1"/>
  <c r="B28" i="78"/>
  <c r="Q27" i="78"/>
  <c r="B27" i="78"/>
  <c r="Q26" i="78"/>
  <c r="B26" i="78"/>
  <c r="Q25" i="78"/>
  <c r="B25" i="78"/>
  <c r="Q24" i="78"/>
  <c r="B24" i="78"/>
  <c r="Q23" i="78"/>
  <c r="B23" i="78"/>
  <c r="Q22" i="78"/>
  <c r="B22" i="78"/>
  <c r="Q21" i="78"/>
  <c r="B21" i="78"/>
  <c r="Q20" i="78"/>
  <c r="B20" i="78"/>
  <c r="Q19" i="78"/>
  <c r="B19" i="78"/>
  <c r="O18" i="78"/>
  <c r="N18" i="78"/>
  <c r="M18" i="78"/>
  <c r="L18" i="78"/>
  <c r="K18" i="78"/>
  <c r="K17" i="78" s="1" a="1"/>
  <c r="K17" i="78" s="1"/>
  <c r="J18" i="78"/>
  <c r="I18" i="78"/>
  <c r="H18" i="78"/>
  <c r="G18" i="78"/>
  <c r="F18" i="78"/>
  <c r="E18" i="78"/>
  <c r="D18" i="78"/>
  <c r="B18" i="78"/>
  <c r="N17" i="78" a="1"/>
  <c r="N17" i="78" s="1"/>
  <c r="L17" i="78"/>
  <c r="J17" i="78" a="1"/>
  <c r="J17" i="78" s="1"/>
  <c r="F17" i="78" a="1"/>
  <c r="F17" i="78" s="1"/>
  <c r="K15" i="78"/>
  <c r="I15" i="78"/>
  <c r="O14" i="78"/>
  <c r="N14" i="78"/>
  <c r="G14" i="78"/>
  <c r="F14" i="78"/>
  <c r="Q12" i="78"/>
  <c r="O12" i="78"/>
  <c r="N12" i="78"/>
  <c r="M12" i="78"/>
  <c r="L12" i="78"/>
  <c r="K12" i="78"/>
  <c r="K14" i="78" s="1"/>
  <c r="J12" i="78"/>
  <c r="I12" i="78"/>
  <c r="H12" i="78"/>
  <c r="G12" i="78"/>
  <c r="F12" i="78"/>
  <c r="E12" i="78"/>
  <c r="D12" i="78"/>
  <c r="Q10" i="78"/>
  <c r="Q14" i="78" s="1"/>
  <c r="O10" i="78"/>
  <c r="N10" i="78"/>
  <c r="M10" i="78"/>
  <c r="M14" i="78" s="1"/>
  <c r="L10" i="78"/>
  <c r="L14" i="78" s="1"/>
  <c r="K10" i="78"/>
  <c r="J10" i="78"/>
  <c r="J14" i="78" s="1"/>
  <c r="I10" i="78"/>
  <c r="I14" i="78" s="1"/>
  <c r="H10" i="78"/>
  <c r="H14" i="78" s="1"/>
  <c r="G10" i="78"/>
  <c r="F10" i="78"/>
  <c r="E10" i="78"/>
  <c r="E14" i="78" s="1"/>
  <c r="D10" i="78"/>
  <c r="D14" i="78" s="1"/>
  <c r="O8" i="78"/>
  <c r="N8" i="78"/>
  <c r="M8" i="78"/>
  <c r="L8" i="78"/>
  <c r="K8" i="78"/>
  <c r="J8" i="78"/>
  <c r="I8" i="78"/>
  <c r="H8" i="78"/>
  <c r="G8" i="78"/>
  <c r="F8" i="78"/>
  <c r="E8" i="78"/>
  <c r="D8" i="78"/>
  <c r="B5" i="78"/>
  <c r="Q26" i="77"/>
  <c r="M21" i="77"/>
  <c r="L21" i="77"/>
  <c r="K21" i="77"/>
  <c r="J21" i="77"/>
  <c r="I21" i="77"/>
  <c r="H21" i="77"/>
  <c r="G21" i="77"/>
  <c r="F21" i="77"/>
  <c r="E21" i="77"/>
  <c r="D21" i="77"/>
  <c r="Q19" i="77"/>
  <c r="B19" i="77"/>
  <c r="O18" i="77"/>
  <c r="N18" i="77"/>
  <c r="N17" i="77" s="1"/>
  <c r="N23" i="77" s="1"/>
  <c r="M18" i="77"/>
  <c r="L18" i="77"/>
  <c r="K18" i="77"/>
  <c r="K17" i="77" s="1"/>
  <c r="J18" i="77"/>
  <c r="I18" i="77"/>
  <c r="H18" i="77"/>
  <c r="H17" i="77" s="1"/>
  <c r="G18" i="77"/>
  <c r="F18" i="77"/>
  <c r="F17" i="77" s="1"/>
  <c r="F23" i="77" s="1"/>
  <c r="E18" i="77"/>
  <c r="D18" i="77"/>
  <c r="B18" i="77"/>
  <c r="O17" i="77"/>
  <c r="M17" i="77"/>
  <c r="L17" i="77"/>
  <c r="L23" i="77" s="1"/>
  <c r="J17" i="77"/>
  <c r="I17" i="77"/>
  <c r="G17" i="77"/>
  <c r="E17" i="77"/>
  <c r="D17" i="77"/>
  <c r="K15" i="77"/>
  <c r="I15" i="77"/>
  <c r="Q14" i="77"/>
  <c r="N14" i="77"/>
  <c r="N15" i="77" s="1"/>
  <c r="H14" i="77"/>
  <c r="F14" i="77"/>
  <c r="F15" i="77" s="1"/>
  <c r="Q12" i="77"/>
  <c r="O12" i="77"/>
  <c r="N12" i="77"/>
  <c r="M12" i="77"/>
  <c r="L12" i="77"/>
  <c r="K12" i="77"/>
  <c r="K14" i="77" s="1"/>
  <c r="J12" i="77"/>
  <c r="I12" i="77"/>
  <c r="H12" i="77"/>
  <c r="G12" i="77"/>
  <c r="F12" i="77"/>
  <c r="E12" i="77"/>
  <c r="D12" i="77"/>
  <c r="Q10" i="77"/>
  <c r="O10" i="77"/>
  <c r="O14" i="77" s="1"/>
  <c r="N10" i="77"/>
  <c r="M10" i="77"/>
  <c r="L10" i="77"/>
  <c r="L14" i="77" s="1"/>
  <c r="L15" i="77" s="1"/>
  <c r="K10" i="77"/>
  <c r="J10" i="77"/>
  <c r="J14" i="77" s="1"/>
  <c r="I10" i="77"/>
  <c r="I14" i="77" s="1"/>
  <c r="H10" i="77"/>
  <c r="G10" i="77"/>
  <c r="G14" i="77" s="1"/>
  <c r="F10" i="77"/>
  <c r="E10" i="77"/>
  <c r="D10" i="77"/>
  <c r="D14" i="77" s="1"/>
  <c r="D15" i="77" s="1"/>
  <c r="O8" i="77"/>
  <c r="N8" i="77"/>
  <c r="M8" i="77"/>
  <c r="L8" i="77"/>
  <c r="K8" i="77"/>
  <c r="J8" i="77"/>
  <c r="I8" i="77"/>
  <c r="H8" i="77"/>
  <c r="G8" i="77"/>
  <c r="F8" i="77"/>
  <c r="E8" i="77"/>
  <c r="D8" i="77"/>
  <c r="B5" i="77"/>
  <c r="Q92" i="76"/>
  <c r="L89" i="76"/>
  <c r="M87" i="76"/>
  <c r="L87" i="76"/>
  <c r="K87" i="76"/>
  <c r="J87" i="76"/>
  <c r="I87" i="76"/>
  <c r="H87" i="76"/>
  <c r="G87" i="76"/>
  <c r="F87" i="76"/>
  <c r="E87" i="76"/>
  <c r="D87" i="76"/>
  <c r="Q87" i="76" s="1"/>
  <c r="Q85" i="76"/>
  <c r="B85" i="76"/>
  <c r="O84" i="76"/>
  <c r="N84" i="76"/>
  <c r="M84" i="76"/>
  <c r="L84" i="76"/>
  <c r="K84" i="76"/>
  <c r="J84" i="76"/>
  <c r="I84" i="76"/>
  <c r="H84" i="76"/>
  <c r="Q84" i="76" s="1"/>
  <c r="G84" i="76"/>
  <c r="F84" i="76"/>
  <c r="E84" i="76"/>
  <c r="D84" i="76"/>
  <c r="B84" i="76"/>
  <c r="Q83" i="76"/>
  <c r="B83" i="76"/>
  <c r="O82" i="76"/>
  <c r="N82" i="76"/>
  <c r="M82" i="76"/>
  <c r="L82" i="76"/>
  <c r="K82" i="76"/>
  <c r="J82" i="76"/>
  <c r="I82" i="76"/>
  <c r="H82" i="76"/>
  <c r="Q82" i="76" s="1"/>
  <c r="G82" i="76"/>
  <c r="F82" i="76"/>
  <c r="E82" i="76"/>
  <c r="D82" i="76"/>
  <c r="B82" i="76"/>
  <c r="Q81" i="76"/>
  <c r="B81" i="76"/>
  <c r="O80" i="76"/>
  <c r="N80" i="76"/>
  <c r="M80" i="76"/>
  <c r="L80" i="76"/>
  <c r="K80" i="76"/>
  <c r="J80" i="76"/>
  <c r="I80" i="76"/>
  <c r="H80" i="76"/>
  <c r="Q80" i="76" s="1"/>
  <c r="G80" i="76"/>
  <c r="F80" i="76"/>
  <c r="E80" i="76"/>
  <c r="D80" i="76"/>
  <c r="B80" i="76"/>
  <c r="Q79" i="76"/>
  <c r="B79" i="76"/>
  <c r="Q78" i="76"/>
  <c r="B78" i="76"/>
  <c r="Q77" i="76"/>
  <c r="B77" i="76"/>
  <c r="Q76" i="76"/>
  <c r="B76" i="76"/>
  <c r="Q75" i="76"/>
  <c r="B75" i="76"/>
  <c r="Q74" i="76"/>
  <c r="B74" i="76"/>
  <c r="Q73" i="76"/>
  <c r="B73" i="76"/>
  <c r="Q72" i="76"/>
  <c r="B72" i="76"/>
  <c r="Q71" i="76"/>
  <c r="B71" i="76"/>
  <c r="O70" i="76"/>
  <c r="N70" i="76"/>
  <c r="M70" i="76"/>
  <c r="L70" i="76"/>
  <c r="K70" i="76"/>
  <c r="J70" i="76"/>
  <c r="I70" i="76"/>
  <c r="H70" i="76"/>
  <c r="Q70" i="76" s="1"/>
  <c r="G70" i="76"/>
  <c r="F70" i="76"/>
  <c r="E70" i="76"/>
  <c r="D70" i="76"/>
  <c r="B70" i="76"/>
  <c r="Q69" i="76"/>
  <c r="B69" i="76"/>
  <c r="O68" i="76"/>
  <c r="N68" i="76"/>
  <c r="M68" i="76"/>
  <c r="L68" i="76"/>
  <c r="K68" i="76"/>
  <c r="J68" i="76"/>
  <c r="I68" i="76"/>
  <c r="H68" i="76"/>
  <c r="Q68" i="76" s="1"/>
  <c r="G68" i="76"/>
  <c r="F68" i="76"/>
  <c r="E68" i="76"/>
  <c r="D68" i="76"/>
  <c r="B68" i="76"/>
  <c r="Q67" i="76"/>
  <c r="B67" i="76"/>
  <c r="Q66" i="76"/>
  <c r="B66" i="76"/>
  <c r="Q65" i="76"/>
  <c r="B65" i="76"/>
  <c r="O64" i="76"/>
  <c r="N64" i="76"/>
  <c r="M64" i="76"/>
  <c r="L64" i="76"/>
  <c r="K64" i="76"/>
  <c r="J64" i="76"/>
  <c r="I64" i="76"/>
  <c r="H64" i="76"/>
  <c r="G64" i="76"/>
  <c r="F64" i="76"/>
  <c r="E64" i="76"/>
  <c r="D64" i="76"/>
  <c r="B64" i="76"/>
  <c r="Q63" i="76"/>
  <c r="B63" i="76"/>
  <c r="Q62" i="76"/>
  <c r="B62" i="76"/>
  <c r="O61" i="76"/>
  <c r="N61" i="76"/>
  <c r="M61" i="76"/>
  <c r="L61" i="76"/>
  <c r="K61" i="76"/>
  <c r="J61" i="76"/>
  <c r="I61" i="76"/>
  <c r="H61" i="76"/>
  <c r="G61" i="76"/>
  <c r="F61" i="76"/>
  <c r="E61" i="76"/>
  <c r="D61" i="76"/>
  <c r="Q61" i="76" s="1"/>
  <c r="B61" i="76"/>
  <c r="Q60" i="76"/>
  <c r="B60" i="76"/>
  <c r="O59" i="76"/>
  <c r="N59" i="76"/>
  <c r="M59" i="76"/>
  <c r="L59" i="76"/>
  <c r="K59" i="76"/>
  <c r="J59" i="76"/>
  <c r="I59" i="76"/>
  <c r="H59" i="76"/>
  <c r="G59" i="76"/>
  <c r="F59" i="76"/>
  <c r="E59" i="76"/>
  <c r="D59" i="76"/>
  <c r="Q59" i="76" s="1"/>
  <c r="B59" i="76"/>
  <c r="Q58" i="76"/>
  <c r="B58" i="76"/>
  <c r="O57" i="76"/>
  <c r="N57" i="76"/>
  <c r="M57" i="76"/>
  <c r="L57" i="76"/>
  <c r="K57" i="76"/>
  <c r="J57" i="76"/>
  <c r="I57" i="76"/>
  <c r="H57" i="76"/>
  <c r="G57" i="76"/>
  <c r="F57" i="76"/>
  <c r="E57" i="76"/>
  <c r="D57" i="76"/>
  <c r="B57" i="76"/>
  <c r="Q56" i="76"/>
  <c r="B56" i="76"/>
  <c r="O55" i="76"/>
  <c r="N55" i="76"/>
  <c r="M55" i="76"/>
  <c r="L55" i="76"/>
  <c r="K55" i="76"/>
  <c r="J55" i="76"/>
  <c r="I55" i="76"/>
  <c r="H55" i="76"/>
  <c r="G55" i="76"/>
  <c r="F55" i="76"/>
  <c r="E55" i="76"/>
  <c r="D55" i="76"/>
  <c r="D24" i="76" s="1" a="1"/>
  <c r="D24" i="76" s="1"/>
  <c r="B55" i="76"/>
  <c r="Q54" i="76"/>
  <c r="B54" i="76"/>
  <c r="Q53" i="76"/>
  <c r="B53" i="76"/>
  <c r="O52" i="76"/>
  <c r="N52" i="76"/>
  <c r="M52" i="76"/>
  <c r="L52" i="76"/>
  <c r="K52" i="76"/>
  <c r="J52" i="76"/>
  <c r="I52" i="76"/>
  <c r="H52" i="76"/>
  <c r="Q52" i="76" s="1"/>
  <c r="G52" i="76"/>
  <c r="F52" i="76"/>
  <c r="E52" i="76"/>
  <c r="D52" i="76"/>
  <c r="B52" i="76"/>
  <c r="Q51" i="76"/>
  <c r="B51" i="76"/>
  <c r="O50" i="76"/>
  <c r="N50" i="76"/>
  <c r="M50" i="76"/>
  <c r="L50" i="76"/>
  <c r="K50" i="76"/>
  <c r="J50" i="76"/>
  <c r="I50" i="76"/>
  <c r="H50" i="76"/>
  <c r="Q50" i="76" s="1"/>
  <c r="G50" i="76"/>
  <c r="F50" i="76"/>
  <c r="E50" i="76"/>
  <c r="D50" i="76"/>
  <c r="B50" i="76"/>
  <c r="Q49" i="76"/>
  <c r="B49" i="76"/>
  <c r="O48" i="76"/>
  <c r="N48" i="76"/>
  <c r="M48" i="76"/>
  <c r="L48" i="76"/>
  <c r="K48" i="76"/>
  <c r="J48" i="76"/>
  <c r="I48" i="76"/>
  <c r="H48" i="76"/>
  <c r="Q48" i="76" s="1"/>
  <c r="G48" i="76"/>
  <c r="F48" i="76"/>
  <c r="E48" i="76"/>
  <c r="D48" i="76"/>
  <c r="B48" i="76"/>
  <c r="Q47" i="76"/>
  <c r="B47" i="76"/>
  <c r="O46" i="76"/>
  <c r="N46" i="76"/>
  <c r="M46" i="76"/>
  <c r="L46" i="76"/>
  <c r="K46" i="76"/>
  <c r="J46" i="76"/>
  <c r="I46" i="76"/>
  <c r="H46" i="76"/>
  <c r="Q46" i="76" s="1"/>
  <c r="G46" i="76"/>
  <c r="F46" i="76"/>
  <c r="E46" i="76"/>
  <c r="D46" i="76"/>
  <c r="B46" i="76"/>
  <c r="Q45" i="76"/>
  <c r="B45" i="76"/>
  <c r="Q44" i="76"/>
  <c r="B44" i="76"/>
  <c r="Q43" i="76"/>
  <c r="B43" i="76"/>
  <c r="Q42" i="76"/>
  <c r="B42" i="76"/>
  <c r="Q41" i="76"/>
  <c r="B41" i="76"/>
  <c r="Q40" i="76"/>
  <c r="B40" i="76"/>
  <c r="Q39" i="76"/>
  <c r="B39" i="76"/>
  <c r="Q38" i="76"/>
  <c r="B38" i="76"/>
  <c r="Q37" i="76"/>
  <c r="B37" i="76"/>
  <c r="Q36" i="76"/>
  <c r="B36" i="76"/>
  <c r="O35" i="76"/>
  <c r="N35" i="76"/>
  <c r="M35" i="76"/>
  <c r="L35" i="76"/>
  <c r="K35" i="76"/>
  <c r="J35" i="76"/>
  <c r="I35" i="76"/>
  <c r="H35" i="76"/>
  <c r="Q35" i="76" s="1"/>
  <c r="G35" i="76"/>
  <c r="F35" i="76"/>
  <c r="E35" i="76"/>
  <c r="D35" i="76"/>
  <c r="B35" i="76"/>
  <c r="Q34" i="76"/>
  <c r="B34" i="76"/>
  <c r="Q33" i="76"/>
  <c r="B33" i="76"/>
  <c r="Q32" i="76"/>
  <c r="B32" i="76"/>
  <c r="Q31" i="76"/>
  <c r="B31" i="76"/>
  <c r="Q30" i="76"/>
  <c r="B30" i="76"/>
  <c r="Q29" i="76"/>
  <c r="B29" i="76"/>
  <c r="Q28" i="76"/>
  <c r="B28" i="76"/>
  <c r="Q27" i="76"/>
  <c r="B27" i="76"/>
  <c r="Q26" i="76"/>
  <c r="B26" i="76"/>
  <c r="O25" i="76"/>
  <c r="N25" i="76"/>
  <c r="M25" i="76"/>
  <c r="M24" i="76" s="1" a="1"/>
  <c r="M24" i="76" s="1"/>
  <c r="L25" i="76"/>
  <c r="K25" i="76"/>
  <c r="J25" i="76"/>
  <c r="I25" i="76"/>
  <c r="H25" i="76"/>
  <c r="Q25" i="76" s="1"/>
  <c r="G25" i="76"/>
  <c r="F25" i="76"/>
  <c r="E25" i="76"/>
  <c r="E24" i="76" s="1" a="1"/>
  <c r="E24" i="76" s="1"/>
  <c r="D25" i="76"/>
  <c r="B25" i="76"/>
  <c r="O24" i="76" a="1"/>
  <c r="O24" i="76" s="1"/>
  <c r="L24" i="76" a="1"/>
  <c r="L24" i="76" s="1"/>
  <c r="K24" i="76" a="1"/>
  <c r="K24" i="76" s="1"/>
  <c r="I24" i="76" a="1"/>
  <c r="I24" i="76" s="1"/>
  <c r="G24" i="76" a="1"/>
  <c r="G24" i="76" s="1"/>
  <c r="J22" i="76"/>
  <c r="H22" i="76"/>
  <c r="Q19" i="76"/>
  <c r="B19" i="76"/>
  <c r="Q18" i="76"/>
  <c r="B18" i="76"/>
  <c r="Q17" i="76"/>
  <c r="B17" i="76"/>
  <c r="Q16" i="76"/>
  <c r="O16" i="76"/>
  <c r="N16" i="76"/>
  <c r="M16" i="76"/>
  <c r="L16" i="76"/>
  <c r="K16" i="76"/>
  <c r="J16" i="76"/>
  <c r="I16" i="76"/>
  <c r="H16" i="76"/>
  <c r="G16" i="76"/>
  <c r="F16" i="76"/>
  <c r="E16" i="76"/>
  <c r="D16" i="76"/>
  <c r="M14" i="76"/>
  <c r="L14" i="76"/>
  <c r="K14" i="76"/>
  <c r="J14" i="76"/>
  <c r="I14" i="76"/>
  <c r="H14" i="76"/>
  <c r="G14" i="76"/>
  <c r="F14" i="76"/>
  <c r="E14" i="76"/>
  <c r="D14" i="76"/>
  <c r="B14" i="76"/>
  <c r="M13" i="76"/>
  <c r="L13" i="76"/>
  <c r="K13" i="76"/>
  <c r="J13" i="76"/>
  <c r="I13" i="76"/>
  <c r="H13" i="76"/>
  <c r="G13" i="76"/>
  <c r="F13" i="76"/>
  <c r="E13" i="76"/>
  <c r="D13" i="76"/>
  <c r="Q13" i="76" s="1"/>
  <c r="B13" i="76"/>
  <c r="M12" i="76"/>
  <c r="L12" i="76"/>
  <c r="K12" i="76"/>
  <c r="J12" i="76"/>
  <c r="I12" i="76"/>
  <c r="H12" i="76"/>
  <c r="H10" i="76" s="1"/>
  <c r="H21" i="76" s="1"/>
  <c r="G12" i="76"/>
  <c r="F12" i="76"/>
  <c r="E12" i="76"/>
  <c r="Q12" i="76" s="1"/>
  <c r="D12" i="76"/>
  <c r="B12" i="76"/>
  <c r="M11" i="76"/>
  <c r="L11" i="76"/>
  <c r="L10" i="76" s="1"/>
  <c r="L21" i="76" s="1"/>
  <c r="L22" i="76" s="1"/>
  <c r="K11" i="76"/>
  <c r="J11" i="76"/>
  <c r="I11" i="76"/>
  <c r="H11" i="76"/>
  <c r="G11" i="76"/>
  <c r="G10" i="76" s="1"/>
  <c r="G21" i="76" s="1"/>
  <c r="F11" i="76"/>
  <c r="E11" i="76"/>
  <c r="D11" i="76"/>
  <c r="B11" i="76"/>
  <c r="O10" i="76"/>
  <c r="O21" i="76" s="1"/>
  <c r="N10" i="76"/>
  <c r="N21" i="76" s="1"/>
  <c r="N22" i="76" s="1"/>
  <c r="M10" i="76"/>
  <c r="M21" i="76" s="1"/>
  <c r="J10" i="76"/>
  <c r="J21" i="76" s="1"/>
  <c r="F10" i="76"/>
  <c r="F21" i="76" s="1"/>
  <c r="F22" i="76" s="1"/>
  <c r="O8" i="76"/>
  <c r="N8" i="76"/>
  <c r="M8" i="76"/>
  <c r="L8" i="76"/>
  <c r="K8" i="76"/>
  <c r="J8" i="76"/>
  <c r="I8" i="76"/>
  <c r="H8" i="76"/>
  <c r="G8" i="76"/>
  <c r="F8" i="76"/>
  <c r="E8" i="76"/>
  <c r="D8" i="76"/>
  <c r="B5" i="76"/>
  <c r="Q34" i="75"/>
  <c r="I31" i="75"/>
  <c r="M29" i="75"/>
  <c r="L29" i="75"/>
  <c r="K29" i="75"/>
  <c r="J29" i="75"/>
  <c r="I29" i="75"/>
  <c r="H29" i="75"/>
  <c r="G29" i="75"/>
  <c r="F29" i="75"/>
  <c r="Q29" i="75" s="1"/>
  <c r="E29" i="75"/>
  <c r="D29" i="75"/>
  <c r="Q27" i="75"/>
  <c r="B27" i="75"/>
  <c r="O26" i="75"/>
  <c r="N26" i="75"/>
  <c r="M26" i="75"/>
  <c r="L26" i="75"/>
  <c r="K26" i="75"/>
  <c r="J26" i="75"/>
  <c r="I26" i="75"/>
  <c r="H26" i="75"/>
  <c r="G26" i="75"/>
  <c r="F26" i="75"/>
  <c r="E26" i="75"/>
  <c r="Q26" i="75" s="1"/>
  <c r="D26" i="75"/>
  <c r="B26" i="75"/>
  <c r="Q25" i="75"/>
  <c r="B25" i="75"/>
  <c r="O24" i="75"/>
  <c r="N24" i="75"/>
  <c r="M24" i="75"/>
  <c r="M23" i="75" s="1" a="1"/>
  <c r="M23" i="75" s="1"/>
  <c r="L24" i="75"/>
  <c r="K24" i="75"/>
  <c r="J24" i="75"/>
  <c r="I24" i="75"/>
  <c r="H24" i="75"/>
  <c r="H23" i="75" s="1" a="1"/>
  <c r="H23" i="75" s="1"/>
  <c r="G24" i="75"/>
  <c r="G23" i="75" s="1" a="1"/>
  <c r="G23" i="75" s="1"/>
  <c r="F24" i="75"/>
  <c r="E24" i="75"/>
  <c r="E23" i="75" s="1" a="1"/>
  <c r="E23" i="75" s="1"/>
  <c r="D24" i="75"/>
  <c r="B24" i="75"/>
  <c r="O23" i="75" a="1"/>
  <c r="O23" i="75"/>
  <c r="N23" i="75" a="1"/>
  <c r="N23" i="75"/>
  <c r="L23" i="75" a="1"/>
  <c r="L23" i="75" s="1"/>
  <c r="K23" i="75" a="1"/>
  <c r="K23" i="75" s="1"/>
  <c r="J23" i="75" a="1"/>
  <c r="J23" i="75"/>
  <c r="I23" i="75" a="1"/>
  <c r="I23" i="75"/>
  <c r="F23" i="75" a="1"/>
  <c r="F23" i="75"/>
  <c r="D23" i="75" a="1"/>
  <c r="D23" i="75" s="1"/>
  <c r="K21" i="75"/>
  <c r="J21" i="75"/>
  <c r="K20" i="75"/>
  <c r="Q18" i="75"/>
  <c r="B18" i="75"/>
  <c r="Q17" i="75"/>
  <c r="B17" i="75"/>
  <c r="Q16" i="75"/>
  <c r="Q15" i="75" s="1"/>
  <c r="B16" i="75"/>
  <c r="O15" i="75"/>
  <c r="N15" i="75"/>
  <c r="M15" i="75"/>
  <c r="L15" i="75"/>
  <c r="K15" i="75"/>
  <c r="J15" i="75"/>
  <c r="I15" i="75"/>
  <c r="H15" i="75"/>
  <c r="G15" i="75"/>
  <c r="F15" i="75"/>
  <c r="E15" i="75"/>
  <c r="D15" i="75"/>
  <c r="M13" i="75"/>
  <c r="L13" i="75"/>
  <c r="K13" i="75"/>
  <c r="J13" i="75"/>
  <c r="I13" i="75"/>
  <c r="H13" i="75"/>
  <c r="G13" i="75"/>
  <c r="F13" i="75"/>
  <c r="E13" i="75"/>
  <c r="D13" i="75"/>
  <c r="Q13" i="75" s="1"/>
  <c r="B13" i="75"/>
  <c r="M12" i="75"/>
  <c r="L12" i="75"/>
  <c r="K12" i="75"/>
  <c r="J12" i="75"/>
  <c r="I12" i="75"/>
  <c r="H12" i="75"/>
  <c r="H10" i="75" s="1"/>
  <c r="H20" i="75" s="1"/>
  <c r="G12" i="75"/>
  <c r="F12" i="75"/>
  <c r="F10" i="75" s="1"/>
  <c r="F20" i="75" s="1"/>
  <c r="E12" i="75"/>
  <c r="D12" i="75"/>
  <c r="B12" i="75"/>
  <c r="M11" i="75"/>
  <c r="L11" i="75"/>
  <c r="K11" i="75"/>
  <c r="J11" i="75"/>
  <c r="I11" i="75"/>
  <c r="I10" i="75" s="1"/>
  <c r="I20" i="75" s="1"/>
  <c r="I21" i="75" s="1"/>
  <c r="H11" i="75"/>
  <c r="G11" i="75"/>
  <c r="F11" i="75"/>
  <c r="E11" i="75"/>
  <c r="D11" i="75"/>
  <c r="B11" i="75"/>
  <c r="O10" i="75"/>
  <c r="O20" i="75" s="1"/>
  <c r="N10" i="75"/>
  <c r="K10" i="75"/>
  <c r="J10" i="75"/>
  <c r="J20" i="75" s="1"/>
  <c r="J31" i="75" s="1"/>
  <c r="G10" i="75"/>
  <c r="G20" i="75" s="1"/>
  <c r="O8" i="75"/>
  <c r="N8" i="75"/>
  <c r="M8" i="75"/>
  <c r="L8" i="75"/>
  <c r="K8" i="75"/>
  <c r="J8" i="75"/>
  <c r="I8" i="75"/>
  <c r="H8" i="75"/>
  <c r="G8" i="75"/>
  <c r="F8" i="75"/>
  <c r="E8" i="75"/>
  <c r="D8" i="75"/>
  <c r="B5" i="75"/>
  <c r="Q91" i="74"/>
  <c r="M86" i="74"/>
  <c r="L86" i="74"/>
  <c r="K86" i="74"/>
  <c r="J86" i="74"/>
  <c r="I86" i="74"/>
  <c r="H86" i="74"/>
  <c r="G86" i="74"/>
  <c r="F86" i="74"/>
  <c r="Q86" i="74" s="1"/>
  <c r="E86" i="74"/>
  <c r="D86" i="74"/>
  <c r="Q84" i="74"/>
  <c r="B84" i="74"/>
  <c r="O83" i="74"/>
  <c r="N83" i="74"/>
  <c r="M83" i="74"/>
  <c r="L83" i="74"/>
  <c r="K83" i="74"/>
  <c r="J83" i="74"/>
  <c r="I83" i="74"/>
  <c r="H83" i="74"/>
  <c r="Q83" i="74" s="1"/>
  <c r="G83" i="74"/>
  <c r="F83" i="74"/>
  <c r="E83" i="74"/>
  <c r="D83" i="74"/>
  <c r="B83" i="74"/>
  <c r="Q82" i="74"/>
  <c r="B82" i="74"/>
  <c r="Q81" i="74"/>
  <c r="B81" i="74"/>
  <c r="O80" i="74"/>
  <c r="N80" i="74"/>
  <c r="M80" i="74"/>
  <c r="L80" i="74"/>
  <c r="K80" i="74"/>
  <c r="J80" i="74"/>
  <c r="I80" i="74"/>
  <c r="H80" i="74"/>
  <c r="G80" i="74"/>
  <c r="F80" i="74"/>
  <c r="E80" i="74"/>
  <c r="D80" i="74"/>
  <c r="B80" i="74"/>
  <c r="Q79" i="74"/>
  <c r="B79" i="74"/>
  <c r="O78" i="74"/>
  <c r="N78" i="74"/>
  <c r="M78" i="74"/>
  <c r="L78" i="74"/>
  <c r="K78" i="74"/>
  <c r="J78" i="74"/>
  <c r="J25" i="74" s="1" a="1"/>
  <c r="J25" i="74" s="1"/>
  <c r="I78" i="74"/>
  <c r="H78" i="74"/>
  <c r="G78" i="74"/>
  <c r="F78" i="74"/>
  <c r="E78" i="74"/>
  <c r="D78" i="74"/>
  <c r="B78" i="74"/>
  <c r="Q77" i="74"/>
  <c r="B77" i="74"/>
  <c r="Q76" i="74"/>
  <c r="B76" i="74"/>
  <c r="Q75" i="74"/>
  <c r="B75" i="74"/>
  <c r="O74" i="74"/>
  <c r="N74" i="74"/>
  <c r="M74" i="74"/>
  <c r="L74" i="74"/>
  <c r="K74" i="74"/>
  <c r="J74" i="74"/>
  <c r="I74" i="74"/>
  <c r="H74" i="74"/>
  <c r="G74" i="74"/>
  <c r="F74" i="74"/>
  <c r="F25" i="74" s="1" a="1"/>
  <c r="F25" i="74" s="1"/>
  <c r="E74" i="74"/>
  <c r="D74" i="74"/>
  <c r="B74" i="74"/>
  <c r="Q73" i="74"/>
  <c r="B73" i="74"/>
  <c r="Q72" i="74"/>
  <c r="B72" i="74"/>
  <c r="O71" i="74"/>
  <c r="N71" i="74"/>
  <c r="M71" i="74"/>
  <c r="M25" i="74" s="1" a="1"/>
  <c r="L71" i="74"/>
  <c r="K71" i="74"/>
  <c r="J71" i="74"/>
  <c r="I71" i="74"/>
  <c r="H71" i="74"/>
  <c r="H25" i="74" s="1" a="1"/>
  <c r="H25" i="74" s="1"/>
  <c r="G71" i="74"/>
  <c r="F71" i="74"/>
  <c r="E71" i="74"/>
  <c r="E25" i="74" s="1" a="1"/>
  <c r="E25" i="74" s="1"/>
  <c r="D71" i="74"/>
  <c r="B71" i="74"/>
  <c r="Q70" i="74"/>
  <c r="B70" i="74"/>
  <c r="Q69" i="74"/>
  <c r="B69" i="74"/>
  <c r="O68" i="74"/>
  <c r="O25" i="74" s="1" a="1"/>
  <c r="O25" i="74" s="1"/>
  <c r="N68" i="74"/>
  <c r="M68" i="74"/>
  <c r="L68" i="74"/>
  <c r="K68" i="74"/>
  <c r="J68" i="74"/>
  <c r="I68" i="74"/>
  <c r="H68" i="74"/>
  <c r="G68" i="74"/>
  <c r="F68" i="74"/>
  <c r="E68" i="74"/>
  <c r="D68" i="74"/>
  <c r="B68" i="74"/>
  <c r="Q67" i="74"/>
  <c r="B67" i="74"/>
  <c r="Q66" i="74"/>
  <c r="B66" i="74"/>
  <c r="O65" i="74"/>
  <c r="N65" i="74"/>
  <c r="M65" i="74"/>
  <c r="L65" i="74"/>
  <c r="K65" i="74"/>
  <c r="J65" i="74"/>
  <c r="I65" i="74"/>
  <c r="H65" i="74"/>
  <c r="G65" i="74"/>
  <c r="F65" i="74"/>
  <c r="E65" i="74"/>
  <c r="D65" i="74"/>
  <c r="B65" i="74"/>
  <c r="Q64" i="74"/>
  <c r="B64" i="74"/>
  <c r="O63" i="74"/>
  <c r="N63" i="74"/>
  <c r="M63" i="74"/>
  <c r="L63" i="74"/>
  <c r="K63" i="74"/>
  <c r="J63" i="74"/>
  <c r="I63" i="74"/>
  <c r="H63" i="74"/>
  <c r="G63" i="74"/>
  <c r="F63" i="74"/>
  <c r="E63" i="74"/>
  <c r="D63" i="74"/>
  <c r="B63" i="74"/>
  <c r="Q62" i="74"/>
  <c r="B62" i="74"/>
  <c r="O61" i="74"/>
  <c r="N61" i="74"/>
  <c r="M61" i="74"/>
  <c r="L61" i="74"/>
  <c r="K61" i="74"/>
  <c r="J61" i="74"/>
  <c r="I61" i="74"/>
  <c r="H61" i="74"/>
  <c r="G61" i="74"/>
  <c r="F61" i="74"/>
  <c r="E61" i="74"/>
  <c r="D61" i="74"/>
  <c r="B61" i="74"/>
  <c r="Q60" i="74"/>
  <c r="B60" i="74"/>
  <c r="O59" i="74"/>
  <c r="N59" i="74"/>
  <c r="M59" i="74"/>
  <c r="L59" i="74"/>
  <c r="K59" i="74"/>
  <c r="J59" i="74"/>
  <c r="I59" i="74"/>
  <c r="H59" i="74"/>
  <c r="G59" i="74"/>
  <c r="F59" i="74"/>
  <c r="E59" i="74"/>
  <c r="D59" i="74"/>
  <c r="Q59" i="74" s="1"/>
  <c r="B59" i="74"/>
  <c r="Q58" i="74"/>
  <c r="B58" i="74"/>
  <c r="O57" i="74"/>
  <c r="N57" i="74"/>
  <c r="M57" i="74"/>
  <c r="L57" i="74"/>
  <c r="K57" i="74"/>
  <c r="J57" i="74"/>
  <c r="I57" i="74"/>
  <c r="H57" i="74"/>
  <c r="G57" i="74"/>
  <c r="F57" i="74"/>
  <c r="E57" i="74"/>
  <c r="D57" i="74"/>
  <c r="Q57" i="74" s="1"/>
  <c r="B57" i="74"/>
  <c r="Q56" i="74"/>
  <c r="B56" i="74"/>
  <c r="O55" i="74"/>
  <c r="N55" i="74"/>
  <c r="M55" i="74"/>
  <c r="L55" i="74"/>
  <c r="K55" i="74"/>
  <c r="J55" i="74"/>
  <c r="I55" i="74"/>
  <c r="H55" i="74"/>
  <c r="G55" i="74"/>
  <c r="F55" i="74"/>
  <c r="E55" i="74"/>
  <c r="D55" i="74"/>
  <c r="Q55" i="74" s="1"/>
  <c r="B55" i="74"/>
  <c r="Q54" i="74"/>
  <c r="B54" i="74"/>
  <c r="O53" i="74"/>
  <c r="N53" i="74"/>
  <c r="M53" i="74"/>
  <c r="L53" i="74"/>
  <c r="K53" i="74"/>
  <c r="J53" i="74"/>
  <c r="I53" i="74"/>
  <c r="H53" i="74"/>
  <c r="G53" i="74"/>
  <c r="F53" i="74"/>
  <c r="E53" i="74"/>
  <c r="D53" i="74"/>
  <c r="Q53" i="74" s="1"/>
  <c r="B53" i="74"/>
  <c r="Q52" i="74"/>
  <c r="B52" i="74"/>
  <c r="O51" i="74"/>
  <c r="N51" i="74"/>
  <c r="M51" i="74"/>
  <c r="L51" i="74"/>
  <c r="K51" i="74"/>
  <c r="J51" i="74"/>
  <c r="I51" i="74"/>
  <c r="H51" i="74"/>
  <c r="G51" i="74"/>
  <c r="F51" i="74"/>
  <c r="E51" i="74"/>
  <c r="D51" i="74"/>
  <c r="Q51" i="74" s="1"/>
  <c r="B51" i="74"/>
  <c r="Q50" i="74"/>
  <c r="B50" i="74"/>
  <c r="O49" i="74"/>
  <c r="N49" i="74"/>
  <c r="M49" i="74"/>
  <c r="L49" i="74"/>
  <c r="K49" i="74"/>
  <c r="J49" i="74"/>
  <c r="I49" i="74"/>
  <c r="H49" i="74"/>
  <c r="G49" i="74"/>
  <c r="F49" i="74"/>
  <c r="E49" i="74"/>
  <c r="D49" i="74"/>
  <c r="B49" i="74"/>
  <c r="Q48" i="74"/>
  <c r="B48" i="74"/>
  <c r="O47" i="74"/>
  <c r="N47" i="74"/>
  <c r="M47" i="74"/>
  <c r="L47" i="74"/>
  <c r="K47" i="74"/>
  <c r="J47" i="74"/>
  <c r="I47" i="74"/>
  <c r="H47" i="74"/>
  <c r="G47" i="74"/>
  <c r="F47" i="74"/>
  <c r="E47" i="74"/>
  <c r="D47" i="74"/>
  <c r="B47" i="74"/>
  <c r="Q46" i="74"/>
  <c r="B46" i="74"/>
  <c r="Q45" i="74"/>
  <c r="B45" i="74"/>
  <c r="Q44" i="74"/>
  <c r="B44" i="74"/>
  <c r="Q43" i="74"/>
  <c r="B43" i="74"/>
  <c r="Q42" i="74"/>
  <c r="B42" i="74"/>
  <c r="Q41" i="74"/>
  <c r="B41" i="74"/>
  <c r="Q40" i="74"/>
  <c r="B40" i="74"/>
  <c r="Q39" i="74"/>
  <c r="B39" i="74"/>
  <c r="Q38" i="74"/>
  <c r="B38" i="74"/>
  <c r="Q37" i="74"/>
  <c r="B37" i="74"/>
  <c r="O36" i="74"/>
  <c r="N36" i="74"/>
  <c r="M36" i="74"/>
  <c r="L36" i="74"/>
  <c r="K36" i="74"/>
  <c r="J36" i="74"/>
  <c r="I36" i="74"/>
  <c r="H36" i="74"/>
  <c r="G36" i="74"/>
  <c r="F36" i="74"/>
  <c r="E36" i="74"/>
  <c r="D36" i="74"/>
  <c r="B36" i="74"/>
  <c r="Q35" i="74"/>
  <c r="B35" i="74"/>
  <c r="Q34" i="74"/>
  <c r="B34" i="74"/>
  <c r="Q33" i="74"/>
  <c r="B33" i="74"/>
  <c r="Q32" i="74"/>
  <c r="B32" i="74"/>
  <c r="Q31" i="74"/>
  <c r="B31" i="74"/>
  <c r="Q30" i="74"/>
  <c r="B30" i="74"/>
  <c r="Q29" i="74"/>
  <c r="B29" i="74"/>
  <c r="Q28" i="74"/>
  <c r="B28" i="74"/>
  <c r="Q27" i="74"/>
  <c r="B27" i="74"/>
  <c r="O26" i="74"/>
  <c r="N26" i="74"/>
  <c r="M26" i="74"/>
  <c r="L26" i="74"/>
  <c r="K26" i="74"/>
  <c r="J26" i="74"/>
  <c r="I26" i="74"/>
  <c r="H26" i="74"/>
  <c r="G26" i="74"/>
  <c r="F26" i="74"/>
  <c r="E26" i="74"/>
  <c r="D26" i="74"/>
  <c r="B26" i="74"/>
  <c r="N25" i="74" a="1"/>
  <c r="N25" i="74" s="1"/>
  <c r="M25" i="74"/>
  <c r="F23" i="74"/>
  <c r="K22" i="74"/>
  <c r="H22" i="74"/>
  <c r="Q20" i="74"/>
  <c r="B20" i="74"/>
  <c r="Q19" i="74"/>
  <c r="B19" i="74"/>
  <c r="Q18" i="74"/>
  <c r="B18" i="74"/>
  <c r="Q17" i="74"/>
  <c r="B17" i="74"/>
  <c r="Q16" i="74"/>
  <c r="O16" i="74"/>
  <c r="N16" i="74"/>
  <c r="M16" i="74"/>
  <c r="L16" i="74"/>
  <c r="K16" i="74"/>
  <c r="J16" i="74"/>
  <c r="I16" i="74"/>
  <c r="H16" i="74"/>
  <c r="G16" i="74"/>
  <c r="F16" i="74"/>
  <c r="E16" i="74"/>
  <c r="D16" i="74"/>
  <c r="M14" i="74"/>
  <c r="L14" i="74"/>
  <c r="K14" i="74"/>
  <c r="J14" i="74"/>
  <c r="I14" i="74"/>
  <c r="H14" i="74"/>
  <c r="G14" i="74"/>
  <c r="F14" i="74"/>
  <c r="E14" i="74"/>
  <c r="Q14" i="74" s="1"/>
  <c r="D14" i="74"/>
  <c r="B14" i="74"/>
  <c r="M13" i="74"/>
  <c r="L13" i="74"/>
  <c r="K13" i="74"/>
  <c r="J13" i="74"/>
  <c r="I13" i="74"/>
  <c r="H13" i="74"/>
  <c r="G13" i="74"/>
  <c r="F13" i="74"/>
  <c r="E13" i="74"/>
  <c r="D13" i="74"/>
  <c r="B13" i="74"/>
  <c r="M12" i="74"/>
  <c r="L12" i="74"/>
  <c r="K12" i="74"/>
  <c r="K10" i="74" s="1"/>
  <c r="J12" i="74"/>
  <c r="I12" i="74"/>
  <c r="I10" i="74" s="1"/>
  <c r="I22" i="74" s="1"/>
  <c r="H12" i="74"/>
  <c r="H10" i="74" s="1"/>
  <c r="G12" i="74"/>
  <c r="F12" i="74"/>
  <c r="E12" i="74"/>
  <c r="D12" i="74"/>
  <c r="Q12" i="74" s="1"/>
  <c r="B12" i="74"/>
  <c r="M11" i="74"/>
  <c r="L11" i="74"/>
  <c r="L10" i="74" s="1"/>
  <c r="L22" i="74" s="1"/>
  <c r="K11" i="74"/>
  <c r="J11" i="74"/>
  <c r="I11" i="74"/>
  <c r="H11" i="74"/>
  <c r="G11" i="74"/>
  <c r="F11" i="74"/>
  <c r="E11" i="74"/>
  <c r="D11" i="74"/>
  <c r="B11" i="74"/>
  <c r="O10" i="74"/>
  <c r="O22" i="74" s="1"/>
  <c r="N10" i="74"/>
  <c r="N22" i="74" s="1"/>
  <c r="N88" i="74" s="1"/>
  <c r="M10" i="74"/>
  <c r="M22" i="74" s="1"/>
  <c r="J10" i="74"/>
  <c r="J22" i="74" s="1"/>
  <c r="F10" i="74"/>
  <c r="F22" i="74" s="1"/>
  <c r="F88" i="74" s="1"/>
  <c r="E10" i="74"/>
  <c r="E22" i="74" s="1"/>
  <c r="O8" i="74"/>
  <c r="N8" i="74"/>
  <c r="M8" i="74"/>
  <c r="L8" i="74"/>
  <c r="K8" i="74"/>
  <c r="J8" i="74"/>
  <c r="I8" i="74"/>
  <c r="H8" i="74"/>
  <c r="G8" i="74"/>
  <c r="F8" i="74"/>
  <c r="E8" i="74"/>
  <c r="D8" i="74"/>
  <c r="B5" i="74"/>
  <c r="Q90" i="73"/>
  <c r="M85" i="73"/>
  <c r="L85" i="73"/>
  <c r="K85" i="73"/>
  <c r="J85" i="73"/>
  <c r="I85" i="73"/>
  <c r="H85" i="73"/>
  <c r="G85" i="73"/>
  <c r="F85" i="73"/>
  <c r="E85" i="73"/>
  <c r="D85" i="73"/>
  <c r="Q83" i="73"/>
  <c r="B83" i="73"/>
  <c r="O82" i="73"/>
  <c r="N82" i="73"/>
  <c r="M82" i="73"/>
  <c r="L82" i="73"/>
  <c r="K82" i="73"/>
  <c r="J82" i="73"/>
  <c r="I82" i="73"/>
  <c r="H82" i="73"/>
  <c r="Q82" i="73" s="1"/>
  <c r="G82" i="73"/>
  <c r="F82" i="73"/>
  <c r="E82" i="73"/>
  <c r="D82" i="73"/>
  <c r="B82" i="73"/>
  <c r="Q81" i="73"/>
  <c r="B81" i="73"/>
  <c r="O80" i="73"/>
  <c r="N80" i="73"/>
  <c r="M80" i="73"/>
  <c r="L80" i="73"/>
  <c r="K80" i="73"/>
  <c r="J80" i="73"/>
  <c r="I80" i="73"/>
  <c r="H80" i="73"/>
  <c r="Q80" i="73" s="1"/>
  <c r="G80" i="73"/>
  <c r="F80" i="73"/>
  <c r="E80" i="73"/>
  <c r="D80" i="73"/>
  <c r="B80" i="73"/>
  <c r="Q79" i="73"/>
  <c r="B79" i="73"/>
  <c r="Q78" i="73"/>
  <c r="B78" i="73"/>
  <c r="O77" i="73"/>
  <c r="N77" i="73"/>
  <c r="M77" i="73"/>
  <c r="L77" i="73"/>
  <c r="K77" i="73"/>
  <c r="J77" i="73"/>
  <c r="I77" i="73"/>
  <c r="H77" i="73"/>
  <c r="G77" i="73"/>
  <c r="F77" i="73"/>
  <c r="E77" i="73"/>
  <c r="D77" i="73"/>
  <c r="B77" i="73"/>
  <c r="Q76" i="73"/>
  <c r="B76" i="73"/>
  <c r="Q75" i="73"/>
  <c r="B75" i="73"/>
  <c r="Q74" i="73"/>
  <c r="B74" i="73"/>
  <c r="Q73" i="73"/>
  <c r="B73" i="73"/>
  <c r="Q72" i="73"/>
  <c r="B72" i="73"/>
  <c r="Q71" i="73"/>
  <c r="B71" i="73"/>
  <c r="O70" i="73"/>
  <c r="N70" i="73"/>
  <c r="M70" i="73"/>
  <c r="L70" i="73"/>
  <c r="K70" i="73"/>
  <c r="J70" i="73"/>
  <c r="I70" i="73"/>
  <c r="H70" i="73"/>
  <c r="G70" i="73"/>
  <c r="F70" i="73"/>
  <c r="E70" i="73"/>
  <c r="D70" i="73"/>
  <c r="B70" i="73"/>
  <c r="Q69" i="73"/>
  <c r="B69" i="73"/>
  <c r="Q68" i="73"/>
  <c r="B68" i="73"/>
  <c r="Q67" i="73"/>
  <c r="B67" i="73"/>
  <c r="O66" i="73"/>
  <c r="N66" i="73"/>
  <c r="M66" i="73"/>
  <c r="L66" i="73"/>
  <c r="K66" i="73"/>
  <c r="K22" i="73" s="1" a="1"/>
  <c r="K22" i="73" s="1"/>
  <c r="J66" i="73"/>
  <c r="I66" i="73"/>
  <c r="H66" i="73"/>
  <c r="G66" i="73"/>
  <c r="F66" i="73"/>
  <c r="E66" i="73"/>
  <c r="D66" i="73"/>
  <c r="B66" i="73"/>
  <c r="Q65" i="73"/>
  <c r="B65" i="73"/>
  <c r="Q64" i="73"/>
  <c r="B64" i="73"/>
  <c r="O63" i="73"/>
  <c r="N63" i="73"/>
  <c r="M63" i="73"/>
  <c r="L63" i="73"/>
  <c r="K63" i="73"/>
  <c r="J63" i="73"/>
  <c r="I63" i="73"/>
  <c r="H63" i="73"/>
  <c r="G63" i="73"/>
  <c r="F63" i="73"/>
  <c r="E63" i="73"/>
  <c r="D63" i="73"/>
  <c r="B63" i="73"/>
  <c r="Q62" i="73"/>
  <c r="B62" i="73"/>
  <c r="O61" i="73"/>
  <c r="N61" i="73"/>
  <c r="M61" i="73"/>
  <c r="L61" i="73"/>
  <c r="K61" i="73"/>
  <c r="J61" i="73"/>
  <c r="I61" i="73"/>
  <c r="H61" i="73"/>
  <c r="G61" i="73"/>
  <c r="F61" i="73"/>
  <c r="E61" i="73"/>
  <c r="D61" i="73"/>
  <c r="Q61" i="73" s="1"/>
  <c r="B61" i="73"/>
  <c r="Q60" i="73"/>
  <c r="B60" i="73"/>
  <c r="O59" i="73"/>
  <c r="N59" i="73"/>
  <c r="M59" i="73"/>
  <c r="L59" i="73"/>
  <c r="K59" i="73"/>
  <c r="J59" i="73"/>
  <c r="I59" i="73"/>
  <c r="H59" i="73"/>
  <c r="G59" i="73"/>
  <c r="F59" i="73"/>
  <c r="E59" i="73"/>
  <c r="D59" i="73"/>
  <c r="B59" i="73"/>
  <c r="Q58" i="73"/>
  <c r="B58" i="73"/>
  <c r="O57" i="73"/>
  <c r="N57" i="73"/>
  <c r="M57" i="73"/>
  <c r="L57" i="73"/>
  <c r="K57" i="73"/>
  <c r="J57" i="73"/>
  <c r="I57" i="73"/>
  <c r="H57" i="73"/>
  <c r="G57" i="73"/>
  <c r="F57" i="73"/>
  <c r="E57" i="73"/>
  <c r="D57" i="73"/>
  <c r="Q57" i="73" s="1"/>
  <c r="B57" i="73"/>
  <c r="Q56" i="73"/>
  <c r="B56" i="73"/>
  <c r="O55" i="73"/>
  <c r="N55" i="73"/>
  <c r="M55" i="73"/>
  <c r="L55" i="73"/>
  <c r="K55" i="73"/>
  <c r="J55" i="73"/>
  <c r="I55" i="73"/>
  <c r="H55" i="73"/>
  <c r="G55" i="73"/>
  <c r="F55" i="73"/>
  <c r="E55" i="73"/>
  <c r="D55" i="73"/>
  <c r="B55" i="73"/>
  <c r="Q54" i="73"/>
  <c r="B54" i="73"/>
  <c r="O53" i="73"/>
  <c r="N53" i="73"/>
  <c r="M53" i="73"/>
  <c r="L53" i="73"/>
  <c r="K53" i="73"/>
  <c r="J53" i="73"/>
  <c r="J22" i="73" s="1" a="1"/>
  <c r="J22" i="73" s="1"/>
  <c r="I53" i="73"/>
  <c r="H53" i="73"/>
  <c r="G53" i="73"/>
  <c r="F53" i="73"/>
  <c r="E53" i="73"/>
  <c r="D53" i="73"/>
  <c r="B53" i="73"/>
  <c r="Q52" i="73"/>
  <c r="B52" i="73"/>
  <c r="Q51" i="73"/>
  <c r="B51" i="73"/>
  <c r="O50" i="73"/>
  <c r="N50" i="73"/>
  <c r="M50" i="73"/>
  <c r="L50" i="73"/>
  <c r="K50" i="73"/>
  <c r="J50" i="73"/>
  <c r="I50" i="73"/>
  <c r="H50" i="73"/>
  <c r="G50" i="73"/>
  <c r="F50" i="73"/>
  <c r="E50" i="73"/>
  <c r="D50" i="73"/>
  <c r="B50" i="73"/>
  <c r="Q49" i="73"/>
  <c r="B49" i="73"/>
  <c r="O48" i="73"/>
  <c r="N48" i="73"/>
  <c r="M48" i="73"/>
  <c r="L48" i="73"/>
  <c r="K48" i="73"/>
  <c r="J48" i="73"/>
  <c r="I48" i="73"/>
  <c r="H48" i="73"/>
  <c r="G48" i="73"/>
  <c r="F48" i="73"/>
  <c r="E48" i="73"/>
  <c r="D48" i="73"/>
  <c r="B48" i="73"/>
  <c r="Q47" i="73"/>
  <c r="B47" i="73"/>
  <c r="O46" i="73"/>
  <c r="N46" i="73"/>
  <c r="M46" i="73"/>
  <c r="L46" i="73"/>
  <c r="K46" i="73"/>
  <c r="J46" i="73"/>
  <c r="I46" i="73"/>
  <c r="H46" i="73"/>
  <c r="G46" i="73"/>
  <c r="F46" i="73"/>
  <c r="E46" i="73"/>
  <c r="D46" i="73"/>
  <c r="B46" i="73"/>
  <c r="Q45" i="73"/>
  <c r="B45" i="73"/>
  <c r="O44" i="73"/>
  <c r="N44" i="73"/>
  <c r="M44" i="73"/>
  <c r="L44" i="73"/>
  <c r="L22" i="73" s="1" a="1"/>
  <c r="K44" i="73"/>
  <c r="J44" i="73"/>
  <c r="I44" i="73"/>
  <c r="H44" i="73"/>
  <c r="G44" i="73"/>
  <c r="F44" i="73"/>
  <c r="E44" i="73"/>
  <c r="D44" i="73"/>
  <c r="B44" i="73"/>
  <c r="Q43" i="73"/>
  <c r="B43" i="73"/>
  <c r="Q42" i="73"/>
  <c r="B42" i="73"/>
  <c r="Q41" i="73"/>
  <c r="B41" i="73"/>
  <c r="Q40" i="73"/>
  <c r="B40" i="73"/>
  <c r="Q39" i="73"/>
  <c r="B39" i="73"/>
  <c r="Q38" i="73"/>
  <c r="B38" i="73"/>
  <c r="Q37" i="73"/>
  <c r="B37" i="73"/>
  <c r="Q36" i="73"/>
  <c r="B36" i="73"/>
  <c r="Q35" i="73"/>
  <c r="B35" i="73"/>
  <c r="Q34" i="73"/>
  <c r="B34" i="73"/>
  <c r="O33" i="73"/>
  <c r="N33" i="73"/>
  <c r="M33" i="73"/>
  <c r="L33" i="73"/>
  <c r="K33" i="73"/>
  <c r="J33" i="73"/>
  <c r="I33" i="73"/>
  <c r="H33" i="73"/>
  <c r="G33" i="73"/>
  <c r="F33" i="73"/>
  <c r="E33" i="73"/>
  <c r="D33" i="73"/>
  <c r="B33" i="73"/>
  <c r="Q32" i="73"/>
  <c r="B32" i="73"/>
  <c r="Q31" i="73"/>
  <c r="B31" i="73"/>
  <c r="Q30" i="73"/>
  <c r="B30" i="73"/>
  <c r="Q29" i="73"/>
  <c r="B29" i="73"/>
  <c r="Q28" i="73"/>
  <c r="B28" i="73"/>
  <c r="Q27" i="73"/>
  <c r="B27" i="73"/>
  <c r="Q26" i="73"/>
  <c r="B26" i="73"/>
  <c r="Q25" i="73"/>
  <c r="B25" i="73"/>
  <c r="Q24" i="73"/>
  <c r="B24" i="73"/>
  <c r="O23" i="73"/>
  <c r="N23" i="73"/>
  <c r="N22" i="73" s="1" a="1"/>
  <c r="N22" i="73" s="1"/>
  <c r="M23" i="73"/>
  <c r="L23" i="73"/>
  <c r="K23" i="73"/>
  <c r="J23" i="73"/>
  <c r="I23" i="73"/>
  <c r="H23" i="73"/>
  <c r="G23" i="73"/>
  <c r="F23" i="73"/>
  <c r="F22" i="73" s="1" a="1"/>
  <c r="F22" i="73" s="1"/>
  <c r="E23" i="73"/>
  <c r="D23" i="73"/>
  <c r="B23" i="73"/>
  <c r="L22" i="73"/>
  <c r="N19" i="73"/>
  <c r="K19" i="73"/>
  <c r="Q17" i="73"/>
  <c r="B17" i="73"/>
  <c r="Q16" i="73"/>
  <c r="B16" i="73"/>
  <c r="Q15" i="73"/>
  <c r="B15" i="73"/>
  <c r="O14" i="73"/>
  <c r="N14" i="73"/>
  <c r="M14" i="73"/>
  <c r="L14" i="73"/>
  <c r="K14" i="73"/>
  <c r="J14" i="73"/>
  <c r="I14" i="73"/>
  <c r="H14" i="73"/>
  <c r="G14" i="73"/>
  <c r="F14" i="73"/>
  <c r="E14" i="73"/>
  <c r="D14" i="73"/>
  <c r="M12" i="73"/>
  <c r="L12" i="73"/>
  <c r="L10" i="73" s="1"/>
  <c r="L19" i="73" s="1"/>
  <c r="K12" i="73"/>
  <c r="J12" i="73"/>
  <c r="I12" i="73"/>
  <c r="H12" i="73"/>
  <c r="G12" i="73"/>
  <c r="F12" i="73"/>
  <c r="E12" i="73"/>
  <c r="D12" i="73"/>
  <c r="B12" i="73"/>
  <c r="M11" i="73"/>
  <c r="M10" i="73" s="1"/>
  <c r="M19" i="73" s="1"/>
  <c r="L11" i="73"/>
  <c r="K11" i="73"/>
  <c r="J11" i="73"/>
  <c r="I11" i="73"/>
  <c r="H11" i="73"/>
  <c r="H10" i="73" s="1"/>
  <c r="H19" i="73" s="1"/>
  <c r="G11" i="73"/>
  <c r="F11" i="73"/>
  <c r="E11" i="73"/>
  <c r="D11" i="73"/>
  <c r="B11" i="73"/>
  <c r="O10" i="73"/>
  <c r="O19" i="73" s="1"/>
  <c r="N10" i="73"/>
  <c r="K10" i="73"/>
  <c r="J10" i="73"/>
  <c r="J19" i="73" s="1"/>
  <c r="G10" i="73"/>
  <c r="G19" i="73" s="1"/>
  <c r="F10" i="73"/>
  <c r="F19" i="73" s="1"/>
  <c r="O8" i="73"/>
  <c r="N8" i="73"/>
  <c r="M8" i="73"/>
  <c r="L8" i="73"/>
  <c r="K8" i="73"/>
  <c r="J8" i="73"/>
  <c r="I8" i="73"/>
  <c r="H8" i="73"/>
  <c r="G8" i="73"/>
  <c r="F8" i="73"/>
  <c r="E8" i="73"/>
  <c r="D8" i="73"/>
  <c r="B5" i="73"/>
  <c r="L29" i="72"/>
  <c r="Q27" i="72"/>
  <c r="J24" i="72"/>
  <c r="J29" i="72" s="1"/>
  <c r="M22" i="72"/>
  <c r="L22" i="72"/>
  <c r="K22" i="72"/>
  <c r="J22" i="72"/>
  <c r="I22" i="72"/>
  <c r="H22" i="72"/>
  <c r="G22" i="72"/>
  <c r="F22" i="72"/>
  <c r="E22" i="72"/>
  <c r="Q22" i="72" s="1"/>
  <c r="D22" i="72"/>
  <c r="Q20" i="72"/>
  <c r="O20" i="72"/>
  <c r="N20" i="72"/>
  <c r="M20" i="72"/>
  <c r="L20" i="72"/>
  <c r="K20" i="72"/>
  <c r="J20" i="72"/>
  <c r="I20" i="72"/>
  <c r="H20" i="72"/>
  <c r="G20" i="72"/>
  <c r="F20" i="72"/>
  <c r="E20" i="72"/>
  <c r="D20" i="72"/>
  <c r="L18" i="72"/>
  <c r="L17" i="72"/>
  <c r="L24" i="72" s="1"/>
  <c r="L25" i="72" s="1"/>
  <c r="I17" i="72"/>
  <c r="D17" i="72"/>
  <c r="Q15" i="72"/>
  <c r="B15" i="72"/>
  <c r="Q14" i="72"/>
  <c r="O14" i="72"/>
  <c r="N14" i="72"/>
  <c r="M14" i="72"/>
  <c r="L14" i="72"/>
  <c r="K14" i="72"/>
  <c r="J14" i="72"/>
  <c r="I14" i="72"/>
  <c r="H14" i="72"/>
  <c r="G14" i="72"/>
  <c r="F14" i="72"/>
  <c r="E14" i="72"/>
  <c r="D14" i="72"/>
  <c r="M12" i="72"/>
  <c r="L12" i="72"/>
  <c r="K12" i="72"/>
  <c r="K10" i="72" s="1"/>
  <c r="J12" i="72"/>
  <c r="I12" i="72"/>
  <c r="H12" i="72"/>
  <c r="G12" i="72"/>
  <c r="F12" i="72"/>
  <c r="F10" i="72" s="1"/>
  <c r="F17" i="72" s="1"/>
  <c r="E12" i="72"/>
  <c r="D12" i="72"/>
  <c r="B12" i="72"/>
  <c r="M11" i="72"/>
  <c r="L11" i="72"/>
  <c r="K11" i="72"/>
  <c r="J11" i="72"/>
  <c r="J10" i="72" s="1"/>
  <c r="J17" i="72" s="1"/>
  <c r="J18" i="72" s="1"/>
  <c r="I11" i="72"/>
  <c r="H11" i="72"/>
  <c r="G11" i="72"/>
  <c r="G10" i="72" s="1"/>
  <c r="G17" i="72" s="1"/>
  <c r="G18" i="72" s="1"/>
  <c r="F11" i="72"/>
  <c r="E11" i="72"/>
  <c r="D11" i="72"/>
  <c r="B11" i="72"/>
  <c r="O10" i="72"/>
  <c r="O17" i="72" s="1"/>
  <c r="O24" i="72" s="1"/>
  <c r="N10" i="72"/>
  <c r="N17" i="72" s="1"/>
  <c r="M10" i="72"/>
  <c r="M17" i="72" s="1"/>
  <c r="L10" i="72"/>
  <c r="I10" i="72"/>
  <c r="H10" i="72"/>
  <c r="E10" i="72"/>
  <c r="E17" i="72" s="1"/>
  <c r="D10" i="72"/>
  <c r="O8" i="72"/>
  <c r="N8" i="72"/>
  <c r="M8" i="72"/>
  <c r="L8" i="72"/>
  <c r="K8" i="72"/>
  <c r="J8" i="72"/>
  <c r="I8" i="72"/>
  <c r="H8" i="72"/>
  <c r="G8" i="72"/>
  <c r="F8" i="72"/>
  <c r="E8" i="72"/>
  <c r="D8" i="72"/>
  <c r="B5" i="72"/>
  <c r="Q26" i="71"/>
  <c r="K23" i="71"/>
  <c r="M21" i="71"/>
  <c r="L21" i="71"/>
  <c r="K21" i="71"/>
  <c r="J21" i="71"/>
  <c r="I21" i="71"/>
  <c r="H21" i="71"/>
  <c r="G21" i="71"/>
  <c r="F21" i="71"/>
  <c r="E21" i="71"/>
  <c r="D21" i="71"/>
  <c r="Q19" i="71"/>
  <c r="B19" i="71"/>
  <c r="O18" i="71"/>
  <c r="O17" i="71" s="1"/>
  <c r="N18" i="71"/>
  <c r="N17" i="71" s="1"/>
  <c r="M18" i="71"/>
  <c r="M17" i="71" s="1"/>
  <c r="M23" i="71" s="1"/>
  <c r="L18" i="71"/>
  <c r="K18" i="71"/>
  <c r="J18" i="71"/>
  <c r="I18" i="71"/>
  <c r="H18" i="71"/>
  <c r="H17" i="71" s="1"/>
  <c r="G18" i="71"/>
  <c r="G17" i="71" s="1"/>
  <c r="F18" i="71"/>
  <c r="F17" i="71" s="1"/>
  <c r="E18" i="71"/>
  <c r="D18" i="71"/>
  <c r="B18" i="71"/>
  <c r="L17" i="71"/>
  <c r="K17" i="71"/>
  <c r="J17" i="71"/>
  <c r="I17" i="71"/>
  <c r="E17" i="71"/>
  <c r="E23" i="71" s="1"/>
  <c r="D17" i="71"/>
  <c r="N14" i="71"/>
  <c r="N15" i="71" s="1"/>
  <c r="M14" i="71"/>
  <c r="M15" i="71" s="1"/>
  <c r="G14" i="71"/>
  <c r="F14" i="71"/>
  <c r="F15" i="71" s="1"/>
  <c r="E14" i="71"/>
  <c r="E15" i="71" s="1"/>
  <c r="Q12" i="71"/>
  <c r="O12" i="71"/>
  <c r="N12" i="71"/>
  <c r="M12" i="71"/>
  <c r="L12" i="71"/>
  <c r="L14" i="71" s="1"/>
  <c r="K12" i="71"/>
  <c r="J12" i="71"/>
  <c r="I12" i="71"/>
  <c r="H12" i="71"/>
  <c r="G12" i="71"/>
  <c r="F12" i="71"/>
  <c r="E12" i="71"/>
  <c r="D12" i="71"/>
  <c r="D14" i="71" s="1"/>
  <c r="Q10" i="71"/>
  <c r="Q14" i="71" s="1"/>
  <c r="Q15" i="71" s="1"/>
  <c r="O10" i="71"/>
  <c r="O14" i="71" s="1"/>
  <c r="N10" i="71"/>
  <c r="M10" i="71"/>
  <c r="L10" i="71"/>
  <c r="K10" i="71"/>
  <c r="K14" i="71" s="1"/>
  <c r="K15" i="71" s="1"/>
  <c r="J10" i="71"/>
  <c r="J14" i="71" s="1"/>
  <c r="I10" i="71"/>
  <c r="I14" i="71" s="1"/>
  <c r="H10" i="71"/>
  <c r="H14" i="71" s="1"/>
  <c r="H15" i="71" s="1"/>
  <c r="G10" i="71"/>
  <c r="F10" i="71"/>
  <c r="E10" i="71"/>
  <c r="D10" i="71"/>
  <c r="O8" i="71"/>
  <c r="N8" i="71"/>
  <c r="M8" i="71"/>
  <c r="L8" i="71"/>
  <c r="K8" i="71"/>
  <c r="J8" i="71"/>
  <c r="I8" i="71"/>
  <c r="H8" i="71"/>
  <c r="G8" i="71"/>
  <c r="F8" i="71"/>
  <c r="E8" i="71"/>
  <c r="D8" i="71"/>
  <c r="B5" i="71"/>
  <c r="Q79" i="70"/>
  <c r="M74" i="70"/>
  <c r="L74" i="70"/>
  <c r="K74" i="70"/>
  <c r="J74" i="70"/>
  <c r="I74" i="70"/>
  <c r="H74" i="70"/>
  <c r="G74" i="70"/>
  <c r="F74" i="70"/>
  <c r="Q74" i="70" s="1"/>
  <c r="E74" i="70"/>
  <c r="D74" i="70"/>
  <c r="Q72" i="70"/>
  <c r="B72" i="70"/>
  <c r="O71" i="70"/>
  <c r="N71" i="70"/>
  <c r="M71" i="70"/>
  <c r="L71" i="70"/>
  <c r="K71" i="70"/>
  <c r="J71" i="70"/>
  <c r="I71" i="70"/>
  <c r="H71" i="70"/>
  <c r="G71" i="70"/>
  <c r="F71" i="70"/>
  <c r="E71" i="70"/>
  <c r="D71" i="70"/>
  <c r="Q71" i="70" s="1"/>
  <c r="B71" i="70"/>
  <c r="Q70" i="70"/>
  <c r="B70" i="70"/>
  <c r="O69" i="70"/>
  <c r="N69" i="70"/>
  <c r="M69" i="70"/>
  <c r="L69" i="70"/>
  <c r="K69" i="70"/>
  <c r="J69" i="70"/>
  <c r="I69" i="70"/>
  <c r="H69" i="70"/>
  <c r="G69" i="70"/>
  <c r="F69" i="70"/>
  <c r="E69" i="70"/>
  <c r="D69" i="70"/>
  <c r="Q69" i="70" s="1"/>
  <c r="B69" i="70"/>
  <c r="Q68" i="70"/>
  <c r="B68" i="70"/>
  <c r="Q67" i="70"/>
  <c r="B67" i="70"/>
  <c r="Q66" i="70"/>
  <c r="B66" i="70"/>
  <c r="Q65" i="70"/>
  <c r="B65" i="70"/>
  <c r="O64" i="70"/>
  <c r="N64" i="70"/>
  <c r="M64" i="70"/>
  <c r="L64" i="70"/>
  <c r="K64" i="70"/>
  <c r="J64" i="70"/>
  <c r="I64" i="70"/>
  <c r="H64" i="70"/>
  <c r="G64" i="70"/>
  <c r="F64" i="70"/>
  <c r="E64" i="70"/>
  <c r="D64" i="70"/>
  <c r="B64" i="70"/>
  <c r="Q63" i="70"/>
  <c r="B63" i="70"/>
  <c r="Q62" i="70"/>
  <c r="B62" i="70"/>
  <c r="Q61" i="70"/>
  <c r="B61" i="70"/>
  <c r="O60" i="70"/>
  <c r="N60" i="70"/>
  <c r="M60" i="70"/>
  <c r="L60" i="70"/>
  <c r="K60" i="70"/>
  <c r="J60" i="70"/>
  <c r="I60" i="70"/>
  <c r="H60" i="70"/>
  <c r="G60" i="70"/>
  <c r="F60" i="70"/>
  <c r="E60" i="70"/>
  <c r="D60" i="70"/>
  <c r="B60" i="70"/>
  <c r="Q59" i="70"/>
  <c r="B59" i="70"/>
  <c r="Q58" i="70"/>
  <c r="B58" i="70"/>
  <c r="O57" i="70"/>
  <c r="N57" i="70"/>
  <c r="M57" i="70"/>
  <c r="L57" i="70"/>
  <c r="K57" i="70"/>
  <c r="J57" i="70"/>
  <c r="J21" i="70" s="1" a="1"/>
  <c r="J21" i="70" s="1"/>
  <c r="I57" i="70"/>
  <c r="H57" i="70"/>
  <c r="G57" i="70"/>
  <c r="F57" i="70"/>
  <c r="E57" i="70"/>
  <c r="D57" i="70"/>
  <c r="Q57" i="70" s="1"/>
  <c r="B57" i="70"/>
  <c r="Q56" i="70"/>
  <c r="B56" i="70"/>
  <c r="Q55" i="70"/>
  <c r="B55" i="70"/>
  <c r="O54" i="70"/>
  <c r="N54" i="70"/>
  <c r="M54" i="70"/>
  <c r="L54" i="70"/>
  <c r="K54" i="70"/>
  <c r="J54" i="70"/>
  <c r="I54" i="70"/>
  <c r="H54" i="70"/>
  <c r="G54" i="70"/>
  <c r="F54" i="70"/>
  <c r="E54" i="70"/>
  <c r="D54" i="70"/>
  <c r="B54" i="70"/>
  <c r="Q53" i="70"/>
  <c r="B53" i="70"/>
  <c r="O52" i="70"/>
  <c r="N52" i="70"/>
  <c r="M52" i="70"/>
  <c r="L52" i="70"/>
  <c r="K52" i="70"/>
  <c r="J52" i="70"/>
  <c r="I52" i="70"/>
  <c r="H52" i="70"/>
  <c r="G52" i="70"/>
  <c r="F52" i="70"/>
  <c r="E52" i="70"/>
  <c r="D52" i="70"/>
  <c r="Q52" i="70" s="1"/>
  <c r="B52" i="70"/>
  <c r="Q51" i="70"/>
  <c r="B51" i="70"/>
  <c r="O50" i="70"/>
  <c r="N50" i="70"/>
  <c r="M50" i="70"/>
  <c r="L50" i="70"/>
  <c r="K50" i="70"/>
  <c r="J50" i="70"/>
  <c r="I50" i="70"/>
  <c r="H50" i="70"/>
  <c r="G50" i="70"/>
  <c r="F50" i="70"/>
  <c r="E50" i="70"/>
  <c r="D50" i="70"/>
  <c r="B50" i="70"/>
  <c r="Q49" i="70"/>
  <c r="B49" i="70"/>
  <c r="O48" i="70"/>
  <c r="N48" i="70"/>
  <c r="M48" i="70"/>
  <c r="L48" i="70"/>
  <c r="K48" i="70"/>
  <c r="J48" i="70"/>
  <c r="I48" i="70"/>
  <c r="H48" i="70"/>
  <c r="G48" i="70"/>
  <c r="F48" i="70"/>
  <c r="E48" i="70"/>
  <c r="D48" i="70"/>
  <c r="B48" i="70"/>
  <c r="Q47" i="70"/>
  <c r="B47" i="70"/>
  <c r="O46" i="70"/>
  <c r="N46" i="70"/>
  <c r="M46" i="70"/>
  <c r="L46" i="70"/>
  <c r="K46" i="70"/>
  <c r="J46" i="70"/>
  <c r="I46" i="70"/>
  <c r="H46" i="70"/>
  <c r="G46" i="70"/>
  <c r="F46" i="70"/>
  <c r="E46" i="70"/>
  <c r="D46" i="70"/>
  <c r="Q46" i="70" s="1"/>
  <c r="B46" i="70"/>
  <c r="Q45" i="70"/>
  <c r="B45" i="70"/>
  <c r="O44" i="70"/>
  <c r="N44" i="70"/>
  <c r="M44" i="70"/>
  <c r="L44" i="70"/>
  <c r="L21" i="70" s="1" a="1"/>
  <c r="K44" i="70"/>
  <c r="J44" i="70"/>
  <c r="I44" i="70"/>
  <c r="H44" i="70"/>
  <c r="G44" i="70"/>
  <c r="F44" i="70"/>
  <c r="E44" i="70"/>
  <c r="D44" i="70"/>
  <c r="B44" i="70"/>
  <c r="Q43" i="70"/>
  <c r="B43" i="70"/>
  <c r="Q42" i="70"/>
  <c r="B42" i="70"/>
  <c r="Q41" i="70"/>
  <c r="B41" i="70"/>
  <c r="Q40" i="70"/>
  <c r="B40" i="70"/>
  <c r="Q39" i="70"/>
  <c r="B39" i="70"/>
  <c r="Q38" i="70"/>
  <c r="B38" i="70"/>
  <c r="Q37" i="70"/>
  <c r="B37" i="70"/>
  <c r="Q36" i="70"/>
  <c r="B36" i="70"/>
  <c r="Q35" i="70"/>
  <c r="B35" i="70"/>
  <c r="Q34" i="70"/>
  <c r="B34" i="70"/>
  <c r="O33" i="70"/>
  <c r="N33" i="70"/>
  <c r="N21" i="70" s="1" a="1"/>
  <c r="N21" i="70" s="1"/>
  <c r="M33" i="70"/>
  <c r="L33" i="70"/>
  <c r="K33" i="70"/>
  <c r="J33" i="70"/>
  <c r="I33" i="70"/>
  <c r="H33" i="70"/>
  <c r="G33" i="70"/>
  <c r="F33" i="70"/>
  <c r="F21" i="70" s="1" a="1"/>
  <c r="F21" i="70" s="1"/>
  <c r="E33" i="70"/>
  <c r="D33" i="70"/>
  <c r="B33" i="70"/>
  <c r="Q32" i="70"/>
  <c r="B32" i="70"/>
  <c r="Q31" i="70"/>
  <c r="B31" i="70"/>
  <c r="Q30" i="70"/>
  <c r="B30" i="70"/>
  <c r="Q29" i="70"/>
  <c r="B29" i="70"/>
  <c r="Q28" i="70"/>
  <c r="B28" i="70"/>
  <c r="Q27" i="70"/>
  <c r="B27" i="70"/>
  <c r="Q26" i="70"/>
  <c r="B26" i="70"/>
  <c r="Q25" i="70"/>
  <c r="B25" i="70"/>
  <c r="Q24" i="70"/>
  <c r="B24" i="70"/>
  <c r="Q23" i="70"/>
  <c r="B23" i="70"/>
  <c r="O22" i="70"/>
  <c r="N22" i="70"/>
  <c r="M22" i="70"/>
  <c r="L22" i="70"/>
  <c r="K22" i="70"/>
  <c r="J22" i="70"/>
  <c r="I22" i="70"/>
  <c r="I21" i="70" s="1" a="1"/>
  <c r="I21" i="70" s="1"/>
  <c r="H22" i="70"/>
  <c r="H21" i="70" s="1" a="1"/>
  <c r="H21" i="70" s="1"/>
  <c r="G22" i="70"/>
  <c r="F22" i="70"/>
  <c r="E22" i="70"/>
  <c r="D22" i="70"/>
  <c r="B22" i="70"/>
  <c r="L21" i="70"/>
  <c r="I19" i="70"/>
  <c r="N18" i="70"/>
  <c r="Q16" i="70"/>
  <c r="B16" i="70"/>
  <c r="Q15" i="70"/>
  <c r="Q14" i="70" s="1"/>
  <c r="B15" i="70"/>
  <c r="O14" i="70"/>
  <c r="N14" i="70"/>
  <c r="M14" i="70"/>
  <c r="L14" i="70"/>
  <c r="K14" i="70"/>
  <c r="J14" i="70"/>
  <c r="I14" i="70"/>
  <c r="H14" i="70"/>
  <c r="G14" i="70"/>
  <c r="F14" i="70"/>
  <c r="E14" i="70"/>
  <c r="D14" i="70"/>
  <c r="M12" i="70"/>
  <c r="L12" i="70"/>
  <c r="K12" i="70"/>
  <c r="J12" i="70"/>
  <c r="I12" i="70"/>
  <c r="H12" i="70"/>
  <c r="G12" i="70"/>
  <c r="F12" i="70"/>
  <c r="E12" i="70"/>
  <c r="D12" i="70"/>
  <c r="B12" i="70"/>
  <c r="M11" i="70"/>
  <c r="M10" i="70" s="1"/>
  <c r="M18" i="70" s="1"/>
  <c r="L11" i="70"/>
  <c r="L10" i="70" s="1"/>
  <c r="L18" i="70" s="1"/>
  <c r="K11" i="70"/>
  <c r="J11" i="70"/>
  <c r="I11" i="70"/>
  <c r="I10" i="70" s="1"/>
  <c r="I18" i="70" s="1"/>
  <c r="H11" i="70"/>
  <c r="G11" i="70"/>
  <c r="G10" i="70" s="1"/>
  <c r="G18" i="70" s="1"/>
  <c r="F11" i="70"/>
  <c r="F10" i="70" s="1"/>
  <c r="F18" i="70" s="1"/>
  <c r="E11" i="70"/>
  <c r="E10" i="70" s="1"/>
  <c r="E18" i="70" s="1"/>
  <c r="D11" i="70"/>
  <c r="B11" i="70"/>
  <c r="O10" i="70"/>
  <c r="N10" i="70"/>
  <c r="K10" i="70"/>
  <c r="K18" i="70" s="1"/>
  <c r="J10" i="70"/>
  <c r="J18" i="70" s="1"/>
  <c r="D10" i="70"/>
  <c r="D18" i="70" s="1"/>
  <c r="O8" i="70"/>
  <c r="N8" i="70"/>
  <c r="M8" i="70"/>
  <c r="L8" i="70"/>
  <c r="K8" i="70"/>
  <c r="J8" i="70"/>
  <c r="I8" i="70"/>
  <c r="H8" i="70"/>
  <c r="G8" i="70"/>
  <c r="F8" i="70"/>
  <c r="E8" i="70"/>
  <c r="D8" i="70"/>
  <c r="B5" i="70"/>
  <c r="Q80" i="69"/>
  <c r="N77" i="69"/>
  <c r="M75" i="69"/>
  <c r="L75" i="69"/>
  <c r="K75" i="69"/>
  <c r="J75" i="69"/>
  <c r="I75" i="69"/>
  <c r="H75" i="69"/>
  <c r="G75" i="69"/>
  <c r="F75" i="69"/>
  <c r="E75" i="69"/>
  <c r="D75" i="69"/>
  <c r="Q73" i="69"/>
  <c r="B73" i="69"/>
  <c r="O72" i="69"/>
  <c r="N72" i="69"/>
  <c r="M72" i="69"/>
  <c r="L72" i="69"/>
  <c r="K72" i="69"/>
  <c r="J72" i="69"/>
  <c r="I72" i="69"/>
  <c r="I32" i="69" s="1" a="1"/>
  <c r="I32" i="69" s="1"/>
  <c r="H72" i="69"/>
  <c r="Q72" i="69" s="1"/>
  <c r="G72" i="69"/>
  <c r="F72" i="69"/>
  <c r="E72" i="69"/>
  <c r="D72" i="69"/>
  <c r="B72" i="69"/>
  <c r="Q71" i="69"/>
  <c r="B71" i="69"/>
  <c r="Q70" i="69"/>
  <c r="B70" i="69"/>
  <c r="O69" i="69"/>
  <c r="N69" i="69"/>
  <c r="M69" i="69"/>
  <c r="L69" i="69"/>
  <c r="K69" i="69"/>
  <c r="J69" i="69"/>
  <c r="I69" i="69"/>
  <c r="H69" i="69"/>
  <c r="G69" i="69"/>
  <c r="F69" i="69"/>
  <c r="E69" i="69"/>
  <c r="D69" i="69"/>
  <c r="Q69" i="69" s="1"/>
  <c r="B69" i="69"/>
  <c r="Q68" i="69"/>
  <c r="B68" i="69"/>
  <c r="O67" i="69"/>
  <c r="N67" i="69"/>
  <c r="M67" i="69"/>
  <c r="L67" i="69"/>
  <c r="K67" i="69"/>
  <c r="J67" i="69"/>
  <c r="I67" i="69"/>
  <c r="H67" i="69"/>
  <c r="G67" i="69"/>
  <c r="F67" i="69"/>
  <c r="E67" i="69"/>
  <c r="D67" i="69"/>
  <c r="Q67" i="69" s="1"/>
  <c r="B67" i="69"/>
  <c r="Q66" i="69"/>
  <c r="B66" i="69"/>
  <c r="O65" i="69"/>
  <c r="N65" i="69"/>
  <c r="M65" i="69"/>
  <c r="L65" i="69"/>
  <c r="K65" i="69"/>
  <c r="J65" i="69"/>
  <c r="I65" i="69"/>
  <c r="H65" i="69"/>
  <c r="G65" i="69"/>
  <c r="F65" i="69"/>
  <c r="E65" i="69"/>
  <c r="D65" i="69"/>
  <c r="B65" i="69"/>
  <c r="Q64" i="69"/>
  <c r="B64" i="69"/>
  <c r="O63" i="69"/>
  <c r="N63" i="69"/>
  <c r="M63" i="69"/>
  <c r="L63" i="69"/>
  <c r="K63" i="69"/>
  <c r="J63" i="69"/>
  <c r="I63" i="69"/>
  <c r="H63" i="69"/>
  <c r="G63" i="69"/>
  <c r="F63" i="69"/>
  <c r="E63" i="69"/>
  <c r="D63" i="69"/>
  <c r="Q63" i="69" s="1"/>
  <c r="B63" i="69"/>
  <c r="Q62" i="69"/>
  <c r="B62" i="69"/>
  <c r="O61" i="69"/>
  <c r="N61" i="69"/>
  <c r="M61" i="69"/>
  <c r="L61" i="69"/>
  <c r="K61" i="69"/>
  <c r="J61" i="69"/>
  <c r="I61" i="69"/>
  <c r="H61" i="69"/>
  <c r="G61" i="69"/>
  <c r="F61" i="69"/>
  <c r="E61" i="69"/>
  <c r="D61" i="69"/>
  <c r="Q61" i="69" s="1"/>
  <c r="B61" i="69"/>
  <c r="Q60" i="69"/>
  <c r="B60" i="69"/>
  <c r="O59" i="69"/>
  <c r="N59" i="69"/>
  <c r="M59" i="69"/>
  <c r="L59" i="69"/>
  <c r="K59" i="69"/>
  <c r="J59" i="69"/>
  <c r="I59" i="69"/>
  <c r="H59" i="69"/>
  <c r="G59" i="69"/>
  <c r="F59" i="69"/>
  <c r="E59" i="69"/>
  <c r="D59" i="69"/>
  <c r="B59" i="69"/>
  <c r="Q58" i="69"/>
  <c r="B58" i="69"/>
  <c r="O57" i="69"/>
  <c r="N57" i="69"/>
  <c r="M57" i="69"/>
  <c r="L57" i="69"/>
  <c r="K57" i="69"/>
  <c r="J57" i="69"/>
  <c r="I57" i="69"/>
  <c r="H57" i="69"/>
  <c r="G57" i="69"/>
  <c r="F57" i="69"/>
  <c r="E57" i="69"/>
  <c r="D57" i="69"/>
  <c r="B57" i="69"/>
  <c r="Q56" i="69"/>
  <c r="B56" i="69"/>
  <c r="O55" i="69"/>
  <c r="N55" i="69"/>
  <c r="M55" i="69"/>
  <c r="L55" i="69"/>
  <c r="K55" i="69"/>
  <c r="J55" i="69"/>
  <c r="I55" i="69"/>
  <c r="H55" i="69"/>
  <c r="G55" i="69"/>
  <c r="F55" i="69"/>
  <c r="E55" i="69"/>
  <c r="D55" i="69"/>
  <c r="B55" i="69"/>
  <c r="Q54" i="69"/>
  <c r="B54" i="69"/>
  <c r="Q53" i="69"/>
  <c r="B53" i="69"/>
  <c r="Q52" i="69"/>
  <c r="B52" i="69"/>
  <c r="Q51" i="69"/>
  <c r="B51" i="69"/>
  <c r="Q50" i="69"/>
  <c r="B50" i="69"/>
  <c r="Q49" i="69"/>
  <c r="B49" i="69"/>
  <c r="Q48" i="69"/>
  <c r="B48" i="69"/>
  <c r="Q47" i="69"/>
  <c r="B47" i="69"/>
  <c r="Q46" i="69"/>
  <c r="B46" i="69"/>
  <c r="Q45" i="69"/>
  <c r="B45" i="69"/>
  <c r="O44" i="69"/>
  <c r="N44" i="69"/>
  <c r="M44" i="69"/>
  <c r="M32" i="69" s="1" a="1"/>
  <c r="M32" i="69" s="1"/>
  <c r="L44" i="69"/>
  <c r="K44" i="69"/>
  <c r="J44" i="69"/>
  <c r="I44" i="69"/>
  <c r="H44" i="69"/>
  <c r="G44" i="69"/>
  <c r="F44" i="69"/>
  <c r="E44" i="69"/>
  <c r="E32" i="69" s="1" a="1"/>
  <c r="E32" i="69" s="1"/>
  <c r="D44" i="69"/>
  <c r="B44" i="69"/>
  <c r="Q43" i="69"/>
  <c r="B43" i="69"/>
  <c r="Q42" i="69"/>
  <c r="B42" i="69"/>
  <c r="Q41" i="69"/>
  <c r="B41" i="69"/>
  <c r="Q40" i="69"/>
  <c r="B40" i="69"/>
  <c r="Q39" i="69"/>
  <c r="B39" i="69"/>
  <c r="Q38" i="69"/>
  <c r="B38" i="69"/>
  <c r="Q37" i="69"/>
  <c r="B37" i="69"/>
  <c r="Q36" i="69"/>
  <c r="B36" i="69"/>
  <c r="Q35" i="69"/>
  <c r="B35" i="69"/>
  <c r="Q34" i="69"/>
  <c r="B34" i="69"/>
  <c r="O33" i="69"/>
  <c r="N33" i="69"/>
  <c r="N32" i="69" s="1" a="1"/>
  <c r="N32" i="69" s="1"/>
  <c r="M33" i="69"/>
  <c r="L33" i="69"/>
  <c r="K33" i="69"/>
  <c r="J33" i="69"/>
  <c r="I33" i="69"/>
  <c r="H33" i="69"/>
  <c r="G33" i="69"/>
  <c r="F33" i="69"/>
  <c r="E33" i="69"/>
  <c r="D33" i="69"/>
  <c r="B33" i="69"/>
  <c r="O32" i="69" a="1"/>
  <c r="O32" i="69" s="1"/>
  <c r="K32" i="69" a="1"/>
  <c r="K32" i="69" s="1"/>
  <c r="G32" i="69" a="1"/>
  <c r="G32" i="69" s="1"/>
  <c r="F32" i="69" a="1"/>
  <c r="F32" i="69" s="1"/>
  <c r="Q27" i="69"/>
  <c r="B27" i="69"/>
  <c r="Q26" i="69"/>
  <c r="B26" i="69"/>
  <c r="Q25" i="69"/>
  <c r="B25" i="69"/>
  <c r="Q24" i="69"/>
  <c r="B24" i="69"/>
  <c r="Q23" i="69"/>
  <c r="B23" i="69"/>
  <c r="Q22" i="69"/>
  <c r="B22" i="69"/>
  <c r="Q21" i="69"/>
  <c r="B21" i="69"/>
  <c r="Q20" i="69"/>
  <c r="B20" i="69"/>
  <c r="Q19" i="69"/>
  <c r="Q17" i="69" s="1"/>
  <c r="B19" i="69"/>
  <c r="Q18" i="69"/>
  <c r="B18" i="69"/>
  <c r="O17" i="69"/>
  <c r="N17" i="69"/>
  <c r="M17" i="69"/>
  <c r="L17" i="69"/>
  <c r="K17" i="69"/>
  <c r="J17" i="69"/>
  <c r="I17" i="69"/>
  <c r="H17" i="69"/>
  <c r="G17" i="69"/>
  <c r="F17" i="69"/>
  <c r="E17" i="69"/>
  <c r="D17" i="69"/>
  <c r="M15" i="69"/>
  <c r="L15" i="69"/>
  <c r="K15" i="69"/>
  <c r="J15" i="69"/>
  <c r="I15" i="69"/>
  <c r="H15" i="69"/>
  <c r="G15" i="69"/>
  <c r="F15" i="69"/>
  <c r="E15" i="69"/>
  <c r="D15" i="69"/>
  <c r="Q15" i="69" s="1"/>
  <c r="B15" i="69"/>
  <c r="M14" i="69"/>
  <c r="L14" i="69"/>
  <c r="K14" i="69"/>
  <c r="J14" i="69"/>
  <c r="I14" i="69"/>
  <c r="H14" i="69"/>
  <c r="G14" i="69"/>
  <c r="F14" i="69"/>
  <c r="E14" i="69"/>
  <c r="D14" i="69"/>
  <c r="B14" i="69"/>
  <c r="M13" i="69"/>
  <c r="L13" i="69"/>
  <c r="K13" i="69"/>
  <c r="J13" i="69"/>
  <c r="I13" i="69"/>
  <c r="H13" i="69"/>
  <c r="G13" i="69"/>
  <c r="F13" i="69"/>
  <c r="E13" i="69"/>
  <c r="D13" i="69"/>
  <c r="B13" i="69"/>
  <c r="M12" i="69"/>
  <c r="L12" i="69"/>
  <c r="L10" i="69" s="1"/>
  <c r="L29" i="69" s="1"/>
  <c r="K12" i="69"/>
  <c r="J12" i="69"/>
  <c r="I12" i="69"/>
  <c r="H12" i="69"/>
  <c r="G12" i="69"/>
  <c r="F12" i="69"/>
  <c r="E12" i="69"/>
  <c r="E10" i="69" s="1"/>
  <c r="E29" i="69" s="1"/>
  <c r="D12" i="69"/>
  <c r="D10" i="69" s="1"/>
  <c r="D29" i="69" s="1"/>
  <c r="B12" i="69"/>
  <c r="M11" i="69"/>
  <c r="L11" i="69"/>
  <c r="K11" i="69"/>
  <c r="J11" i="69"/>
  <c r="I11" i="69"/>
  <c r="H11" i="69"/>
  <c r="H10" i="69" s="1"/>
  <c r="H29" i="69" s="1"/>
  <c r="H30" i="69" s="1"/>
  <c r="G11" i="69"/>
  <c r="G10" i="69" s="1"/>
  <c r="G29" i="69" s="1"/>
  <c r="F11" i="69"/>
  <c r="E11" i="69"/>
  <c r="D11" i="69"/>
  <c r="B11" i="69"/>
  <c r="O10" i="69"/>
  <c r="O29" i="69" s="1"/>
  <c r="N10" i="69"/>
  <c r="N29" i="69" s="1"/>
  <c r="N30" i="69" s="1"/>
  <c r="M10" i="69"/>
  <c r="M29" i="69" s="1"/>
  <c r="J10" i="69"/>
  <c r="J29" i="69" s="1"/>
  <c r="F10" i="69"/>
  <c r="O8" i="69"/>
  <c r="N8" i="69"/>
  <c r="M8" i="69"/>
  <c r="L8" i="69"/>
  <c r="K8" i="69"/>
  <c r="J8" i="69"/>
  <c r="I8" i="69"/>
  <c r="H8" i="69"/>
  <c r="G8" i="69"/>
  <c r="F8" i="69"/>
  <c r="E8" i="69"/>
  <c r="D8" i="69"/>
  <c r="B5" i="69"/>
  <c r="Q78" i="68"/>
  <c r="M73" i="68"/>
  <c r="L73" i="68"/>
  <c r="K73" i="68"/>
  <c r="J73" i="68"/>
  <c r="I73" i="68"/>
  <c r="H73" i="68"/>
  <c r="G73" i="68"/>
  <c r="F73" i="68"/>
  <c r="E73" i="68"/>
  <c r="D73" i="68"/>
  <c r="Q73" i="68" s="1"/>
  <c r="Q71" i="68"/>
  <c r="B71" i="68"/>
  <c r="O70" i="68"/>
  <c r="N70" i="68"/>
  <c r="M70" i="68"/>
  <c r="L70" i="68"/>
  <c r="K70" i="68"/>
  <c r="J70" i="68"/>
  <c r="I70" i="68"/>
  <c r="H70" i="68"/>
  <c r="G70" i="68"/>
  <c r="F70" i="68"/>
  <c r="E70" i="68"/>
  <c r="D70" i="68"/>
  <c r="B70" i="68"/>
  <c r="Q69" i="68"/>
  <c r="B69" i="68"/>
  <c r="Q68" i="68"/>
  <c r="B68" i="68"/>
  <c r="Q67" i="68"/>
  <c r="B67" i="68"/>
  <c r="Q66" i="68"/>
  <c r="B66" i="68"/>
  <c r="Q65" i="68"/>
  <c r="B65" i="68"/>
  <c r="O64" i="68"/>
  <c r="N64" i="68"/>
  <c r="M64" i="68"/>
  <c r="L64" i="68"/>
  <c r="K64" i="68"/>
  <c r="J64" i="68"/>
  <c r="I64" i="68"/>
  <c r="H64" i="68"/>
  <c r="G64" i="68"/>
  <c r="F64" i="68"/>
  <c r="E64" i="68"/>
  <c r="D64" i="68"/>
  <c r="B64" i="68"/>
  <c r="Q63" i="68"/>
  <c r="B63" i="68"/>
  <c r="O62" i="68"/>
  <c r="N62" i="68"/>
  <c r="M62" i="68"/>
  <c r="L62" i="68"/>
  <c r="K62" i="68"/>
  <c r="J62" i="68"/>
  <c r="I62" i="68"/>
  <c r="H62" i="68"/>
  <c r="G62" i="68"/>
  <c r="F62" i="68"/>
  <c r="E62" i="68"/>
  <c r="D62" i="68"/>
  <c r="Q62" i="68" s="1"/>
  <c r="B62" i="68"/>
  <c r="Q61" i="68"/>
  <c r="B61" i="68"/>
  <c r="O60" i="68"/>
  <c r="N60" i="68"/>
  <c r="M60" i="68"/>
  <c r="L60" i="68"/>
  <c r="K60" i="68"/>
  <c r="J60" i="68"/>
  <c r="I60" i="68"/>
  <c r="H60" i="68"/>
  <c r="G60" i="68"/>
  <c r="F60" i="68"/>
  <c r="E60" i="68"/>
  <c r="D60" i="68"/>
  <c r="B60" i="68"/>
  <c r="Q59" i="68"/>
  <c r="B59" i="68"/>
  <c r="Q58" i="68"/>
  <c r="B58" i="68"/>
  <c r="O57" i="68"/>
  <c r="N57" i="68"/>
  <c r="M57" i="68"/>
  <c r="L57" i="68"/>
  <c r="K57" i="68"/>
  <c r="J57" i="68"/>
  <c r="I57" i="68"/>
  <c r="H57" i="68"/>
  <c r="G57" i="68"/>
  <c r="F57" i="68"/>
  <c r="E57" i="68"/>
  <c r="D57" i="68"/>
  <c r="B57" i="68"/>
  <c r="Q56" i="68"/>
  <c r="B56" i="68"/>
  <c r="O55" i="68"/>
  <c r="N55" i="68"/>
  <c r="N24" i="68" s="1" a="1"/>
  <c r="N24" i="68" s="1"/>
  <c r="M55" i="68"/>
  <c r="L55" i="68"/>
  <c r="K55" i="68"/>
  <c r="J55" i="68"/>
  <c r="I55" i="68"/>
  <c r="H55" i="68"/>
  <c r="G55" i="68"/>
  <c r="F55" i="68"/>
  <c r="F24" i="68" s="1" a="1"/>
  <c r="F24" i="68" s="1"/>
  <c r="E55" i="68"/>
  <c r="D55" i="68"/>
  <c r="B55" i="68"/>
  <c r="Q54" i="68"/>
  <c r="B54" i="68"/>
  <c r="Q53" i="68"/>
  <c r="B53" i="68"/>
  <c r="O52" i="68"/>
  <c r="N52" i="68"/>
  <c r="M52" i="68"/>
  <c r="L52" i="68"/>
  <c r="K52" i="68"/>
  <c r="J52" i="68"/>
  <c r="I52" i="68"/>
  <c r="H52" i="68"/>
  <c r="G52" i="68"/>
  <c r="Q52" i="68" s="1"/>
  <c r="F52" i="68"/>
  <c r="E52" i="68"/>
  <c r="D52" i="68"/>
  <c r="B52" i="68"/>
  <c r="Q51" i="68"/>
  <c r="B51" i="68"/>
  <c r="O50" i="68"/>
  <c r="N50" i="68"/>
  <c r="M50" i="68"/>
  <c r="L50" i="68"/>
  <c r="K50" i="68"/>
  <c r="J50" i="68"/>
  <c r="I50" i="68"/>
  <c r="H50" i="68"/>
  <c r="G50" i="68"/>
  <c r="Q50" i="68" s="1"/>
  <c r="F50" i="68"/>
  <c r="E50" i="68"/>
  <c r="D50" i="68"/>
  <c r="B50" i="68"/>
  <c r="Q49" i="68"/>
  <c r="B49" i="68"/>
  <c r="O48" i="68"/>
  <c r="N48" i="68"/>
  <c r="M48" i="68"/>
  <c r="L48" i="68"/>
  <c r="K48" i="68"/>
  <c r="J48" i="68"/>
  <c r="I48" i="68"/>
  <c r="H48" i="68"/>
  <c r="G48" i="68"/>
  <c r="Q48" i="68" s="1"/>
  <c r="F48" i="68"/>
  <c r="E48" i="68"/>
  <c r="D48" i="68"/>
  <c r="B48" i="68"/>
  <c r="Q47" i="68"/>
  <c r="B47" i="68"/>
  <c r="O46" i="68"/>
  <c r="N46" i="68"/>
  <c r="M46" i="68"/>
  <c r="L46" i="68"/>
  <c r="K46" i="68"/>
  <c r="J46" i="68"/>
  <c r="I46" i="68"/>
  <c r="H46" i="68"/>
  <c r="G46" i="68"/>
  <c r="F46" i="68"/>
  <c r="E46" i="68"/>
  <c r="D46" i="68"/>
  <c r="B46" i="68"/>
  <c r="Q45" i="68"/>
  <c r="B45" i="68"/>
  <c r="Q44" i="68"/>
  <c r="B44" i="68"/>
  <c r="Q43" i="68"/>
  <c r="B43" i="68"/>
  <c r="Q42" i="68"/>
  <c r="B42" i="68"/>
  <c r="Q41" i="68"/>
  <c r="B41" i="68"/>
  <c r="Q40" i="68"/>
  <c r="B40" i="68"/>
  <c r="Q39" i="68"/>
  <c r="B39" i="68"/>
  <c r="Q38" i="68"/>
  <c r="B38" i="68"/>
  <c r="Q37" i="68"/>
  <c r="B37" i="68"/>
  <c r="Q36" i="68"/>
  <c r="B36" i="68"/>
  <c r="O35" i="68"/>
  <c r="N35" i="68"/>
  <c r="M35" i="68"/>
  <c r="L35" i="68"/>
  <c r="K35" i="68"/>
  <c r="J35" i="68"/>
  <c r="I35" i="68"/>
  <c r="H35" i="68"/>
  <c r="G35" i="68"/>
  <c r="F35" i="68"/>
  <c r="E35" i="68"/>
  <c r="D35" i="68"/>
  <c r="Q35" i="68" s="1"/>
  <c r="B35" i="68"/>
  <c r="Q34" i="68"/>
  <c r="B34" i="68"/>
  <c r="Q33" i="68"/>
  <c r="B33" i="68"/>
  <c r="Q32" i="68"/>
  <c r="B32" i="68"/>
  <c r="Q31" i="68"/>
  <c r="B31" i="68"/>
  <c r="Q30" i="68"/>
  <c r="B30" i="68"/>
  <c r="Q29" i="68"/>
  <c r="B29" i="68"/>
  <c r="Q28" i="68"/>
  <c r="B28" i="68"/>
  <c r="Q27" i="68"/>
  <c r="B27" i="68"/>
  <c r="Q26" i="68"/>
  <c r="B26" i="68"/>
  <c r="O25" i="68"/>
  <c r="N25" i="68"/>
  <c r="M25" i="68"/>
  <c r="M24" i="68" s="1" a="1"/>
  <c r="M24" i="68" s="1"/>
  <c r="L25" i="68"/>
  <c r="K25" i="68"/>
  <c r="J25" i="68"/>
  <c r="J24" i="68" s="1" a="1"/>
  <c r="J24" i="68" s="1"/>
  <c r="I25" i="68"/>
  <c r="H25" i="68"/>
  <c r="G25" i="68"/>
  <c r="F25" i="68"/>
  <c r="E25" i="68"/>
  <c r="Q25" i="68" s="1"/>
  <c r="D25" i="68"/>
  <c r="B25" i="68"/>
  <c r="L24" i="68" a="1"/>
  <c r="L24" i="68"/>
  <c r="H24" i="68" a="1"/>
  <c r="H24" i="68"/>
  <c r="D24" i="68" a="1"/>
  <c r="D24" i="68"/>
  <c r="N21" i="68"/>
  <c r="Q19" i="68"/>
  <c r="B19" i="68"/>
  <c r="Q18" i="68"/>
  <c r="B18" i="68"/>
  <c r="Q17" i="68"/>
  <c r="O17" i="68"/>
  <c r="O21" i="68" s="1"/>
  <c r="N17" i="68"/>
  <c r="M17" i="68"/>
  <c r="L17" i="68"/>
  <c r="K17" i="68"/>
  <c r="J17" i="68"/>
  <c r="I17" i="68"/>
  <c r="H17" i="68"/>
  <c r="G17" i="68"/>
  <c r="F17" i="68"/>
  <c r="E17" i="68"/>
  <c r="D17" i="68"/>
  <c r="M15" i="68"/>
  <c r="L15" i="68"/>
  <c r="K15" i="68"/>
  <c r="J15" i="68"/>
  <c r="I15" i="68"/>
  <c r="H15" i="68"/>
  <c r="G15" i="68"/>
  <c r="F15" i="68"/>
  <c r="E15" i="68"/>
  <c r="D15" i="68"/>
  <c r="B15" i="68"/>
  <c r="M14" i="68"/>
  <c r="L14" i="68"/>
  <c r="K14" i="68"/>
  <c r="J14" i="68"/>
  <c r="I14" i="68"/>
  <c r="H14" i="68"/>
  <c r="G14" i="68"/>
  <c r="F14" i="68"/>
  <c r="Q14" i="68" s="1"/>
  <c r="E14" i="68"/>
  <c r="D14" i="68"/>
  <c r="B14" i="68"/>
  <c r="M13" i="68"/>
  <c r="L13" i="68"/>
  <c r="K13" i="68"/>
  <c r="J13" i="68"/>
  <c r="I13" i="68"/>
  <c r="H13" i="68"/>
  <c r="G13" i="68"/>
  <c r="F13" i="68"/>
  <c r="E13" i="68"/>
  <c r="D13" i="68"/>
  <c r="Q13" i="68" s="1"/>
  <c r="B13" i="68"/>
  <c r="M12" i="68"/>
  <c r="L12" i="68"/>
  <c r="K12" i="68"/>
  <c r="J12" i="68"/>
  <c r="I12" i="68"/>
  <c r="H12" i="68"/>
  <c r="H10" i="68" s="1"/>
  <c r="H21" i="68" s="1"/>
  <c r="G12" i="68"/>
  <c r="F12" i="68"/>
  <c r="Q12" i="68" s="1"/>
  <c r="E12" i="68"/>
  <c r="D12" i="68"/>
  <c r="B12" i="68"/>
  <c r="M11" i="68"/>
  <c r="L11" i="68"/>
  <c r="K11" i="68"/>
  <c r="K10" i="68" s="1"/>
  <c r="K21" i="68" s="1"/>
  <c r="J11" i="68"/>
  <c r="I11" i="68"/>
  <c r="H11" i="68"/>
  <c r="G11" i="68"/>
  <c r="G10" i="68" s="1"/>
  <c r="G21" i="68" s="1"/>
  <c r="F11" i="68"/>
  <c r="E11" i="68"/>
  <c r="D11" i="68"/>
  <c r="B11" i="68"/>
  <c r="O10" i="68"/>
  <c r="N10" i="68"/>
  <c r="M10" i="68"/>
  <c r="M21" i="68" s="1"/>
  <c r="J10" i="68"/>
  <c r="J21" i="68" s="1"/>
  <c r="I10" i="68"/>
  <c r="I21" i="68" s="1"/>
  <c r="E10" i="68"/>
  <c r="E21" i="68" s="1"/>
  <c r="O8" i="68"/>
  <c r="N8" i="68"/>
  <c r="M8" i="68"/>
  <c r="L8" i="68"/>
  <c r="K8" i="68"/>
  <c r="J8" i="68"/>
  <c r="I8" i="68"/>
  <c r="H8" i="68"/>
  <c r="G8" i="68"/>
  <c r="F8" i="68"/>
  <c r="E8" i="68"/>
  <c r="D8" i="68"/>
  <c r="B5" i="68"/>
  <c r="Q111" i="67"/>
  <c r="M106" i="67"/>
  <c r="L106" i="67"/>
  <c r="K106" i="67"/>
  <c r="J106" i="67"/>
  <c r="I106" i="67"/>
  <c r="H106" i="67"/>
  <c r="G106" i="67"/>
  <c r="F106" i="67"/>
  <c r="E106" i="67"/>
  <c r="D106" i="67"/>
  <c r="Q106" i="67" s="1"/>
  <c r="Q104" i="67"/>
  <c r="B104" i="67"/>
  <c r="O103" i="67"/>
  <c r="N103" i="67"/>
  <c r="M103" i="67"/>
  <c r="L103" i="67"/>
  <c r="K103" i="67"/>
  <c r="J103" i="67"/>
  <c r="I103" i="67"/>
  <c r="H103" i="67"/>
  <c r="G103" i="67"/>
  <c r="F103" i="67"/>
  <c r="Q103" i="67" s="1"/>
  <c r="E103" i="67"/>
  <c r="D103" i="67"/>
  <c r="B103" i="67"/>
  <c r="Q102" i="67"/>
  <c r="B102" i="67"/>
  <c r="O101" i="67"/>
  <c r="N101" i="67"/>
  <c r="M101" i="67"/>
  <c r="L101" i="67"/>
  <c r="K101" i="67"/>
  <c r="J101" i="67"/>
  <c r="I101" i="67"/>
  <c r="H101" i="67"/>
  <c r="G101" i="67"/>
  <c r="F101" i="67"/>
  <c r="Q101" i="67" s="1"/>
  <c r="E101" i="67"/>
  <c r="D101" i="67"/>
  <c r="B101" i="67"/>
  <c r="Q100" i="67"/>
  <c r="B100" i="67"/>
  <c r="O99" i="67"/>
  <c r="N99" i="67"/>
  <c r="M99" i="67"/>
  <c r="L99" i="67"/>
  <c r="K99" i="67"/>
  <c r="J99" i="67"/>
  <c r="I99" i="67"/>
  <c r="H99" i="67"/>
  <c r="G99" i="67"/>
  <c r="F99" i="67"/>
  <c r="Q99" i="67" s="1"/>
  <c r="E99" i="67"/>
  <c r="D99" i="67"/>
  <c r="B99" i="67"/>
  <c r="Q98" i="67"/>
  <c r="B98" i="67"/>
  <c r="Q97" i="67"/>
  <c r="B97" i="67"/>
  <c r="Q96" i="67"/>
  <c r="B96" i="67"/>
  <c r="Q95" i="67"/>
  <c r="B95" i="67"/>
  <c r="O94" i="67"/>
  <c r="N94" i="67"/>
  <c r="M94" i="67"/>
  <c r="L94" i="67"/>
  <c r="K94" i="67"/>
  <c r="J94" i="67"/>
  <c r="I94" i="67"/>
  <c r="H94" i="67"/>
  <c r="G94" i="67"/>
  <c r="F94" i="67"/>
  <c r="E94" i="67"/>
  <c r="D94" i="67"/>
  <c r="B94" i="67"/>
  <c r="Q93" i="67"/>
  <c r="B93" i="67"/>
  <c r="Q92" i="67"/>
  <c r="B92" i="67"/>
  <c r="O91" i="67"/>
  <c r="N91" i="67"/>
  <c r="M91" i="67"/>
  <c r="L91" i="67"/>
  <c r="K91" i="67"/>
  <c r="J91" i="67"/>
  <c r="I91" i="67"/>
  <c r="H91" i="67"/>
  <c r="Q91" i="67" s="1"/>
  <c r="G91" i="67"/>
  <c r="F91" i="67"/>
  <c r="E91" i="67"/>
  <c r="D91" i="67"/>
  <c r="B91" i="67"/>
  <c r="Q90" i="67"/>
  <c r="B90" i="67"/>
  <c r="Q89" i="67"/>
  <c r="B89" i="67"/>
  <c r="Q88" i="67"/>
  <c r="B88" i="67"/>
  <c r="O87" i="67"/>
  <c r="N87" i="67"/>
  <c r="M87" i="67"/>
  <c r="L87" i="67"/>
  <c r="K87" i="67"/>
  <c r="J87" i="67"/>
  <c r="I87" i="67"/>
  <c r="H87" i="67"/>
  <c r="G87" i="67"/>
  <c r="F87" i="67"/>
  <c r="E87" i="67"/>
  <c r="D87" i="67"/>
  <c r="Q87" i="67" s="1"/>
  <c r="B87" i="67"/>
  <c r="Q86" i="67"/>
  <c r="B86" i="67"/>
  <c r="Q85" i="67"/>
  <c r="B85" i="67"/>
  <c r="O84" i="67"/>
  <c r="N84" i="67"/>
  <c r="M84" i="67"/>
  <c r="L84" i="67"/>
  <c r="K84" i="67"/>
  <c r="J84" i="67"/>
  <c r="I84" i="67"/>
  <c r="H84" i="67"/>
  <c r="G84" i="67"/>
  <c r="F84" i="67"/>
  <c r="E84" i="67"/>
  <c r="D84" i="67"/>
  <c r="Q84" i="67" s="1"/>
  <c r="B84" i="67"/>
  <c r="Q83" i="67"/>
  <c r="B83" i="67"/>
  <c r="O82" i="67"/>
  <c r="N82" i="67"/>
  <c r="M82" i="67"/>
  <c r="L82" i="67"/>
  <c r="K82" i="67"/>
  <c r="J82" i="67"/>
  <c r="I82" i="67"/>
  <c r="H82" i="67"/>
  <c r="G82" i="67"/>
  <c r="F82" i="67"/>
  <c r="E82" i="67"/>
  <c r="D82" i="67"/>
  <c r="Q82" i="67" s="1"/>
  <c r="B82" i="67"/>
  <c r="Q81" i="67"/>
  <c r="B81" i="67"/>
  <c r="O80" i="67"/>
  <c r="N80" i="67"/>
  <c r="M80" i="67"/>
  <c r="L80" i="67"/>
  <c r="K80" i="67"/>
  <c r="J80" i="67"/>
  <c r="I80" i="67"/>
  <c r="H80" i="67"/>
  <c r="G80" i="67"/>
  <c r="F80" i="67"/>
  <c r="E80" i="67"/>
  <c r="D80" i="67"/>
  <c r="B80" i="67"/>
  <c r="Q79" i="67"/>
  <c r="B79" i="67"/>
  <c r="O78" i="67"/>
  <c r="N78" i="67"/>
  <c r="M78" i="67"/>
  <c r="M41" i="67" s="1" a="1"/>
  <c r="M41" i="67" s="1"/>
  <c r="L78" i="67"/>
  <c r="K78" i="67"/>
  <c r="J78" i="67"/>
  <c r="I78" i="67"/>
  <c r="H78" i="67"/>
  <c r="G78" i="67"/>
  <c r="F78" i="67"/>
  <c r="E78" i="67"/>
  <c r="E41" i="67" s="1" a="1"/>
  <c r="E41" i="67" s="1"/>
  <c r="D78" i="67"/>
  <c r="B78" i="67"/>
  <c r="Q77" i="67"/>
  <c r="B77" i="67"/>
  <c r="Q76" i="67"/>
  <c r="B76" i="67"/>
  <c r="O75" i="67"/>
  <c r="N75" i="67"/>
  <c r="M75" i="67"/>
  <c r="L75" i="67"/>
  <c r="K75" i="67"/>
  <c r="J75" i="67"/>
  <c r="I75" i="67"/>
  <c r="H75" i="67"/>
  <c r="Q75" i="67" s="1"/>
  <c r="G75" i="67"/>
  <c r="F75" i="67"/>
  <c r="E75" i="67"/>
  <c r="D75" i="67"/>
  <c r="B75" i="67"/>
  <c r="Q74" i="67"/>
  <c r="B74" i="67"/>
  <c r="O73" i="67"/>
  <c r="N73" i="67"/>
  <c r="M73" i="67"/>
  <c r="L73" i="67"/>
  <c r="K73" i="67"/>
  <c r="J73" i="67"/>
  <c r="I73" i="67"/>
  <c r="H73" i="67"/>
  <c r="Q73" i="67" s="1"/>
  <c r="G73" i="67"/>
  <c r="F73" i="67"/>
  <c r="E73" i="67"/>
  <c r="D73" i="67"/>
  <c r="B73" i="67"/>
  <c r="Q72" i="67"/>
  <c r="B72" i="67"/>
  <c r="O71" i="67"/>
  <c r="N71" i="67"/>
  <c r="M71" i="67"/>
  <c r="L71" i="67"/>
  <c r="K71" i="67"/>
  <c r="J71" i="67"/>
  <c r="I71" i="67"/>
  <c r="H71" i="67"/>
  <c r="Q71" i="67" s="1"/>
  <c r="G71" i="67"/>
  <c r="F71" i="67"/>
  <c r="E71" i="67"/>
  <c r="D71" i="67"/>
  <c r="B71" i="67"/>
  <c r="Q70" i="67"/>
  <c r="B70" i="67"/>
  <c r="O69" i="67"/>
  <c r="N69" i="67"/>
  <c r="M69" i="67"/>
  <c r="L69" i="67"/>
  <c r="K69" i="67"/>
  <c r="J69" i="67"/>
  <c r="I69" i="67"/>
  <c r="H69" i="67"/>
  <c r="Q69" i="67" s="1"/>
  <c r="G69" i="67"/>
  <c r="F69" i="67"/>
  <c r="E69" i="67"/>
  <c r="D69" i="67"/>
  <c r="B69" i="67"/>
  <c r="Q68" i="67"/>
  <c r="B68" i="67"/>
  <c r="O67" i="67"/>
  <c r="N67" i="67"/>
  <c r="M67" i="67"/>
  <c r="L67" i="67"/>
  <c r="K67" i="67"/>
  <c r="J67" i="67"/>
  <c r="I67" i="67"/>
  <c r="H67" i="67"/>
  <c r="Q67" i="67" s="1"/>
  <c r="G67" i="67"/>
  <c r="F67" i="67"/>
  <c r="E67" i="67"/>
  <c r="D67" i="67"/>
  <c r="B67" i="67"/>
  <c r="Q66" i="67"/>
  <c r="B66" i="67"/>
  <c r="O65" i="67"/>
  <c r="N65" i="67"/>
  <c r="M65" i="67"/>
  <c r="L65" i="67"/>
  <c r="K65" i="67"/>
  <c r="J65" i="67"/>
  <c r="I65" i="67"/>
  <c r="H65" i="67"/>
  <c r="Q65" i="67" s="1"/>
  <c r="G65" i="67"/>
  <c r="F65" i="67"/>
  <c r="E65" i="67"/>
  <c r="D65" i="67"/>
  <c r="B65" i="67"/>
  <c r="Q64" i="67"/>
  <c r="B64" i="67"/>
  <c r="O63" i="67"/>
  <c r="N63" i="67"/>
  <c r="M63" i="67"/>
  <c r="L63" i="67"/>
  <c r="K63" i="67"/>
  <c r="J63" i="67"/>
  <c r="I63" i="67"/>
  <c r="H63" i="67"/>
  <c r="Q63" i="67" s="1"/>
  <c r="G63" i="67"/>
  <c r="F63" i="67"/>
  <c r="E63" i="67"/>
  <c r="D63" i="67"/>
  <c r="B63" i="67"/>
  <c r="Q62" i="67"/>
  <c r="B62" i="67"/>
  <c r="Q61" i="67"/>
  <c r="B61" i="67"/>
  <c r="Q60" i="67"/>
  <c r="B60" i="67"/>
  <c r="Q59" i="67"/>
  <c r="B59" i="67"/>
  <c r="Q58" i="67"/>
  <c r="B58" i="67"/>
  <c r="Q57" i="67"/>
  <c r="B57" i="67"/>
  <c r="Q56" i="67"/>
  <c r="B56" i="67"/>
  <c r="Q55" i="67"/>
  <c r="B55" i="67"/>
  <c r="Q54" i="67"/>
  <c r="B54" i="67"/>
  <c r="Q53" i="67"/>
  <c r="B53" i="67"/>
  <c r="O52" i="67"/>
  <c r="N52" i="67"/>
  <c r="M52" i="67"/>
  <c r="L52" i="67"/>
  <c r="K52" i="67"/>
  <c r="J52" i="67"/>
  <c r="I52" i="67"/>
  <c r="H52" i="67"/>
  <c r="Q52" i="67" s="1"/>
  <c r="G52" i="67"/>
  <c r="F52" i="67"/>
  <c r="E52" i="67"/>
  <c r="D52" i="67"/>
  <c r="B52" i="67"/>
  <c r="Q51" i="67"/>
  <c r="B51" i="67"/>
  <c r="Q50" i="67"/>
  <c r="B50" i="67"/>
  <c r="Q49" i="67"/>
  <c r="B49" i="67"/>
  <c r="Q48" i="67"/>
  <c r="B48" i="67"/>
  <c r="Q47" i="67"/>
  <c r="B47" i="67"/>
  <c r="Q46" i="67"/>
  <c r="B46" i="67"/>
  <c r="Q45" i="67"/>
  <c r="B45" i="67"/>
  <c r="Q44" i="67"/>
  <c r="B44" i="67"/>
  <c r="Q43" i="67"/>
  <c r="B43" i="67"/>
  <c r="O42" i="67"/>
  <c r="N42" i="67"/>
  <c r="M42" i="67"/>
  <c r="L42" i="67"/>
  <c r="K42" i="67"/>
  <c r="J42" i="67"/>
  <c r="J41" i="67" s="1" a="1"/>
  <c r="J41" i="67" s="1"/>
  <c r="I42" i="67"/>
  <c r="I41" i="67" s="1" a="1"/>
  <c r="I41" i="67" s="1"/>
  <c r="H42" i="67"/>
  <c r="G42" i="67"/>
  <c r="F42" i="67"/>
  <c r="E42" i="67"/>
  <c r="D42" i="67"/>
  <c r="B42" i="67"/>
  <c r="O41" i="67" a="1"/>
  <c r="O41" i="67" s="1"/>
  <c r="L41" i="67" a="1"/>
  <c r="L41" i="67" s="1"/>
  <c r="K41" i="67" a="1"/>
  <c r="K41" i="67" s="1"/>
  <c r="G41" i="67" a="1"/>
  <c r="G41" i="67" s="1"/>
  <c r="J39" i="67"/>
  <c r="I39" i="67"/>
  <c r="O38" i="67"/>
  <c r="N38" i="67"/>
  <c r="N39" i="67" s="1"/>
  <c r="F38" i="67"/>
  <c r="Q36" i="67"/>
  <c r="B36" i="67"/>
  <c r="Q35" i="67"/>
  <c r="B35" i="67"/>
  <c r="Q34" i="67"/>
  <c r="B34" i="67"/>
  <c r="Q33" i="67"/>
  <c r="B33" i="67"/>
  <c r="Q32" i="67"/>
  <c r="B32" i="67"/>
  <c r="Q31" i="67"/>
  <c r="B31" i="67"/>
  <c r="Q30" i="67"/>
  <c r="B30" i="67"/>
  <c r="Q29" i="67"/>
  <c r="B29" i="67"/>
  <c r="Q28" i="67"/>
  <c r="B28" i="67"/>
  <c r="Q27" i="67"/>
  <c r="B27" i="67"/>
  <c r="Q26" i="67"/>
  <c r="B26" i="67"/>
  <c r="Q25" i="67"/>
  <c r="B25" i="67"/>
  <c r="Q24" i="67"/>
  <c r="B24" i="67"/>
  <c r="Q23" i="67"/>
  <c r="B23" i="67"/>
  <c r="Q22" i="67"/>
  <c r="B22" i="67"/>
  <c r="Q21" i="67"/>
  <c r="B21" i="67"/>
  <c r="Q20" i="67"/>
  <c r="B20" i="67"/>
  <c r="Q19" i="67"/>
  <c r="B19" i="67"/>
  <c r="Q18" i="67"/>
  <c r="B18" i="67"/>
  <c r="Q17" i="67"/>
  <c r="O17" i="67"/>
  <c r="N17" i="67"/>
  <c r="M17" i="67"/>
  <c r="L17" i="67"/>
  <c r="K17" i="67"/>
  <c r="J17" i="67"/>
  <c r="I17" i="67"/>
  <c r="H17" i="67"/>
  <c r="G17" i="67"/>
  <c r="F17" i="67"/>
  <c r="E17" i="67"/>
  <c r="D17" i="67"/>
  <c r="M15" i="67"/>
  <c r="L15" i="67"/>
  <c r="K15" i="67"/>
  <c r="J15" i="67"/>
  <c r="I15" i="67"/>
  <c r="H15" i="67"/>
  <c r="G15" i="67"/>
  <c r="F15" i="67"/>
  <c r="E15" i="67"/>
  <c r="D15" i="67"/>
  <c r="B15" i="67"/>
  <c r="M14" i="67"/>
  <c r="L14" i="67"/>
  <c r="K14" i="67"/>
  <c r="J14" i="67"/>
  <c r="I14" i="67"/>
  <c r="H14" i="67"/>
  <c r="G14" i="67"/>
  <c r="F14" i="67"/>
  <c r="E14" i="67"/>
  <c r="D14" i="67"/>
  <c r="Q14" i="67" s="1"/>
  <c r="B14" i="67"/>
  <c r="M13" i="67"/>
  <c r="L13" i="67"/>
  <c r="K13" i="67"/>
  <c r="K10" i="67" s="1"/>
  <c r="K38" i="67" s="1"/>
  <c r="J13" i="67"/>
  <c r="I13" i="67"/>
  <c r="H13" i="67"/>
  <c r="G13" i="67"/>
  <c r="F13" i="67"/>
  <c r="E13" i="67"/>
  <c r="D13" i="67"/>
  <c r="B13" i="67"/>
  <c r="M12" i="67"/>
  <c r="L12" i="67"/>
  <c r="K12" i="67"/>
  <c r="J12" i="67"/>
  <c r="I12" i="67"/>
  <c r="H12" i="67"/>
  <c r="G12" i="67"/>
  <c r="F12" i="67"/>
  <c r="E12" i="67"/>
  <c r="D12" i="67"/>
  <c r="B12" i="67"/>
  <c r="M11" i="67"/>
  <c r="M10" i="67" s="1"/>
  <c r="M38" i="67" s="1"/>
  <c r="L11" i="67"/>
  <c r="L10" i="67" s="1"/>
  <c r="L38" i="67" s="1"/>
  <c r="K11" i="67"/>
  <c r="J11" i="67"/>
  <c r="I11" i="67"/>
  <c r="H11" i="67"/>
  <c r="G11" i="67"/>
  <c r="G10" i="67" s="1"/>
  <c r="G38" i="67" s="1"/>
  <c r="F11" i="67"/>
  <c r="E11" i="67"/>
  <c r="E10" i="67" s="1"/>
  <c r="E38" i="67" s="1"/>
  <c r="D11" i="67"/>
  <c r="B11" i="67"/>
  <c r="O10" i="67"/>
  <c r="N10" i="67"/>
  <c r="J10" i="67"/>
  <c r="J38" i="67" s="1"/>
  <c r="I10" i="67"/>
  <c r="I38" i="67" s="1"/>
  <c r="I108" i="67" s="1"/>
  <c r="F10" i="67"/>
  <c r="O8" i="67"/>
  <c r="N8" i="67"/>
  <c r="M8" i="67"/>
  <c r="L8" i="67"/>
  <c r="K8" i="67"/>
  <c r="J8" i="67"/>
  <c r="I8" i="67"/>
  <c r="H8" i="67"/>
  <c r="G8" i="67"/>
  <c r="F8" i="67"/>
  <c r="E8" i="67"/>
  <c r="D8" i="67"/>
  <c r="B5" i="67"/>
  <c r="Q30" i="66"/>
  <c r="M25" i="66"/>
  <c r="L25" i="66"/>
  <c r="K25" i="66"/>
  <c r="J25" i="66"/>
  <c r="I25" i="66"/>
  <c r="H25" i="66"/>
  <c r="G25" i="66"/>
  <c r="F25" i="66"/>
  <c r="E25" i="66"/>
  <c r="D25" i="66"/>
  <c r="Q23" i="66"/>
  <c r="B23" i="66"/>
  <c r="O22" i="66"/>
  <c r="N22" i="66"/>
  <c r="M22" i="66"/>
  <c r="L22" i="66"/>
  <c r="K22" i="66"/>
  <c r="J22" i="66"/>
  <c r="I22" i="66"/>
  <c r="H22" i="66"/>
  <c r="G22" i="66"/>
  <c r="Q22" i="66" s="1"/>
  <c r="F22" i="66"/>
  <c r="E22" i="66"/>
  <c r="D22" i="66"/>
  <c r="B22" i="66"/>
  <c r="Q21" i="66"/>
  <c r="B21" i="66"/>
  <c r="O20" i="66"/>
  <c r="N20" i="66"/>
  <c r="M20" i="66"/>
  <c r="L20" i="66"/>
  <c r="K20" i="66"/>
  <c r="J20" i="66"/>
  <c r="I20" i="66"/>
  <c r="H20" i="66"/>
  <c r="G20" i="66"/>
  <c r="Q20" i="66" s="1"/>
  <c r="F20" i="66"/>
  <c r="E20" i="66"/>
  <c r="D20" i="66"/>
  <c r="B20" i="66"/>
  <c r="Q19" i="66"/>
  <c r="B19" i="66"/>
  <c r="O18" i="66"/>
  <c r="O17" i="66" s="1" a="1"/>
  <c r="N18" i="66"/>
  <c r="M18" i="66"/>
  <c r="L18" i="66"/>
  <c r="L17" i="66" s="1" a="1"/>
  <c r="K18" i="66"/>
  <c r="J18" i="66"/>
  <c r="I18" i="66"/>
  <c r="I17" i="66" s="1" a="1"/>
  <c r="I17" i="66" s="1"/>
  <c r="H18" i="66"/>
  <c r="H17" i="66" s="1" a="1"/>
  <c r="G18" i="66"/>
  <c r="G17" i="66" s="1" a="1"/>
  <c r="G17" i="66" s="1"/>
  <c r="G27" i="66" s="1"/>
  <c r="F18" i="66"/>
  <c r="E18" i="66"/>
  <c r="D18" i="66"/>
  <c r="B18" i="66"/>
  <c r="O17" i="66"/>
  <c r="O27" i="66" s="1"/>
  <c r="N17" i="66" a="1"/>
  <c r="N17" i="66" s="1"/>
  <c r="N27" i="66" s="1"/>
  <c r="M17" i="66" a="1"/>
  <c r="M17" i="66"/>
  <c r="L17" i="66"/>
  <c r="K17" i="66" a="1"/>
  <c r="K17" i="66"/>
  <c r="J17" i="66" a="1"/>
  <c r="J17" i="66" s="1"/>
  <c r="H17" i="66"/>
  <c r="F17" i="66" a="1"/>
  <c r="F17" i="66" s="1"/>
  <c r="E17" i="66" a="1"/>
  <c r="E17" i="66"/>
  <c r="D17" i="66" a="1"/>
  <c r="D17" i="66"/>
  <c r="I15" i="66"/>
  <c r="G15" i="66"/>
  <c r="Q14" i="66"/>
  <c r="N14" i="66"/>
  <c r="N15" i="66" s="1"/>
  <c r="M14" i="66"/>
  <c r="M15" i="66" s="1"/>
  <c r="L14" i="66"/>
  <c r="F14" i="66"/>
  <c r="F15" i="66" s="1"/>
  <c r="E14" i="66"/>
  <c r="E15" i="66" s="1"/>
  <c r="D14" i="66"/>
  <c r="Q12" i="66"/>
  <c r="O12" i="66"/>
  <c r="N12" i="66"/>
  <c r="M12" i="66"/>
  <c r="L12" i="66"/>
  <c r="K12" i="66"/>
  <c r="J12" i="66"/>
  <c r="I12" i="66"/>
  <c r="I14" i="66" s="1"/>
  <c r="H12" i="66"/>
  <c r="G12" i="66"/>
  <c r="F12" i="66"/>
  <c r="E12" i="66"/>
  <c r="D12" i="66"/>
  <c r="Q10" i="66"/>
  <c r="O10" i="66"/>
  <c r="O14" i="66" s="1"/>
  <c r="O15" i="66" s="1"/>
  <c r="N10" i="66"/>
  <c r="M10" i="66"/>
  <c r="L10" i="66"/>
  <c r="K10" i="66"/>
  <c r="K14" i="66" s="1"/>
  <c r="J10" i="66"/>
  <c r="I10" i="66"/>
  <c r="H10" i="66"/>
  <c r="H14" i="66" s="1"/>
  <c r="G10" i="66"/>
  <c r="G14" i="66" s="1"/>
  <c r="F10" i="66"/>
  <c r="E10" i="66"/>
  <c r="D10" i="66"/>
  <c r="O8" i="66"/>
  <c r="N8" i="66"/>
  <c r="M8" i="66"/>
  <c r="L8" i="66"/>
  <c r="K8" i="66"/>
  <c r="J8" i="66"/>
  <c r="I8" i="66"/>
  <c r="H8" i="66"/>
  <c r="G8" i="66"/>
  <c r="F8" i="66"/>
  <c r="E8" i="66"/>
  <c r="D8" i="66"/>
  <c r="B5" i="66"/>
  <c r="Q91" i="65"/>
  <c r="M86" i="65"/>
  <c r="L86" i="65"/>
  <c r="K86" i="65"/>
  <c r="J86" i="65"/>
  <c r="I86" i="65"/>
  <c r="H86" i="65"/>
  <c r="G86" i="65"/>
  <c r="F86" i="65"/>
  <c r="E86" i="65"/>
  <c r="Q86" i="65" s="1"/>
  <c r="D86" i="65"/>
  <c r="Q84" i="65"/>
  <c r="B84" i="65"/>
  <c r="O83" i="65"/>
  <c r="N83" i="65"/>
  <c r="M83" i="65"/>
  <c r="L83" i="65"/>
  <c r="K83" i="65"/>
  <c r="J83" i="65"/>
  <c r="I83" i="65"/>
  <c r="H83" i="65"/>
  <c r="G83" i="65"/>
  <c r="F83" i="65"/>
  <c r="E83" i="65"/>
  <c r="D83" i="65"/>
  <c r="Q83" i="65" s="1"/>
  <c r="B83" i="65"/>
  <c r="Q82" i="65"/>
  <c r="B82" i="65"/>
  <c r="Q81" i="65"/>
  <c r="B81" i="65"/>
  <c r="O80" i="65"/>
  <c r="N80" i="65"/>
  <c r="M80" i="65"/>
  <c r="L80" i="65"/>
  <c r="K80" i="65"/>
  <c r="J80" i="65"/>
  <c r="I80" i="65"/>
  <c r="H80" i="65"/>
  <c r="Q80" i="65" s="1"/>
  <c r="G80" i="65"/>
  <c r="F80" i="65"/>
  <c r="E80" i="65"/>
  <c r="D80" i="65"/>
  <c r="B80" i="65"/>
  <c r="Q79" i="65"/>
  <c r="B79" i="65"/>
  <c r="Q78" i="65"/>
  <c r="B78" i="65"/>
  <c r="O77" i="65"/>
  <c r="N77" i="65"/>
  <c r="M77" i="65"/>
  <c r="L77" i="65"/>
  <c r="K77" i="65"/>
  <c r="J77" i="65"/>
  <c r="I77" i="65"/>
  <c r="H77" i="65"/>
  <c r="Q77" i="65" s="1"/>
  <c r="G77" i="65"/>
  <c r="F77" i="65"/>
  <c r="E77" i="65"/>
  <c r="D77" i="65"/>
  <c r="B77" i="65"/>
  <c r="Q76" i="65"/>
  <c r="B76" i="65"/>
  <c r="Q75" i="65"/>
  <c r="B75" i="65"/>
  <c r="O74" i="65"/>
  <c r="N74" i="65"/>
  <c r="N32" i="65" s="1" a="1"/>
  <c r="N32" i="65" s="1"/>
  <c r="M74" i="65"/>
  <c r="L74" i="65"/>
  <c r="K74" i="65"/>
  <c r="K32" i="65" s="1" a="1"/>
  <c r="K32" i="65" s="1"/>
  <c r="J74" i="65"/>
  <c r="I74" i="65"/>
  <c r="H74" i="65"/>
  <c r="G74" i="65"/>
  <c r="F74" i="65"/>
  <c r="E74" i="65"/>
  <c r="D74" i="65"/>
  <c r="B74" i="65"/>
  <c r="Q73" i="65"/>
  <c r="B73" i="65"/>
  <c r="Q72" i="65"/>
  <c r="B72" i="65"/>
  <c r="Q71" i="65"/>
  <c r="B71" i="65"/>
  <c r="O70" i="65"/>
  <c r="N70" i="65"/>
  <c r="M70" i="65"/>
  <c r="L70" i="65"/>
  <c r="K70" i="65"/>
  <c r="J70" i="65"/>
  <c r="I70" i="65"/>
  <c r="H70" i="65"/>
  <c r="G70" i="65"/>
  <c r="F70" i="65"/>
  <c r="Q70" i="65" s="1"/>
  <c r="E70" i="65"/>
  <c r="D70" i="65"/>
  <c r="B70" i="65"/>
  <c r="Q69" i="65"/>
  <c r="B69" i="65"/>
  <c r="O68" i="65"/>
  <c r="N68" i="65"/>
  <c r="M68" i="65"/>
  <c r="L68" i="65"/>
  <c r="K68" i="65"/>
  <c r="J68" i="65"/>
  <c r="I68" i="65"/>
  <c r="H68" i="65"/>
  <c r="G68" i="65"/>
  <c r="F68" i="65"/>
  <c r="Q68" i="65" s="1"/>
  <c r="E68" i="65"/>
  <c r="D68" i="65"/>
  <c r="B68" i="65"/>
  <c r="Q67" i="65"/>
  <c r="B67" i="65"/>
  <c r="O66" i="65"/>
  <c r="O32" i="65" s="1" a="1"/>
  <c r="O32" i="65" s="1"/>
  <c r="N66" i="65"/>
  <c r="M66" i="65"/>
  <c r="L66" i="65"/>
  <c r="K66" i="65"/>
  <c r="J66" i="65"/>
  <c r="I66" i="65"/>
  <c r="H66" i="65"/>
  <c r="G66" i="65"/>
  <c r="G32" i="65" s="1" a="1"/>
  <c r="G32" i="65" s="1"/>
  <c r="F66" i="65"/>
  <c r="Q66" i="65" s="1"/>
  <c r="E66" i="65"/>
  <c r="D66" i="65"/>
  <c r="B66" i="65"/>
  <c r="Q65" i="65"/>
  <c r="B65" i="65"/>
  <c r="Q64" i="65"/>
  <c r="B64" i="65"/>
  <c r="O63" i="65"/>
  <c r="N63" i="65"/>
  <c r="M63" i="65"/>
  <c r="L63" i="65"/>
  <c r="K63" i="65"/>
  <c r="J63" i="65"/>
  <c r="I63" i="65"/>
  <c r="H63" i="65"/>
  <c r="G63" i="65"/>
  <c r="F63" i="65"/>
  <c r="E63" i="65"/>
  <c r="D63" i="65"/>
  <c r="Q63" i="65" s="1"/>
  <c r="B63" i="65"/>
  <c r="Q62" i="65"/>
  <c r="B62" i="65"/>
  <c r="O61" i="65"/>
  <c r="N61" i="65"/>
  <c r="M61" i="65"/>
  <c r="L61" i="65"/>
  <c r="K61" i="65"/>
  <c r="J61" i="65"/>
  <c r="I61" i="65"/>
  <c r="H61" i="65"/>
  <c r="G61" i="65"/>
  <c r="F61" i="65"/>
  <c r="E61" i="65"/>
  <c r="D61" i="65"/>
  <c r="Q61" i="65" s="1"/>
  <c r="B61" i="65"/>
  <c r="Q60" i="65"/>
  <c r="B60" i="65"/>
  <c r="O59" i="65"/>
  <c r="N59" i="65"/>
  <c r="M59" i="65"/>
  <c r="L59" i="65"/>
  <c r="K59" i="65"/>
  <c r="J59" i="65"/>
  <c r="I59" i="65"/>
  <c r="H59" i="65"/>
  <c r="G59" i="65"/>
  <c r="F59" i="65"/>
  <c r="E59" i="65"/>
  <c r="D59" i="65"/>
  <c r="Q59" i="65" s="1"/>
  <c r="B59" i="65"/>
  <c r="Q58" i="65"/>
  <c r="B58" i="65"/>
  <c r="O57" i="65"/>
  <c r="N57" i="65"/>
  <c r="M57" i="65"/>
  <c r="L57" i="65"/>
  <c r="K57" i="65"/>
  <c r="J57" i="65"/>
  <c r="I57" i="65"/>
  <c r="H57" i="65"/>
  <c r="G57" i="65"/>
  <c r="F57" i="65"/>
  <c r="E57" i="65"/>
  <c r="D57" i="65"/>
  <c r="Q57" i="65" s="1"/>
  <c r="B57" i="65"/>
  <c r="Q56" i="65"/>
  <c r="B56" i="65"/>
  <c r="O55" i="65"/>
  <c r="N55" i="65"/>
  <c r="M55" i="65"/>
  <c r="L55" i="65"/>
  <c r="K55" i="65"/>
  <c r="J55" i="65"/>
  <c r="I55" i="65"/>
  <c r="I32" i="65" s="1" a="1"/>
  <c r="I32" i="65" s="1"/>
  <c r="H55" i="65"/>
  <c r="G55" i="65"/>
  <c r="F55" i="65"/>
  <c r="E55" i="65"/>
  <c r="D55" i="65"/>
  <c r="Q55" i="65" s="1"/>
  <c r="B55" i="65"/>
  <c r="Q54" i="65"/>
  <c r="B54" i="65"/>
  <c r="Q53" i="65"/>
  <c r="B53" i="65"/>
  <c r="Q52" i="65"/>
  <c r="B52" i="65"/>
  <c r="Q51" i="65"/>
  <c r="B51" i="65"/>
  <c r="Q50" i="65"/>
  <c r="B50" i="65"/>
  <c r="Q49" i="65"/>
  <c r="B49" i="65"/>
  <c r="Q48" i="65"/>
  <c r="B48" i="65"/>
  <c r="Q47" i="65"/>
  <c r="B47" i="65"/>
  <c r="Q46" i="65"/>
  <c r="B46" i="65"/>
  <c r="Q45" i="65"/>
  <c r="B45" i="65"/>
  <c r="O44" i="65"/>
  <c r="N44" i="65"/>
  <c r="M44" i="65"/>
  <c r="L44" i="65"/>
  <c r="K44" i="65"/>
  <c r="J44" i="65"/>
  <c r="J32" i="65" s="1" a="1"/>
  <c r="J32" i="65" s="1"/>
  <c r="I44" i="65"/>
  <c r="H44" i="65"/>
  <c r="G44" i="65"/>
  <c r="F44" i="65"/>
  <c r="E44" i="65"/>
  <c r="D44" i="65"/>
  <c r="B44" i="65"/>
  <c r="Q43" i="65"/>
  <c r="B43" i="65"/>
  <c r="Q42" i="65"/>
  <c r="B42" i="65"/>
  <c r="Q41" i="65"/>
  <c r="B41" i="65"/>
  <c r="Q40" i="65"/>
  <c r="B40" i="65"/>
  <c r="Q39" i="65"/>
  <c r="B39" i="65"/>
  <c r="Q38" i="65"/>
  <c r="B38" i="65"/>
  <c r="Q37" i="65"/>
  <c r="B37" i="65"/>
  <c r="Q36" i="65"/>
  <c r="B36" i="65"/>
  <c r="Q35" i="65"/>
  <c r="B35" i="65"/>
  <c r="Q34" i="65"/>
  <c r="B34" i="65"/>
  <c r="O33" i="65"/>
  <c r="N33" i="65"/>
  <c r="M33" i="65"/>
  <c r="L33" i="65"/>
  <c r="L32" i="65" s="1" a="1"/>
  <c r="L32" i="65" s="1"/>
  <c r="K33" i="65"/>
  <c r="J33" i="65"/>
  <c r="I33" i="65"/>
  <c r="H33" i="65"/>
  <c r="H32" i="65" s="1" a="1"/>
  <c r="H32" i="65" s="1"/>
  <c r="G33" i="65"/>
  <c r="F33" i="65"/>
  <c r="E33" i="65"/>
  <c r="D33" i="65"/>
  <c r="B33" i="65"/>
  <c r="M32" i="65" a="1"/>
  <c r="M32" i="65" s="1"/>
  <c r="F32" i="65" a="1"/>
  <c r="F32" i="65"/>
  <c r="E32" i="65" a="1"/>
  <c r="E32" i="65" s="1"/>
  <c r="Q27" i="65"/>
  <c r="B27" i="65"/>
  <c r="Q26" i="65"/>
  <c r="B26" i="65"/>
  <c r="Q25" i="65"/>
  <c r="B25" i="65"/>
  <c r="Q24" i="65"/>
  <c r="B24" i="65"/>
  <c r="Q23" i="65"/>
  <c r="B23" i="65"/>
  <c r="Q22" i="65"/>
  <c r="B22" i="65"/>
  <c r="Q21" i="65"/>
  <c r="B21" i="65"/>
  <c r="Q20" i="65"/>
  <c r="B20" i="65"/>
  <c r="Q19" i="65"/>
  <c r="B19" i="65"/>
  <c r="Q18" i="65"/>
  <c r="Q17" i="65" s="1"/>
  <c r="B18" i="65"/>
  <c r="O17" i="65"/>
  <c r="N17" i="65"/>
  <c r="M17" i="65"/>
  <c r="L17" i="65"/>
  <c r="K17" i="65"/>
  <c r="J17" i="65"/>
  <c r="I17" i="65"/>
  <c r="H17" i="65"/>
  <c r="G17" i="65"/>
  <c r="F17" i="65"/>
  <c r="E17" i="65"/>
  <c r="D17" i="65"/>
  <c r="M15" i="65"/>
  <c r="L15" i="65"/>
  <c r="K15" i="65"/>
  <c r="J15" i="65"/>
  <c r="I15" i="65"/>
  <c r="H15" i="65"/>
  <c r="G15" i="65"/>
  <c r="F15" i="65"/>
  <c r="Q15" i="65" s="1"/>
  <c r="E15" i="65"/>
  <c r="D15" i="65"/>
  <c r="B15" i="65"/>
  <c r="M14" i="65"/>
  <c r="L14" i="65"/>
  <c r="K14" i="65"/>
  <c r="J14" i="65"/>
  <c r="I14" i="65"/>
  <c r="H14" i="65"/>
  <c r="G14" i="65"/>
  <c r="F14" i="65"/>
  <c r="E14" i="65"/>
  <c r="D14" i="65"/>
  <c r="B14" i="65"/>
  <c r="M13" i="65"/>
  <c r="L13" i="65"/>
  <c r="K13" i="65"/>
  <c r="J13" i="65"/>
  <c r="I13" i="65"/>
  <c r="H13" i="65"/>
  <c r="G13" i="65"/>
  <c r="F13" i="65"/>
  <c r="E13" i="65"/>
  <c r="Q13" i="65" s="1"/>
  <c r="D13" i="65"/>
  <c r="B13" i="65"/>
  <c r="M12" i="65"/>
  <c r="L12" i="65"/>
  <c r="K12" i="65"/>
  <c r="K10" i="65" s="1"/>
  <c r="J12" i="65"/>
  <c r="I12" i="65"/>
  <c r="H12" i="65"/>
  <c r="G12" i="65"/>
  <c r="F12" i="65"/>
  <c r="E12" i="65"/>
  <c r="D12" i="65"/>
  <c r="B12" i="65"/>
  <c r="M11" i="65"/>
  <c r="L11" i="65"/>
  <c r="K11" i="65"/>
  <c r="J11" i="65"/>
  <c r="J10" i="65" s="1"/>
  <c r="J29" i="65" s="1"/>
  <c r="I11" i="65"/>
  <c r="H11" i="65"/>
  <c r="G11" i="65"/>
  <c r="F11" i="65"/>
  <c r="E11" i="65"/>
  <c r="D11" i="65"/>
  <c r="B11" i="65"/>
  <c r="O10" i="65"/>
  <c r="O29" i="65" s="1"/>
  <c r="N10" i="65"/>
  <c r="L10" i="65"/>
  <c r="L29" i="65" s="1"/>
  <c r="H10" i="65"/>
  <c r="H29" i="65" s="1"/>
  <c r="G10" i="65"/>
  <c r="G29" i="65" s="1"/>
  <c r="D10" i="65"/>
  <c r="D29" i="65" s="1"/>
  <c r="O8" i="65"/>
  <c r="N8" i="65"/>
  <c r="M8" i="65"/>
  <c r="L8" i="65"/>
  <c r="K8" i="65"/>
  <c r="J8" i="65"/>
  <c r="I8" i="65"/>
  <c r="H8" i="65"/>
  <c r="G8" i="65"/>
  <c r="F8" i="65"/>
  <c r="E8" i="65"/>
  <c r="D8" i="65"/>
  <c r="B5" i="65"/>
  <c r="Q61" i="64"/>
  <c r="M56" i="64"/>
  <c r="L56" i="64"/>
  <c r="K56" i="64"/>
  <c r="J56" i="64"/>
  <c r="I56" i="64"/>
  <c r="H56" i="64"/>
  <c r="G56" i="64"/>
  <c r="F56" i="64"/>
  <c r="Q56" i="64" s="1"/>
  <c r="E56" i="64"/>
  <c r="D56" i="64"/>
  <c r="Q54" i="64"/>
  <c r="B54" i="64"/>
  <c r="O53" i="64"/>
  <c r="N53" i="64"/>
  <c r="M53" i="64"/>
  <c r="L53" i="64"/>
  <c r="K53" i="64"/>
  <c r="J53" i="64"/>
  <c r="I53" i="64"/>
  <c r="H53" i="64"/>
  <c r="G53" i="64"/>
  <c r="F53" i="64"/>
  <c r="E53" i="64"/>
  <c r="D53" i="64"/>
  <c r="B53" i="64"/>
  <c r="Q52" i="64"/>
  <c r="B52" i="64"/>
  <c r="O51" i="64"/>
  <c r="N51" i="64"/>
  <c r="M51" i="64"/>
  <c r="L51" i="64"/>
  <c r="K51" i="64"/>
  <c r="J51" i="64"/>
  <c r="I51" i="64"/>
  <c r="H51" i="64"/>
  <c r="G51" i="64"/>
  <c r="F51" i="64"/>
  <c r="E51" i="64"/>
  <c r="D51" i="64"/>
  <c r="B51" i="64"/>
  <c r="Q50" i="64"/>
  <c r="B50" i="64"/>
  <c r="Q49" i="64"/>
  <c r="B49" i="64"/>
  <c r="O48" i="64"/>
  <c r="N48" i="64"/>
  <c r="M48" i="64"/>
  <c r="L48" i="64"/>
  <c r="K48" i="64"/>
  <c r="J48" i="64"/>
  <c r="I48" i="64"/>
  <c r="H48" i="64"/>
  <c r="G48" i="64"/>
  <c r="F48" i="64"/>
  <c r="E48" i="64"/>
  <c r="D48" i="64"/>
  <c r="Q48" i="64" s="1"/>
  <c r="B48" i="64"/>
  <c r="Q47" i="64"/>
  <c r="B47" i="64"/>
  <c r="Q46" i="64"/>
  <c r="B46" i="64"/>
  <c r="O45" i="64"/>
  <c r="N45" i="64"/>
  <c r="N23" i="64" s="1" a="1"/>
  <c r="M45" i="64"/>
  <c r="M23" i="64" s="1" a="1"/>
  <c r="M23" i="64" s="1"/>
  <c r="L45" i="64"/>
  <c r="K45" i="64"/>
  <c r="J45" i="64"/>
  <c r="I45" i="64"/>
  <c r="H45" i="64"/>
  <c r="G45" i="64"/>
  <c r="F45" i="64"/>
  <c r="F23" i="64" s="1" a="1"/>
  <c r="E45" i="64"/>
  <c r="E23" i="64" s="1" a="1"/>
  <c r="E23" i="64" s="1"/>
  <c r="D45" i="64"/>
  <c r="B45" i="64"/>
  <c r="Q44" i="64"/>
  <c r="B44" i="64"/>
  <c r="Q43" i="64"/>
  <c r="B43" i="64"/>
  <c r="O42" i="64"/>
  <c r="N42" i="64"/>
  <c r="M42" i="64"/>
  <c r="L42" i="64"/>
  <c r="K42" i="64"/>
  <c r="J42" i="64"/>
  <c r="I42" i="64"/>
  <c r="H42" i="64"/>
  <c r="G42" i="64"/>
  <c r="Q42" i="64" s="1"/>
  <c r="F42" i="64"/>
  <c r="E42" i="64"/>
  <c r="D42" i="64"/>
  <c r="B42" i="64"/>
  <c r="Q41" i="64"/>
  <c r="B41" i="64"/>
  <c r="O40" i="64"/>
  <c r="N40" i="64"/>
  <c r="M40" i="64"/>
  <c r="L40" i="64"/>
  <c r="K40" i="64"/>
  <c r="J40" i="64"/>
  <c r="I40" i="64"/>
  <c r="H40" i="64"/>
  <c r="G40" i="64"/>
  <c r="Q40" i="64" s="1"/>
  <c r="F40" i="64"/>
  <c r="E40" i="64"/>
  <c r="D40" i="64"/>
  <c r="B40" i="64"/>
  <c r="Q39" i="64"/>
  <c r="B39" i="64"/>
  <c r="O38" i="64"/>
  <c r="N38" i="64"/>
  <c r="M38" i="64"/>
  <c r="L38" i="64"/>
  <c r="K38" i="64"/>
  <c r="J38" i="64"/>
  <c r="I38" i="64"/>
  <c r="H38" i="64"/>
  <c r="G38" i="64"/>
  <c r="Q38" i="64" s="1"/>
  <c r="F38" i="64"/>
  <c r="E38" i="64"/>
  <c r="D38" i="64"/>
  <c r="B38" i="64"/>
  <c r="Q37" i="64"/>
  <c r="B37" i="64"/>
  <c r="O36" i="64"/>
  <c r="N36" i="64"/>
  <c r="M36" i="64"/>
  <c r="L36" i="64"/>
  <c r="K36" i="64"/>
  <c r="J36" i="64"/>
  <c r="I36" i="64"/>
  <c r="H36" i="64"/>
  <c r="G36" i="64"/>
  <c r="Q36" i="64" s="1"/>
  <c r="F36" i="64"/>
  <c r="E36" i="64"/>
  <c r="D36" i="64"/>
  <c r="B36" i="64"/>
  <c r="Q35" i="64"/>
  <c r="B35" i="64"/>
  <c r="O34" i="64"/>
  <c r="N34" i="64"/>
  <c r="M34" i="64"/>
  <c r="L34" i="64"/>
  <c r="K34" i="64"/>
  <c r="J34" i="64"/>
  <c r="I34" i="64"/>
  <c r="H34" i="64"/>
  <c r="G34" i="64"/>
  <c r="Q34" i="64" s="1"/>
  <c r="F34" i="64"/>
  <c r="E34" i="64"/>
  <c r="D34" i="64"/>
  <c r="B34" i="64"/>
  <c r="Q33" i="64"/>
  <c r="B33" i="64"/>
  <c r="O32" i="64"/>
  <c r="N32" i="64"/>
  <c r="M32" i="64"/>
  <c r="L32" i="64"/>
  <c r="K32" i="64"/>
  <c r="J32" i="64"/>
  <c r="I32" i="64"/>
  <c r="H32" i="64"/>
  <c r="G32" i="64"/>
  <c r="Q32" i="64" s="1"/>
  <c r="F32" i="64"/>
  <c r="E32" i="64"/>
  <c r="D32" i="64"/>
  <c r="B32" i="64"/>
  <c r="Q31" i="64"/>
  <c r="B31" i="64"/>
  <c r="O30" i="64"/>
  <c r="N30" i="64"/>
  <c r="M30" i="64"/>
  <c r="L30" i="64"/>
  <c r="K30" i="64"/>
  <c r="J30" i="64"/>
  <c r="I30" i="64"/>
  <c r="H30" i="64"/>
  <c r="H23" i="64" s="1" a="1"/>
  <c r="H23" i="64" s="1"/>
  <c r="G30" i="64"/>
  <c r="Q30" i="64" s="1"/>
  <c r="F30" i="64"/>
  <c r="E30" i="64"/>
  <c r="D30" i="64"/>
  <c r="B30" i="64"/>
  <c r="Q29" i="64"/>
  <c r="B29" i="64"/>
  <c r="Q28" i="64"/>
  <c r="B28" i="64"/>
  <c r="O27" i="64"/>
  <c r="N27" i="64"/>
  <c r="M27" i="64"/>
  <c r="L27" i="64"/>
  <c r="K27" i="64"/>
  <c r="J27" i="64"/>
  <c r="I27" i="64"/>
  <c r="H27" i="64"/>
  <c r="G27" i="64"/>
  <c r="F27" i="64"/>
  <c r="E27" i="64"/>
  <c r="D27" i="64"/>
  <c r="B27" i="64"/>
  <c r="Q26" i="64"/>
  <c r="B26" i="64"/>
  <c r="Q25" i="64"/>
  <c r="B25" i="64"/>
  <c r="O24" i="64"/>
  <c r="N24" i="64"/>
  <c r="M24" i="64"/>
  <c r="L24" i="64"/>
  <c r="K24" i="64"/>
  <c r="J24" i="64"/>
  <c r="I24" i="64"/>
  <c r="H24" i="64"/>
  <c r="G24" i="64"/>
  <c r="F24" i="64"/>
  <c r="E24" i="64"/>
  <c r="D24" i="64"/>
  <c r="B24" i="64"/>
  <c r="N23" i="64"/>
  <c r="I23" i="64" a="1"/>
  <c r="I23" i="64" s="1"/>
  <c r="F23" i="64"/>
  <c r="E20" i="64"/>
  <c r="Q18" i="64"/>
  <c r="B18" i="64"/>
  <c r="Q17" i="64"/>
  <c r="Q16" i="64" s="1"/>
  <c r="B17" i="64"/>
  <c r="O16" i="64"/>
  <c r="N16" i="64"/>
  <c r="M16" i="64"/>
  <c r="L16" i="64"/>
  <c r="K16" i="64"/>
  <c r="J16" i="64"/>
  <c r="I16" i="64"/>
  <c r="H16" i="64"/>
  <c r="G16" i="64"/>
  <c r="F16" i="64"/>
  <c r="E16" i="64"/>
  <c r="D16" i="64"/>
  <c r="M14" i="64"/>
  <c r="L14" i="64"/>
  <c r="K14" i="64"/>
  <c r="J14" i="64"/>
  <c r="I14" i="64"/>
  <c r="H14" i="64"/>
  <c r="G14" i="64"/>
  <c r="F14" i="64"/>
  <c r="F10" i="64" s="1"/>
  <c r="F20" i="64" s="1"/>
  <c r="E14" i="64"/>
  <c r="D14" i="64"/>
  <c r="B14" i="64"/>
  <c r="M13" i="64"/>
  <c r="L13" i="64"/>
  <c r="K13" i="64"/>
  <c r="J13" i="64"/>
  <c r="I13" i="64"/>
  <c r="H13" i="64"/>
  <c r="G13" i="64"/>
  <c r="F13" i="64"/>
  <c r="E13" i="64"/>
  <c r="D13" i="64"/>
  <c r="B13" i="64"/>
  <c r="M12" i="64"/>
  <c r="L12" i="64"/>
  <c r="K12" i="64"/>
  <c r="J12" i="64"/>
  <c r="I12" i="64"/>
  <c r="H12" i="64"/>
  <c r="G12" i="64"/>
  <c r="F12" i="64"/>
  <c r="E12" i="64"/>
  <c r="E10" i="64" s="1"/>
  <c r="D12" i="64"/>
  <c r="B12" i="64"/>
  <c r="M11" i="64"/>
  <c r="L11" i="64"/>
  <c r="K11" i="64"/>
  <c r="J11" i="64"/>
  <c r="I11" i="64"/>
  <c r="H11" i="64"/>
  <c r="H10" i="64" s="1"/>
  <c r="H20" i="64" s="1"/>
  <c r="G11" i="64"/>
  <c r="G10" i="64" s="1"/>
  <c r="G20" i="64" s="1"/>
  <c r="F11" i="64"/>
  <c r="E11" i="64"/>
  <c r="D11" i="64"/>
  <c r="B11" i="64"/>
  <c r="O10" i="64"/>
  <c r="O20" i="64" s="1"/>
  <c r="N10" i="64"/>
  <c r="N20" i="64" s="1"/>
  <c r="M10" i="64"/>
  <c r="M20" i="64" s="1"/>
  <c r="J10" i="64"/>
  <c r="J20" i="64" s="1"/>
  <c r="O8" i="64"/>
  <c r="N8" i="64"/>
  <c r="M8" i="64"/>
  <c r="L8" i="64"/>
  <c r="K8" i="64"/>
  <c r="J8" i="64"/>
  <c r="I8" i="64"/>
  <c r="H8" i="64"/>
  <c r="G8" i="64"/>
  <c r="F8" i="64"/>
  <c r="E8" i="64"/>
  <c r="D8" i="64"/>
  <c r="B5" i="64"/>
  <c r="Q88" i="63"/>
  <c r="M83" i="63"/>
  <c r="L83" i="63"/>
  <c r="K83" i="63"/>
  <c r="J83" i="63"/>
  <c r="I83" i="63"/>
  <c r="H83" i="63"/>
  <c r="G83" i="63"/>
  <c r="F83" i="63"/>
  <c r="E83" i="63"/>
  <c r="Q83" i="63" s="1"/>
  <c r="D83" i="63"/>
  <c r="Q81" i="63"/>
  <c r="B81" i="63"/>
  <c r="O80" i="63"/>
  <c r="N80" i="63"/>
  <c r="M80" i="63"/>
  <c r="L80" i="63"/>
  <c r="K80" i="63"/>
  <c r="J80" i="63"/>
  <c r="I80" i="63"/>
  <c r="H80" i="63"/>
  <c r="G80" i="63"/>
  <c r="F80" i="63"/>
  <c r="E80" i="63"/>
  <c r="D80" i="63"/>
  <c r="B80" i="63"/>
  <c r="Q79" i="63"/>
  <c r="B79" i="63"/>
  <c r="Q78" i="63"/>
  <c r="B78" i="63"/>
  <c r="Q77" i="63"/>
  <c r="B77" i="63"/>
  <c r="Q76" i="63"/>
  <c r="B76" i="63"/>
  <c r="O75" i="63"/>
  <c r="N75" i="63"/>
  <c r="M75" i="63"/>
  <c r="L75" i="63"/>
  <c r="K75" i="63"/>
  <c r="J75" i="63"/>
  <c r="I75" i="63"/>
  <c r="H75" i="63"/>
  <c r="G75" i="63"/>
  <c r="F75" i="63"/>
  <c r="E75" i="63"/>
  <c r="D75" i="63"/>
  <c r="B75" i="63"/>
  <c r="Q74" i="63"/>
  <c r="B74" i="63"/>
  <c r="O73" i="63"/>
  <c r="N73" i="63"/>
  <c r="M73" i="63"/>
  <c r="L73" i="63"/>
  <c r="K73" i="63"/>
  <c r="J73" i="63"/>
  <c r="I73" i="63"/>
  <c r="H73" i="63"/>
  <c r="G73" i="63"/>
  <c r="F73" i="63"/>
  <c r="E73" i="63"/>
  <c r="D73" i="63"/>
  <c r="B73" i="63"/>
  <c r="Q72" i="63"/>
  <c r="B72" i="63"/>
  <c r="Q71" i="63"/>
  <c r="B71" i="63"/>
  <c r="O70" i="63"/>
  <c r="N70" i="63"/>
  <c r="M70" i="63"/>
  <c r="L70" i="63"/>
  <c r="K70" i="63"/>
  <c r="K31" i="63" s="1" a="1"/>
  <c r="K31" i="63" s="1"/>
  <c r="J70" i="63"/>
  <c r="I70" i="63"/>
  <c r="H70" i="63"/>
  <c r="G70" i="63"/>
  <c r="F70" i="63"/>
  <c r="E70" i="63"/>
  <c r="D70" i="63"/>
  <c r="B70" i="63"/>
  <c r="Q69" i="63"/>
  <c r="B69" i="63"/>
  <c r="Q68" i="63"/>
  <c r="B68" i="63"/>
  <c r="O67" i="63"/>
  <c r="N67" i="63"/>
  <c r="M67" i="63"/>
  <c r="L67" i="63"/>
  <c r="K67" i="63"/>
  <c r="J67" i="63"/>
  <c r="I67" i="63"/>
  <c r="H67" i="63"/>
  <c r="G67" i="63"/>
  <c r="F67" i="63"/>
  <c r="E67" i="63"/>
  <c r="Q67" i="63" s="1"/>
  <c r="D67" i="63"/>
  <c r="B67" i="63"/>
  <c r="Q66" i="63"/>
  <c r="B66" i="63"/>
  <c r="O65" i="63"/>
  <c r="N65" i="63"/>
  <c r="M65" i="63"/>
  <c r="L65" i="63"/>
  <c r="K65" i="63"/>
  <c r="J65" i="63"/>
  <c r="I65" i="63"/>
  <c r="H65" i="63"/>
  <c r="G65" i="63"/>
  <c r="F65" i="63"/>
  <c r="E65" i="63"/>
  <c r="D65" i="63"/>
  <c r="B65" i="63"/>
  <c r="Q64" i="63"/>
  <c r="B64" i="63"/>
  <c r="O63" i="63"/>
  <c r="N63" i="63"/>
  <c r="M63" i="63"/>
  <c r="L63" i="63"/>
  <c r="K63" i="63"/>
  <c r="J63" i="63"/>
  <c r="I63" i="63"/>
  <c r="H63" i="63"/>
  <c r="G63" i="63"/>
  <c r="F63" i="63"/>
  <c r="E63" i="63"/>
  <c r="D63" i="63"/>
  <c r="B63" i="63"/>
  <c r="Q62" i="63"/>
  <c r="B62" i="63"/>
  <c r="O61" i="63"/>
  <c r="N61" i="63"/>
  <c r="M61" i="63"/>
  <c r="L61" i="63"/>
  <c r="K61" i="63"/>
  <c r="J61" i="63"/>
  <c r="I61" i="63"/>
  <c r="H61" i="63"/>
  <c r="G61" i="63"/>
  <c r="F61" i="63"/>
  <c r="E61" i="63"/>
  <c r="D61" i="63"/>
  <c r="B61" i="63"/>
  <c r="Q60" i="63"/>
  <c r="B60" i="63"/>
  <c r="O59" i="63"/>
  <c r="N59" i="63"/>
  <c r="M59" i="63"/>
  <c r="L59" i="63"/>
  <c r="K59" i="63"/>
  <c r="J59" i="63"/>
  <c r="I59" i="63"/>
  <c r="H59" i="63"/>
  <c r="G59" i="63"/>
  <c r="F59" i="63"/>
  <c r="E59" i="63"/>
  <c r="D59" i="63"/>
  <c r="B59" i="63"/>
  <c r="Q58" i="63"/>
  <c r="B58" i="63"/>
  <c r="O57" i="63"/>
  <c r="N57" i="63"/>
  <c r="M57" i="63"/>
  <c r="L57" i="63"/>
  <c r="K57" i="63"/>
  <c r="J57" i="63"/>
  <c r="I57" i="63"/>
  <c r="H57" i="63"/>
  <c r="G57" i="63"/>
  <c r="F57" i="63"/>
  <c r="E57" i="63"/>
  <c r="D57" i="63"/>
  <c r="B57" i="63"/>
  <c r="Q56" i="63"/>
  <c r="B56" i="63"/>
  <c r="O55" i="63"/>
  <c r="N55" i="63"/>
  <c r="M55" i="63"/>
  <c r="L55" i="63"/>
  <c r="K55" i="63"/>
  <c r="J55" i="63"/>
  <c r="I55" i="63"/>
  <c r="H55" i="63"/>
  <c r="G55" i="63"/>
  <c r="F55" i="63"/>
  <c r="E55" i="63"/>
  <c r="D55" i="63"/>
  <c r="B55" i="63"/>
  <c r="Q54" i="63"/>
  <c r="B54" i="63"/>
  <c r="O53" i="63"/>
  <c r="N53" i="63"/>
  <c r="M53" i="63"/>
  <c r="M31" i="63" s="1" a="1"/>
  <c r="M31" i="63" s="1"/>
  <c r="L53" i="63"/>
  <c r="K53" i="63"/>
  <c r="J53" i="63"/>
  <c r="I53" i="63"/>
  <c r="H53" i="63"/>
  <c r="G53" i="63"/>
  <c r="F53" i="63"/>
  <c r="E53" i="63"/>
  <c r="Q53" i="63" s="1"/>
  <c r="D53" i="63"/>
  <c r="B53" i="63"/>
  <c r="Q52" i="63"/>
  <c r="B52" i="63"/>
  <c r="Q51" i="63"/>
  <c r="B51" i="63"/>
  <c r="Q50" i="63"/>
  <c r="B50" i="63"/>
  <c r="Q49" i="63"/>
  <c r="B49" i="63"/>
  <c r="Q48" i="63"/>
  <c r="B48" i="63"/>
  <c r="Q47" i="63"/>
  <c r="B47" i="63"/>
  <c r="Q46" i="63"/>
  <c r="B46" i="63"/>
  <c r="Q45" i="63"/>
  <c r="B45" i="63"/>
  <c r="Q44" i="63"/>
  <c r="B44" i="63"/>
  <c r="Q43" i="63"/>
  <c r="B43" i="63"/>
  <c r="O42" i="63"/>
  <c r="N42" i="63"/>
  <c r="M42" i="63"/>
  <c r="L42" i="63"/>
  <c r="K42" i="63"/>
  <c r="J42" i="63"/>
  <c r="I42" i="63"/>
  <c r="H42" i="63"/>
  <c r="G42" i="63"/>
  <c r="Q42" i="63" s="1"/>
  <c r="F42" i="63"/>
  <c r="E42" i="63"/>
  <c r="D42" i="63"/>
  <c r="B42" i="63"/>
  <c r="Q41" i="63"/>
  <c r="B41" i="63"/>
  <c r="Q40" i="63"/>
  <c r="B40" i="63"/>
  <c r="Q39" i="63"/>
  <c r="B39" i="63"/>
  <c r="Q38" i="63"/>
  <c r="B38" i="63"/>
  <c r="Q37" i="63"/>
  <c r="B37" i="63"/>
  <c r="Q36" i="63"/>
  <c r="B36" i="63"/>
  <c r="Q35" i="63"/>
  <c r="B35" i="63"/>
  <c r="Q34" i="63"/>
  <c r="B34" i="63"/>
  <c r="Q33" i="63"/>
  <c r="B33" i="63"/>
  <c r="O32" i="63"/>
  <c r="O31" i="63" s="1" a="1"/>
  <c r="N32" i="63"/>
  <c r="M32" i="63"/>
  <c r="L32" i="63"/>
  <c r="K32" i="63"/>
  <c r="J32" i="63"/>
  <c r="I32" i="63"/>
  <c r="H32" i="63"/>
  <c r="H31" i="63" s="1" a="1"/>
  <c r="H31" i="63" s="1"/>
  <c r="G32" i="63"/>
  <c r="G31" i="63" s="1" a="1"/>
  <c r="F32" i="63"/>
  <c r="E32" i="63"/>
  <c r="D32" i="63"/>
  <c r="B32" i="63"/>
  <c r="O31" i="63"/>
  <c r="G31" i="63"/>
  <c r="G29" i="63"/>
  <c r="N28" i="63"/>
  <c r="Q26" i="63"/>
  <c r="B26" i="63"/>
  <c r="Q25" i="63"/>
  <c r="B25" i="63"/>
  <c r="Q24" i="63"/>
  <c r="B24" i="63"/>
  <c r="Q23" i="63"/>
  <c r="B23" i="63"/>
  <c r="Q22" i="63"/>
  <c r="B22" i="63"/>
  <c r="Q21" i="63"/>
  <c r="B21" i="63"/>
  <c r="Q20" i="63"/>
  <c r="B20" i="63"/>
  <c r="Q19" i="63"/>
  <c r="B19" i="63"/>
  <c r="Q18" i="63"/>
  <c r="B18" i="63"/>
  <c r="Q17" i="63"/>
  <c r="B17" i="63"/>
  <c r="O16" i="63"/>
  <c r="N16" i="63"/>
  <c r="M16" i="63"/>
  <c r="L16" i="63"/>
  <c r="K16" i="63"/>
  <c r="J16" i="63"/>
  <c r="I16" i="63"/>
  <c r="H16" i="63"/>
  <c r="G16" i="63"/>
  <c r="F16" i="63"/>
  <c r="E16" i="63"/>
  <c r="D16" i="63"/>
  <c r="M14" i="63"/>
  <c r="L14" i="63"/>
  <c r="K14" i="63"/>
  <c r="J14" i="63"/>
  <c r="J10" i="63" s="1"/>
  <c r="I14" i="63"/>
  <c r="H14" i="63"/>
  <c r="G14" i="63"/>
  <c r="F14" i="63"/>
  <c r="E14" i="63"/>
  <c r="D14" i="63"/>
  <c r="Q14" i="63" s="1"/>
  <c r="B14" i="63"/>
  <c r="M13" i="63"/>
  <c r="L13" i="63"/>
  <c r="K13" i="63"/>
  <c r="J13" i="63"/>
  <c r="I13" i="63"/>
  <c r="H13" i="63"/>
  <c r="G13" i="63"/>
  <c r="F13" i="63"/>
  <c r="Q13" i="63" s="1"/>
  <c r="E13" i="63"/>
  <c r="D13" i="63"/>
  <c r="D10" i="63" s="1"/>
  <c r="D28" i="63" s="1"/>
  <c r="B13" i="63"/>
  <c r="M12" i="63"/>
  <c r="L12" i="63"/>
  <c r="K12" i="63"/>
  <c r="J12" i="63"/>
  <c r="I12" i="63"/>
  <c r="H12" i="63"/>
  <c r="G12" i="63"/>
  <c r="F12" i="63"/>
  <c r="E12" i="63"/>
  <c r="D12" i="63"/>
  <c r="B12" i="63"/>
  <c r="M11" i="63"/>
  <c r="L11" i="63"/>
  <c r="K11" i="63"/>
  <c r="J11" i="63"/>
  <c r="I11" i="63"/>
  <c r="I10" i="63" s="1"/>
  <c r="I28" i="63" s="1"/>
  <c r="H11" i="63"/>
  <c r="H10" i="63" s="1"/>
  <c r="H28" i="63" s="1"/>
  <c r="G11" i="63"/>
  <c r="F11" i="63"/>
  <c r="E11" i="63"/>
  <c r="D11" i="63"/>
  <c r="B11" i="63"/>
  <c r="O10" i="63"/>
  <c r="O28" i="63" s="1"/>
  <c r="N10" i="63"/>
  <c r="L10" i="63"/>
  <c r="L28" i="63" s="1"/>
  <c r="K10" i="63"/>
  <c r="K28" i="63" s="1"/>
  <c r="G10" i="63"/>
  <c r="G28" i="63" s="1"/>
  <c r="O8" i="63"/>
  <c r="N8" i="63"/>
  <c r="M8" i="63"/>
  <c r="L8" i="63"/>
  <c r="K8" i="63"/>
  <c r="J8" i="63"/>
  <c r="I8" i="63"/>
  <c r="H8" i="63"/>
  <c r="G8" i="63"/>
  <c r="F8" i="63"/>
  <c r="E8" i="63"/>
  <c r="D8" i="63"/>
  <c r="B5" i="63"/>
  <c r="Q101" i="62"/>
  <c r="M96" i="62"/>
  <c r="L96" i="62"/>
  <c r="K96" i="62"/>
  <c r="J96" i="62"/>
  <c r="I96" i="62"/>
  <c r="H96" i="62"/>
  <c r="G96" i="62"/>
  <c r="F96" i="62"/>
  <c r="Q96" i="62" s="1"/>
  <c r="E96" i="62"/>
  <c r="D96" i="62"/>
  <c r="Q94" i="62"/>
  <c r="B94" i="62"/>
  <c r="O93" i="62"/>
  <c r="N93" i="62"/>
  <c r="M93" i="62"/>
  <c r="L93" i="62"/>
  <c r="K93" i="62"/>
  <c r="J93" i="62"/>
  <c r="I93" i="62"/>
  <c r="H93" i="62"/>
  <c r="G93" i="62"/>
  <c r="F93" i="62"/>
  <c r="E93" i="62"/>
  <c r="Q93" i="62" s="1"/>
  <c r="D93" i="62"/>
  <c r="B93" i="62"/>
  <c r="Q92" i="62"/>
  <c r="B92" i="62"/>
  <c r="Q91" i="62"/>
  <c r="B91" i="62"/>
  <c r="O90" i="62"/>
  <c r="N90" i="62"/>
  <c r="M90" i="62"/>
  <c r="L90" i="62"/>
  <c r="K90" i="62"/>
  <c r="J90" i="62"/>
  <c r="I90" i="62"/>
  <c r="H90" i="62"/>
  <c r="G90" i="62"/>
  <c r="F90" i="62"/>
  <c r="E90" i="62"/>
  <c r="D90" i="62"/>
  <c r="B90" i="62"/>
  <c r="Q89" i="62"/>
  <c r="B89" i="62"/>
  <c r="O88" i="62"/>
  <c r="N88" i="62"/>
  <c r="M88" i="62"/>
  <c r="L88" i="62"/>
  <c r="K88" i="62"/>
  <c r="J88" i="62"/>
  <c r="I88" i="62"/>
  <c r="H88" i="62"/>
  <c r="G88" i="62"/>
  <c r="F88" i="62"/>
  <c r="E88" i="62"/>
  <c r="D88" i="62"/>
  <c r="B88" i="62"/>
  <c r="Q87" i="62"/>
  <c r="B87" i="62"/>
  <c r="O86" i="62"/>
  <c r="N86" i="62"/>
  <c r="M86" i="62"/>
  <c r="L86" i="62"/>
  <c r="K86" i="62"/>
  <c r="J86" i="62"/>
  <c r="I86" i="62"/>
  <c r="H86" i="62"/>
  <c r="G86" i="62"/>
  <c r="F86" i="62"/>
  <c r="E86" i="62"/>
  <c r="D86" i="62"/>
  <c r="Q86" i="62" s="1"/>
  <c r="B86" i="62"/>
  <c r="Q85" i="62"/>
  <c r="B85" i="62"/>
  <c r="Q84" i="62"/>
  <c r="B84" i="62"/>
  <c r="Q83" i="62"/>
  <c r="B83" i="62"/>
  <c r="Q82" i="62"/>
  <c r="B82" i="62"/>
  <c r="Q81" i="62"/>
  <c r="B81" i="62"/>
  <c r="Q80" i="62"/>
  <c r="B80" i="62"/>
  <c r="O79" i="62"/>
  <c r="N79" i="62"/>
  <c r="M79" i="62"/>
  <c r="L79" i="62"/>
  <c r="K79" i="62"/>
  <c r="J79" i="62"/>
  <c r="I79" i="62"/>
  <c r="H79" i="62"/>
  <c r="G79" i="62"/>
  <c r="F79" i="62"/>
  <c r="E79" i="62"/>
  <c r="D79" i="62"/>
  <c r="B79" i="62"/>
  <c r="Q78" i="62"/>
  <c r="B78" i="62"/>
  <c r="O77" i="62"/>
  <c r="N77" i="62"/>
  <c r="M77" i="62"/>
  <c r="L77" i="62"/>
  <c r="K77" i="62"/>
  <c r="J77" i="62"/>
  <c r="I77" i="62"/>
  <c r="H77" i="62"/>
  <c r="G77" i="62"/>
  <c r="F77" i="62"/>
  <c r="E77" i="62"/>
  <c r="D77" i="62"/>
  <c r="Q77" i="62" s="1"/>
  <c r="B77" i="62"/>
  <c r="Q76" i="62"/>
  <c r="B76" i="62"/>
  <c r="Q75" i="62"/>
  <c r="B75" i="62"/>
  <c r="O74" i="62"/>
  <c r="N74" i="62"/>
  <c r="M74" i="62"/>
  <c r="L74" i="62"/>
  <c r="K74" i="62"/>
  <c r="J74" i="62"/>
  <c r="I74" i="62"/>
  <c r="H74" i="62"/>
  <c r="G74" i="62"/>
  <c r="F74" i="62"/>
  <c r="Q74" i="62" s="1"/>
  <c r="E74" i="62"/>
  <c r="D74" i="62"/>
  <c r="B74" i="62"/>
  <c r="Q73" i="62"/>
  <c r="B73" i="62"/>
  <c r="Q72" i="62"/>
  <c r="B72" i="62"/>
  <c r="Q71" i="62"/>
  <c r="B71" i="62"/>
  <c r="Q70" i="62"/>
  <c r="B70" i="62"/>
  <c r="O69" i="62"/>
  <c r="N69" i="62"/>
  <c r="M69" i="62"/>
  <c r="L69" i="62"/>
  <c r="K69" i="62"/>
  <c r="J69" i="62"/>
  <c r="I69" i="62"/>
  <c r="H69" i="62"/>
  <c r="G69" i="62"/>
  <c r="F69" i="62"/>
  <c r="E69" i="62"/>
  <c r="D69" i="62"/>
  <c r="B69" i="62"/>
  <c r="Q68" i="62"/>
  <c r="B68" i="62"/>
  <c r="O67" i="62"/>
  <c r="N67" i="62"/>
  <c r="M67" i="62"/>
  <c r="L67" i="62"/>
  <c r="K67" i="62"/>
  <c r="J67" i="62"/>
  <c r="I67" i="62"/>
  <c r="H67" i="62"/>
  <c r="G67" i="62"/>
  <c r="F67" i="62"/>
  <c r="E67" i="62"/>
  <c r="D67" i="62"/>
  <c r="Q67" i="62" s="1"/>
  <c r="B67" i="62"/>
  <c r="Q66" i="62"/>
  <c r="B66" i="62"/>
  <c r="O65" i="62"/>
  <c r="N65" i="62"/>
  <c r="M65" i="62"/>
  <c r="L65" i="62"/>
  <c r="K65" i="62"/>
  <c r="J65" i="62"/>
  <c r="I65" i="62"/>
  <c r="H65" i="62"/>
  <c r="G65" i="62"/>
  <c r="F65" i="62"/>
  <c r="E65" i="62"/>
  <c r="D65" i="62"/>
  <c r="B65" i="62"/>
  <c r="Q64" i="62"/>
  <c r="B64" i="62"/>
  <c r="O63" i="62"/>
  <c r="N63" i="62"/>
  <c r="M63" i="62"/>
  <c r="L63" i="62"/>
  <c r="K63" i="62"/>
  <c r="J63" i="62"/>
  <c r="I63" i="62"/>
  <c r="H63" i="62"/>
  <c r="G63" i="62"/>
  <c r="F63" i="62"/>
  <c r="E63" i="62"/>
  <c r="D63" i="62"/>
  <c r="B63" i="62"/>
  <c r="Q62" i="62"/>
  <c r="B62" i="62"/>
  <c r="O61" i="62"/>
  <c r="N61" i="62"/>
  <c r="M61" i="62"/>
  <c r="L61" i="62"/>
  <c r="K61" i="62"/>
  <c r="J61" i="62"/>
  <c r="I61" i="62"/>
  <c r="H61" i="62"/>
  <c r="G61" i="62"/>
  <c r="F61" i="62"/>
  <c r="E61" i="62"/>
  <c r="D61" i="62"/>
  <c r="B61" i="62"/>
  <c r="Q60" i="62"/>
  <c r="B60" i="62"/>
  <c r="O59" i="62"/>
  <c r="N59" i="62"/>
  <c r="M59" i="62"/>
  <c r="L59" i="62"/>
  <c r="K59" i="62"/>
  <c r="J59" i="62"/>
  <c r="I59" i="62"/>
  <c r="H59" i="62"/>
  <c r="G59" i="62"/>
  <c r="F59" i="62"/>
  <c r="E59" i="62"/>
  <c r="D59" i="62"/>
  <c r="B59" i="62"/>
  <c r="Q58" i="62"/>
  <c r="B58" i="62"/>
  <c r="O57" i="62"/>
  <c r="N57" i="62"/>
  <c r="M57" i="62"/>
  <c r="L57" i="62"/>
  <c r="K57" i="62"/>
  <c r="J57" i="62"/>
  <c r="I57" i="62"/>
  <c r="H57" i="62"/>
  <c r="G57" i="62"/>
  <c r="F57" i="62"/>
  <c r="E57" i="62"/>
  <c r="D57" i="62"/>
  <c r="B57" i="62"/>
  <c r="Q56" i="62"/>
  <c r="B56" i="62"/>
  <c r="O55" i="62"/>
  <c r="N55" i="62"/>
  <c r="M55" i="62"/>
  <c r="L55" i="62"/>
  <c r="K55" i="62"/>
  <c r="J55" i="62"/>
  <c r="I55" i="62"/>
  <c r="H55" i="62"/>
  <c r="G55" i="62"/>
  <c r="F55" i="62"/>
  <c r="E55" i="62"/>
  <c r="D55" i="62"/>
  <c r="Q55" i="62" s="1"/>
  <c r="B55" i="62"/>
  <c r="Q54" i="62"/>
  <c r="B54" i="62"/>
  <c r="O53" i="62"/>
  <c r="N53" i="62"/>
  <c r="M53" i="62"/>
  <c r="L53" i="62"/>
  <c r="K53" i="62"/>
  <c r="J53" i="62"/>
  <c r="I53" i="62"/>
  <c r="H53" i="62"/>
  <c r="G53" i="62"/>
  <c r="F53" i="62"/>
  <c r="E53" i="62"/>
  <c r="D53" i="62"/>
  <c r="B53" i="62"/>
  <c r="Q52" i="62"/>
  <c r="B52" i="62"/>
  <c r="Q51" i="62"/>
  <c r="B51" i="62"/>
  <c r="O50" i="62"/>
  <c r="N50" i="62"/>
  <c r="N18" i="62" s="1" a="1"/>
  <c r="N18" i="62" s="1"/>
  <c r="M50" i="62"/>
  <c r="L50" i="62"/>
  <c r="K50" i="62"/>
  <c r="J50" i="62"/>
  <c r="I50" i="62"/>
  <c r="H50" i="62"/>
  <c r="G50" i="62"/>
  <c r="F50" i="62"/>
  <c r="E50" i="62"/>
  <c r="D50" i="62"/>
  <c r="B50" i="62"/>
  <c r="Q49" i="62"/>
  <c r="B49" i="62"/>
  <c r="Q48" i="62"/>
  <c r="B48" i="62"/>
  <c r="O47" i="62"/>
  <c r="N47" i="62"/>
  <c r="M47" i="62"/>
  <c r="L47" i="62"/>
  <c r="K47" i="62"/>
  <c r="J47" i="62"/>
  <c r="I47" i="62"/>
  <c r="H47" i="62"/>
  <c r="Q47" i="62" s="1"/>
  <c r="G47" i="62"/>
  <c r="F47" i="62"/>
  <c r="E47" i="62"/>
  <c r="D47" i="62"/>
  <c r="B47" i="62"/>
  <c r="Q46" i="62"/>
  <c r="B46" i="62"/>
  <c r="O45" i="62"/>
  <c r="N45" i="62"/>
  <c r="M45" i="62"/>
  <c r="L45" i="62"/>
  <c r="K45" i="62"/>
  <c r="J45" i="62"/>
  <c r="I45" i="62"/>
  <c r="H45" i="62"/>
  <c r="Q45" i="62" s="1"/>
  <c r="G45" i="62"/>
  <c r="F45" i="62"/>
  <c r="E45" i="62"/>
  <c r="D45" i="62"/>
  <c r="B45" i="62"/>
  <c r="Q44" i="62"/>
  <c r="B44" i="62"/>
  <c r="O43" i="62"/>
  <c r="N43" i="62"/>
  <c r="M43" i="62"/>
  <c r="L43" i="62"/>
  <c r="K43" i="62"/>
  <c r="J43" i="62"/>
  <c r="I43" i="62"/>
  <c r="H43" i="62"/>
  <c r="Q43" i="62" s="1"/>
  <c r="G43" i="62"/>
  <c r="F43" i="62"/>
  <c r="E43" i="62"/>
  <c r="D43" i="62"/>
  <c r="B43" i="62"/>
  <c r="Q42" i="62"/>
  <c r="B42" i="62"/>
  <c r="O41" i="62"/>
  <c r="N41" i="62"/>
  <c r="M41" i="62"/>
  <c r="L41" i="62"/>
  <c r="K41" i="62"/>
  <c r="J41" i="62"/>
  <c r="I41" i="62"/>
  <c r="H41" i="62"/>
  <c r="H18" i="62" s="1" a="1"/>
  <c r="G41" i="62"/>
  <c r="F41" i="62"/>
  <c r="E41" i="62"/>
  <c r="D41" i="62"/>
  <c r="B41" i="62"/>
  <c r="Q40" i="62"/>
  <c r="B40" i="62"/>
  <c r="Q39" i="62"/>
  <c r="B39" i="62"/>
  <c r="Q38" i="62"/>
  <c r="B38" i="62"/>
  <c r="Q37" i="62"/>
  <c r="B37" i="62"/>
  <c r="Q36" i="62"/>
  <c r="B36" i="62"/>
  <c r="Q35" i="62"/>
  <c r="B35" i="62"/>
  <c r="Q34" i="62"/>
  <c r="B34" i="62"/>
  <c r="Q33" i="62"/>
  <c r="B33" i="62"/>
  <c r="Q32" i="62"/>
  <c r="B32" i="62"/>
  <c r="Q31" i="62"/>
  <c r="B31" i="62"/>
  <c r="O30" i="62"/>
  <c r="N30" i="62"/>
  <c r="M30" i="62"/>
  <c r="L30" i="62"/>
  <c r="K30" i="62"/>
  <c r="K18" i="62" s="1" a="1"/>
  <c r="K18" i="62" s="1"/>
  <c r="J30" i="62"/>
  <c r="J18" i="62" s="1" a="1"/>
  <c r="J18" i="62" s="1"/>
  <c r="I30" i="62"/>
  <c r="H30" i="62"/>
  <c r="G30" i="62"/>
  <c r="F30" i="62"/>
  <c r="E30" i="62"/>
  <c r="D30" i="62"/>
  <c r="B30" i="62"/>
  <c r="Q29" i="62"/>
  <c r="B29" i="62"/>
  <c r="Q28" i="62"/>
  <c r="B28" i="62"/>
  <c r="Q27" i="62"/>
  <c r="B27" i="62"/>
  <c r="Q26" i="62"/>
  <c r="B26" i="62"/>
  <c r="Q25" i="62"/>
  <c r="B25" i="62"/>
  <c r="Q24" i="62"/>
  <c r="B24" i="62"/>
  <c r="Q23" i="62"/>
  <c r="B23" i="62"/>
  <c r="Q22" i="62"/>
  <c r="B22" i="62"/>
  <c r="Q21" i="62"/>
  <c r="B21" i="62"/>
  <c r="Q20" i="62"/>
  <c r="B20" i="62"/>
  <c r="O19" i="62"/>
  <c r="N19" i="62"/>
  <c r="M19" i="62"/>
  <c r="L19" i="62"/>
  <c r="K19" i="62"/>
  <c r="J19" i="62"/>
  <c r="I19" i="62"/>
  <c r="H19" i="62"/>
  <c r="G19" i="62"/>
  <c r="F19" i="62"/>
  <c r="E19" i="62"/>
  <c r="D19" i="62"/>
  <c r="B19" i="62"/>
  <c r="I18" i="62" a="1"/>
  <c r="I18" i="62" s="1"/>
  <c r="H18" i="62"/>
  <c r="G18" i="62" a="1"/>
  <c r="G18" i="62" s="1"/>
  <c r="D16" i="62"/>
  <c r="O15" i="62"/>
  <c r="J15" i="62"/>
  <c r="G15" i="62"/>
  <c r="G16" i="62" s="1"/>
  <c r="F15" i="62"/>
  <c r="F16" i="62" s="1"/>
  <c r="Q13" i="62"/>
  <c r="Q12" i="62" s="1"/>
  <c r="B13" i="62"/>
  <c r="O12" i="62"/>
  <c r="N12" i="62"/>
  <c r="M12" i="62"/>
  <c r="M15" i="62" s="1"/>
  <c r="L12" i="62"/>
  <c r="L15" i="62" s="1"/>
  <c r="K12" i="62"/>
  <c r="J12" i="62"/>
  <c r="I12" i="62"/>
  <c r="H12" i="62"/>
  <c r="G12" i="62"/>
  <c r="F12" i="62"/>
  <c r="E12" i="62"/>
  <c r="E15" i="62" s="1"/>
  <c r="D12" i="62"/>
  <c r="D15" i="62" s="1"/>
  <c r="Q10" i="62"/>
  <c r="Q15" i="62" s="1"/>
  <c r="O10" i="62"/>
  <c r="N10" i="62"/>
  <c r="N15" i="62" s="1"/>
  <c r="M10" i="62"/>
  <c r="L10" i="62"/>
  <c r="K10" i="62"/>
  <c r="K15" i="62" s="1"/>
  <c r="J10" i="62"/>
  <c r="I10" i="62"/>
  <c r="I15" i="62" s="1"/>
  <c r="H10" i="62"/>
  <c r="H15" i="62" s="1"/>
  <c r="H16" i="62" s="1"/>
  <c r="G10" i="62"/>
  <c r="F10" i="62"/>
  <c r="E10" i="62"/>
  <c r="D10" i="62"/>
  <c r="O8" i="62"/>
  <c r="N8" i="62"/>
  <c r="M8" i="62"/>
  <c r="L8" i="62"/>
  <c r="K8" i="62"/>
  <c r="J8" i="62"/>
  <c r="I8" i="62"/>
  <c r="H8" i="62"/>
  <c r="G8" i="62"/>
  <c r="F8" i="62"/>
  <c r="E8" i="62"/>
  <c r="D8" i="62"/>
  <c r="B5" i="62"/>
  <c r="Q55" i="61"/>
  <c r="M50" i="61"/>
  <c r="L50" i="61"/>
  <c r="K50" i="61"/>
  <c r="J50" i="61"/>
  <c r="I50" i="61"/>
  <c r="H50" i="61"/>
  <c r="G50" i="61"/>
  <c r="F50" i="61"/>
  <c r="E50" i="61"/>
  <c r="D50" i="61"/>
  <c r="Q50" i="61" s="1"/>
  <c r="Q48" i="61"/>
  <c r="B48" i="61"/>
  <c r="Q47" i="61"/>
  <c r="B47" i="61"/>
  <c r="O46" i="61"/>
  <c r="N46" i="61"/>
  <c r="M46" i="61"/>
  <c r="L46" i="61"/>
  <c r="K46" i="61"/>
  <c r="J46" i="61"/>
  <c r="I46" i="61"/>
  <c r="H46" i="61"/>
  <c r="G46" i="61"/>
  <c r="F46" i="61"/>
  <c r="E46" i="61"/>
  <c r="D46" i="61"/>
  <c r="B46" i="61"/>
  <c r="Q45" i="61"/>
  <c r="B45" i="61"/>
  <c r="O44" i="61"/>
  <c r="N44" i="61"/>
  <c r="M44" i="61"/>
  <c r="L44" i="61"/>
  <c r="K44" i="61"/>
  <c r="J44" i="61"/>
  <c r="I44" i="61"/>
  <c r="H44" i="61"/>
  <c r="G44" i="61"/>
  <c r="F44" i="61"/>
  <c r="E44" i="61"/>
  <c r="D44" i="61"/>
  <c r="B44" i="61"/>
  <c r="Q43" i="61"/>
  <c r="B43" i="61"/>
  <c r="Q42" i="61"/>
  <c r="B42" i="61"/>
  <c r="O41" i="61"/>
  <c r="N41" i="61"/>
  <c r="M41" i="61"/>
  <c r="L41" i="61"/>
  <c r="K41" i="61"/>
  <c r="J41" i="61"/>
  <c r="I41" i="61"/>
  <c r="H41" i="61"/>
  <c r="Q41" i="61" s="1"/>
  <c r="G41" i="61"/>
  <c r="F41" i="61"/>
  <c r="E41" i="61"/>
  <c r="D41" i="61"/>
  <c r="B41" i="61"/>
  <c r="Q40" i="61"/>
  <c r="B40" i="61"/>
  <c r="O39" i="61"/>
  <c r="N39" i="61"/>
  <c r="M39" i="61"/>
  <c r="L39" i="61"/>
  <c r="L17" i="61" s="1" a="1"/>
  <c r="L17" i="61" s="1"/>
  <c r="K39" i="61"/>
  <c r="J39" i="61"/>
  <c r="I39" i="61"/>
  <c r="H39" i="61"/>
  <c r="H17" i="61" s="1" a="1"/>
  <c r="H17" i="61" s="1"/>
  <c r="G39" i="61"/>
  <c r="F39" i="61"/>
  <c r="E39" i="61"/>
  <c r="D39" i="61"/>
  <c r="B39" i="61"/>
  <c r="Q38" i="61"/>
  <c r="B38" i="61"/>
  <c r="Q37" i="61"/>
  <c r="B37" i="61"/>
  <c r="Q36" i="61"/>
  <c r="B36" i="61"/>
  <c r="Q35" i="61"/>
  <c r="B35" i="61"/>
  <c r="Q34" i="61"/>
  <c r="B34" i="61"/>
  <c r="Q33" i="61"/>
  <c r="B33" i="61"/>
  <c r="Q32" i="61"/>
  <c r="B32" i="61"/>
  <c r="Q31" i="61"/>
  <c r="B31" i="61"/>
  <c r="Q30" i="61"/>
  <c r="B30" i="61"/>
  <c r="Q29" i="61"/>
  <c r="B29" i="61"/>
  <c r="O28" i="61"/>
  <c r="N28" i="61"/>
  <c r="M28" i="61"/>
  <c r="L28" i="61"/>
  <c r="K28" i="61"/>
  <c r="J28" i="61"/>
  <c r="I28" i="61"/>
  <c r="H28" i="61"/>
  <c r="G28" i="61"/>
  <c r="F28" i="61"/>
  <c r="E28" i="61"/>
  <c r="D28" i="61"/>
  <c r="B28" i="61"/>
  <c r="Q27" i="61"/>
  <c r="B27" i="61"/>
  <c r="Q26" i="61"/>
  <c r="B26" i="61"/>
  <c r="Q25" i="61"/>
  <c r="B25" i="61"/>
  <c r="Q24" i="61"/>
  <c r="B24" i="61"/>
  <c r="Q23" i="61"/>
  <c r="B23" i="61"/>
  <c r="Q22" i="61"/>
  <c r="B22" i="61"/>
  <c r="Q21" i="61"/>
  <c r="B21" i="61"/>
  <c r="Q20" i="61"/>
  <c r="B20" i="61"/>
  <c r="Q19" i="61"/>
  <c r="B19" i="61"/>
  <c r="O18" i="61"/>
  <c r="N18" i="61"/>
  <c r="M18" i="61"/>
  <c r="M17" i="61" s="1" a="1"/>
  <c r="L18" i="61"/>
  <c r="K18" i="61"/>
  <c r="J18" i="61"/>
  <c r="J17" i="61" s="1" a="1"/>
  <c r="J17" i="61" s="1"/>
  <c r="J52" i="61" s="1"/>
  <c r="I18" i="61"/>
  <c r="H18" i="61"/>
  <c r="G18" i="61"/>
  <c r="F18" i="61"/>
  <c r="E18" i="61"/>
  <c r="E17" i="61" s="1" a="1"/>
  <c r="E17" i="61" s="1"/>
  <c r="D18" i="61"/>
  <c r="B18" i="61"/>
  <c r="M17" i="61"/>
  <c r="D17" i="61" a="1"/>
  <c r="D17" i="61" s="1"/>
  <c r="O15" i="61"/>
  <c r="N15" i="61"/>
  <c r="O14" i="61"/>
  <c r="J14" i="61"/>
  <c r="J15" i="61" s="1"/>
  <c r="G14" i="61"/>
  <c r="F14" i="61"/>
  <c r="D14" i="61"/>
  <c r="Q12" i="61"/>
  <c r="O12" i="61"/>
  <c r="N12" i="61"/>
  <c r="M12" i="61"/>
  <c r="L12" i="61"/>
  <c r="K12" i="61"/>
  <c r="K14" i="61" s="1"/>
  <c r="J12" i="61"/>
  <c r="I12" i="61"/>
  <c r="H12" i="61"/>
  <c r="G12" i="61"/>
  <c r="F12" i="61"/>
  <c r="E12" i="61"/>
  <c r="D12" i="61"/>
  <c r="Q10" i="61"/>
  <c r="Q14" i="61" s="1"/>
  <c r="O10" i="61"/>
  <c r="N10" i="61"/>
  <c r="N14" i="61" s="1"/>
  <c r="M10" i="61"/>
  <c r="L10" i="61"/>
  <c r="L14" i="61" s="1"/>
  <c r="K10" i="61"/>
  <c r="J10" i="61"/>
  <c r="I10" i="61"/>
  <c r="H10" i="61"/>
  <c r="H14" i="61" s="1"/>
  <c r="G10" i="61"/>
  <c r="F10" i="61"/>
  <c r="E10" i="61"/>
  <c r="D10" i="61"/>
  <c r="O8" i="61"/>
  <c r="N8" i="61"/>
  <c r="M8" i="61"/>
  <c r="L8" i="61"/>
  <c r="K8" i="61"/>
  <c r="J8" i="61"/>
  <c r="I8" i="61"/>
  <c r="H8" i="61"/>
  <c r="G8" i="61"/>
  <c r="F8" i="61"/>
  <c r="E8" i="61"/>
  <c r="D8" i="61"/>
  <c r="B5" i="61"/>
  <c r="Q59" i="60"/>
  <c r="M54" i="60"/>
  <c r="M56" i="60" s="1"/>
  <c r="L54" i="60"/>
  <c r="K54" i="60"/>
  <c r="J54" i="60"/>
  <c r="I54" i="60"/>
  <c r="H54" i="60"/>
  <c r="G54" i="60"/>
  <c r="F54" i="60"/>
  <c r="E54" i="60"/>
  <c r="D54" i="60"/>
  <c r="Q52" i="60"/>
  <c r="B52" i="60"/>
  <c r="O51" i="60"/>
  <c r="N51" i="60"/>
  <c r="M51" i="60"/>
  <c r="L51" i="60"/>
  <c r="K51" i="60"/>
  <c r="J51" i="60"/>
  <c r="I51" i="60"/>
  <c r="H51" i="60"/>
  <c r="G51" i="60"/>
  <c r="F51" i="60"/>
  <c r="E51" i="60"/>
  <c r="D51" i="60"/>
  <c r="B51" i="60"/>
  <c r="Q50" i="60"/>
  <c r="B50" i="60"/>
  <c r="Q49" i="60"/>
  <c r="B49" i="60"/>
  <c r="O48" i="60"/>
  <c r="N48" i="60"/>
  <c r="M48" i="60"/>
  <c r="L48" i="60"/>
  <c r="K48" i="60"/>
  <c r="J48" i="60"/>
  <c r="I48" i="60"/>
  <c r="H48" i="60"/>
  <c r="G48" i="60"/>
  <c r="F48" i="60"/>
  <c r="E48" i="60"/>
  <c r="D48" i="60"/>
  <c r="Q48" i="60" s="1"/>
  <c r="B48" i="60"/>
  <c r="Q47" i="60"/>
  <c r="B47" i="60"/>
  <c r="O46" i="60"/>
  <c r="N46" i="60"/>
  <c r="M46" i="60"/>
  <c r="M17" i="60" s="1" a="1"/>
  <c r="M17" i="60" s="1"/>
  <c r="L46" i="60"/>
  <c r="K46" i="60"/>
  <c r="J46" i="60"/>
  <c r="I46" i="60"/>
  <c r="H46" i="60"/>
  <c r="G46" i="60"/>
  <c r="F46" i="60"/>
  <c r="E46" i="60"/>
  <c r="D46" i="60"/>
  <c r="B46" i="60"/>
  <c r="Q45" i="60"/>
  <c r="B45" i="60"/>
  <c r="Q44" i="60"/>
  <c r="B44" i="60"/>
  <c r="O43" i="60"/>
  <c r="N43" i="60"/>
  <c r="M43" i="60"/>
  <c r="L43" i="60"/>
  <c r="K43" i="60"/>
  <c r="J43" i="60"/>
  <c r="I43" i="60"/>
  <c r="H43" i="60"/>
  <c r="G43" i="60"/>
  <c r="F43" i="60"/>
  <c r="E43" i="60"/>
  <c r="D43" i="60"/>
  <c r="B43" i="60"/>
  <c r="Q42" i="60"/>
  <c r="B42" i="60"/>
  <c r="O41" i="60"/>
  <c r="N41" i="60"/>
  <c r="M41" i="60"/>
  <c r="L41" i="60"/>
  <c r="K41" i="60"/>
  <c r="J41" i="60"/>
  <c r="I41" i="60"/>
  <c r="H41" i="60"/>
  <c r="G41" i="60"/>
  <c r="F41" i="60"/>
  <c r="E41" i="60"/>
  <c r="D41" i="60"/>
  <c r="B41" i="60"/>
  <c r="Q40" i="60"/>
  <c r="B40" i="60"/>
  <c r="O39" i="60"/>
  <c r="N39" i="60"/>
  <c r="M39" i="60"/>
  <c r="L39" i="60"/>
  <c r="L17" i="60" s="1" a="1"/>
  <c r="L17" i="60" s="1"/>
  <c r="K39" i="60"/>
  <c r="J39" i="60"/>
  <c r="I39" i="60"/>
  <c r="H39" i="60"/>
  <c r="G39" i="60"/>
  <c r="G17" i="60" s="1" a="1"/>
  <c r="G17" i="60" s="1"/>
  <c r="F39" i="60"/>
  <c r="E39" i="60"/>
  <c r="D39" i="60"/>
  <c r="D17" i="60" s="1" a="1"/>
  <c r="D17" i="60" s="1"/>
  <c r="B39" i="60"/>
  <c r="Q38" i="60"/>
  <c r="B38" i="60"/>
  <c r="Q37" i="60"/>
  <c r="B37" i="60"/>
  <c r="Q36" i="60"/>
  <c r="B36" i="60"/>
  <c r="Q35" i="60"/>
  <c r="B35" i="60"/>
  <c r="Q34" i="60"/>
  <c r="B34" i="60"/>
  <c r="Q33" i="60"/>
  <c r="B33" i="60"/>
  <c r="Q32" i="60"/>
  <c r="B32" i="60"/>
  <c r="Q31" i="60"/>
  <c r="B31" i="60"/>
  <c r="Q30" i="60"/>
  <c r="B30" i="60"/>
  <c r="Q29" i="60"/>
  <c r="B29" i="60"/>
  <c r="O28" i="60"/>
  <c r="N28" i="60"/>
  <c r="M28" i="60"/>
  <c r="L28" i="60"/>
  <c r="K28" i="60"/>
  <c r="J28" i="60"/>
  <c r="I28" i="60"/>
  <c r="H28" i="60"/>
  <c r="Q28" i="60" s="1"/>
  <c r="G28" i="60"/>
  <c r="F28" i="60"/>
  <c r="E28" i="60"/>
  <c r="D28" i="60"/>
  <c r="B28" i="60"/>
  <c r="Q27" i="60"/>
  <c r="B27" i="60"/>
  <c r="Q26" i="60"/>
  <c r="B26" i="60"/>
  <c r="Q25" i="60"/>
  <c r="B25" i="60"/>
  <c r="Q24" i="60"/>
  <c r="B24" i="60"/>
  <c r="Q23" i="60"/>
  <c r="B23" i="60"/>
  <c r="Q22" i="60"/>
  <c r="B22" i="60"/>
  <c r="Q21" i="60"/>
  <c r="B21" i="60"/>
  <c r="Q20" i="60"/>
  <c r="B20" i="60"/>
  <c r="Q19" i="60"/>
  <c r="B19" i="60"/>
  <c r="O18" i="60"/>
  <c r="N18" i="60"/>
  <c r="M18" i="60"/>
  <c r="L18" i="60"/>
  <c r="K18" i="60"/>
  <c r="J18" i="60"/>
  <c r="I18" i="60"/>
  <c r="H18" i="60"/>
  <c r="H17" i="60" s="1" a="1"/>
  <c r="H17" i="60" s="1"/>
  <c r="G18" i="60"/>
  <c r="F18" i="60"/>
  <c r="E18" i="60"/>
  <c r="D18" i="60"/>
  <c r="B18" i="60"/>
  <c r="O17" i="60" a="1"/>
  <c r="O17" i="60" s="1"/>
  <c r="K17" i="60" a="1"/>
  <c r="K17" i="60" s="1"/>
  <c r="I17" i="60" a="1"/>
  <c r="I17" i="60" s="1"/>
  <c r="E17" i="60" a="1"/>
  <c r="E17" i="60" s="1"/>
  <c r="F15" i="60"/>
  <c r="E15" i="60"/>
  <c r="M14" i="60"/>
  <c r="M15" i="60" s="1"/>
  <c r="J14" i="60"/>
  <c r="G14" i="60"/>
  <c r="E14" i="60"/>
  <c r="Q12" i="60"/>
  <c r="O12" i="60"/>
  <c r="O14" i="60" s="1"/>
  <c r="N12" i="60"/>
  <c r="N14" i="60" s="1"/>
  <c r="M12" i="60"/>
  <c r="L12" i="60"/>
  <c r="K12" i="60"/>
  <c r="J12" i="60"/>
  <c r="I12" i="60"/>
  <c r="H12" i="60"/>
  <c r="G12" i="60"/>
  <c r="F12" i="60"/>
  <c r="F14" i="60" s="1"/>
  <c r="E12" i="60"/>
  <c r="D12" i="60"/>
  <c r="Q10" i="60"/>
  <c r="Q14" i="60" s="1"/>
  <c r="Q15" i="60" s="1"/>
  <c r="O10" i="60"/>
  <c r="N10" i="60"/>
  <c r="M10" i="60"/>
  <c r="L10" i="60"/>
  <c r="K10" i="60"/>
  <c r="J10" i="60"/>
  <c r="I10" i="60"/>
  <c r="I14" i="60" s="1"/>
  <c r="H10" i="60"/>
  <c r="H14" i="60" s="1"/>
  <c r="G10" i="60"/>
  <c r="F10" i="60"/>
  <c r="E10" i="60"/>
  <c r="D10" i="60"/>
  <c r="O8" i="60"/>
  <c r="N8" i="60"/>
  <c r="M8" i="60"/>
  <c r="L8" i="60"/>
  <c r="K8" i="60"/>
  <c r="J8" i="60"/>
  <c r="I8" i="60"/>
  <c r="H8" i="60"/>
  <c r="G8" i="60"/>
  <c r="F8" i="60"/>
  <c r="E8" i="60"/>
  <c r="D8" i="60"/>
  <c r="B5" i="60"/>
  <c r="Q64" i="59"/>
  <c r="M59" i="59"/>
  <c r="L59" i="59"/>
  <c r="K59" i="59"/>
  <c r="J59" i="59"/>
  <c r="I59" i="59"/>
  <c r="H59" i="59"/>
  <c r="G59" i="59"/>
  <c r="F59" i="59"/>
  <c r="Q59" i="59" s="1"/>
  <c r="E59" i="59"/>
  <c r="D59" i="59"/>
  <c r="Q57" i="59"/>
  <c r="B57" i="59"/>
  <c r="O56" i="59"/>
  <c r="N56" i="59"/>
  <c r="M56" i="59"/>
  <c r="L56" i="59"/>
  <c r="K56" i="59"/>
  <c r="J56" i="59"/>
  <c r="I56" i="59"/>
  <c r="H56" i="59"/>
  <c r="G56" i="59"/>
  <c r="F56" i="59"/>
  <c r="E56" i="59"/>
  <c r="D56" i="59"/>
  <c r="Q56" i="59" s="1"/>
  <c r="B56" i="59"/>
  <c r="Q55" i="59"/>
  <c r="B55" i="59"/>
  <c r="O54" i="59"/>
  <c r="N54" i="59"/>
  <c r="M54" i="59"/>
  <c r="L54" i="59"/>
  <c r="K54" i="59"/>
  <c r="J54" i="59"/>
  <c r="I54" i="59"/>
  <c r="H54" i="59"/>
  <c r="G54" i="59"/>
  <c r="F54" i="59"/>
  <c r="E54" i="59"/>
  <c r="D54" i="59"/>
  <c r="B54" i="59"/>
  <c r="Q53" i="59"/>
  <c r="B53" i="59"/>
  <c r="Q52" i="59"/>
  <c r="B52" i="59"/>
  <c r="O51" i="59"/>
  <c r="N51" i="59"/>
  <c r="M51" i="59"/>
  <c r="L51" i="59"/>
  <c r="K51" i="59"/>
  <c r="J51" i="59"/>
  <c r="I51" i="59"/>
  <c r="H51" i="59"/>
  <c r="G51" i="59"/>
  <c r="F51" i="59"/>
  <c r="E51" i="59"/>
  <c r="Q51" i="59" s="1"/>
  <c r="D51" i="59"/>
  <c r="B51" i="59"/>
  <c r="Q50" i="59"/>
  <c r="B50" i="59"/>
  <c r="O49" i="59"/>
  <c r="N49" i="59"/>
  <c r="M49" i="59"/>
  <c r="L49" i="59"/>
  <c r="K49" i="59"/>
  <c r="J49" i="59"/>
  <c r="I49" i="59"/>
  <c r="H49" i="59"/>
  <c r="G49" i="59"/>
  <c r="F49" i="59"/>
  <c r="E49" i="59"/>
  <c r="Q49" i="59" s="1"/>
  <c r="D49" i="59"/>
  <c r="B49" i="59"/>
  <c r="Q48" i="59"/>
  <c r="B48" i="59"/>
  <c r="Q47" i="59"/>
  <c r="B47" i="59"/>
  <c r="Q46" i="59"/>
  <c r="B46" i="59"/>
  <c r="Q45" i="59"/>
  <c r="B45" i="59"/>
  <c r="O44" i="59"/>
  <c r="N44" i="59"/>
  <c r="M44" i="59"/>
  <c r="L44" i="59"/>
  <c r="K44" i="59"/>
  <c r="J44" i="59"/>
  <c r="I44" i="59"/>
  <c r="H44" i="59"/>
  <c r="G44" i="59"/>
  <c r="F44" i="59"/>
  <c r="E44" i="59"/>
  <c r="D44" i="59"/>
  <c r="B44" i="59"/>
  <c r="Q43" i="59"/>
  <c r="B43" i="59"/>
  <c r="O42" i="59"/>
  <c r="N42" i="59"/>
  <c r="M42" i="59"/>
  <c r="L42" i="59"/>
  <c r="K42" i="59"/>
  <c r="J42" i="59"/>
  <c r="I42" i="59"/>
  <c r="H42" i="59"/>
  <c r="G42" i="59"/>
  <c r="F42" i="59"/>
  <c r="E42" i="59"/>
  <c r="D42" i="59"/>
  <c r="B42" i="59"/>
  <c r="Q41" i="59"/>
  <c r="B41" i="59"/>
  <c r="Q40" i="59"/>
  <c r="B40" i="59"/>
  <c r="O39" i="59"/>
  <c r="N39" i="59"/>
  <c r="M39" i="59"/>
  <c r="L39" i="59"/>
  <c r="K39" i="59"/>
  <c r="J39" i="59"/>
  <c r="I39" i="59"/>
  <c r="H39" i="59"/>
  <c r="G39" i="59"/>
  <c r="F39" i="59"/>
  <c r="E39" i="59"/>
  <c r="D39" i="59"/>
  <c r="B39" i="59"/>
  <c r="Q38" i="59"/>
  <c r="B38" i="59"/>
  <c r="Q37" i="59"/>
  <c r="B37" i="59"/>
  <c r="Q36" i="59"/>
  <c r="B36" i="59"/>
  <c r="Q35" i="59"/>
  <c r="B35" i="59"/>
  <c r="Q34" i="59"/>
  <c r="B34" i="59"/>
  <c r="Q33" i="59"/>
  <c r="B33" i="59"/>
  <c r="Q32" i="59"/>
  <c r="B32" i="59"/>
  <c r="Q31" i="59"/>
  <c r="B31" i="59"/>
  <c r="Q30" i="59"/>
  <c r="B30" i="59"/>
  <c r="Q29" i="59"/>
  <c r="B29" i="59"/>
  <c r="O28" i="59"/>
  <c r="N28" i="59"/>
  <c r="M28" i="59"/>
  <c r="L28" i="59"/>
  <c r="K28" i="59"/>
  <c r="J28" i="59"/>
  <c r="I28" i="59"/>
  <c r="H28" i="59"/>
  <c r="G28" i="59"/>
  <c r="Q28" i="59" s="1"/>
  <c r="F28" i="59"/>
  <c r="E28" i="59"/>
  <c r="D28" i="59"/>
  <c r="B28" i="59"/>
  <c r="Q27" i="59"/>
  <c r="B27" i="59"/>
  <c r="Q26" i="59"/>
  <c r="B26" i="59"/>
  <c r="Q25" i="59"/>
  <c r="B25" i="59"/>
  <c r="Q24" i="59"/>
  <c r="B24" i="59"/>
  <c r="Q23" i="59"/>
  <c r="B23" i="59"/>
  <c r="Q22" i="59"/>
  <c r="B22" i="59"/>
  <c r="Q21" i="59"/>
  <c r="B21" i="59"/>
  <c r="Q20" i="59"/>
  <c r="B20" i="59"/>
  <c r="Q19" i="59"/>
  <c r="B19" i="59"/>
  <c r="O18" i="59"/>
  <c r="N18" i="59"/>
  <c r="M18" i="59"/>
  <c r="L18" i="59"/>
  <c r="K18" i="59"/>
  <c r="J18" i="59"/>
  <c r="J17" i="59" s="1" a="1"/>
  <c r="J17" i="59" s="1"/>
  <c r="I18" i="59"/>
  <c r="H18" i="59"/>
  <c r="H17" i="59" s="1" a="1"/>
  <c r="G18" i="59"/>
  <c r="F18" i="59"/>
  <c r="E18" i="59"/>
  <c r="D18" i="59"/>
  <c r="B18" i="59"/>
  <c r="H17" i="59"/>
  <c r="O15" i="59"/>
  <c r="I15" i="59"/>
  <c r="G15" i="59"/>
  <c r="L14" i="59"/>
  <c r="F14" i="59"/>
  <c r="D14" i="59"/>
  <c r="D15" i="59" s="1"/>
  <c r="Q12" i="59"/>
  <c r="O12" i="59"/>
  <c r="N12" i="59"/>
  <c r="M12" i="59"/>
  <c r="M14" i="59" s="1"/>
  <c r="L12" i="59"/>
  <c r="K12" i="59"/>
  <c r="K14" i="59" s="1"/>
  <c r="J12" i="59"/>
  <c r="I12" i="59"/>
  <c r="H12" i="59"/>
  <c r="G12" i="59"/>
  <c r="F12" i="59"/>
  <c r="E12" i="59"/>
  <c r="E14" i="59" s="1"/>
  <c r="D12" i="59"/>
  <c r="Q10" i="59"/>
  <c r="Q14" i="59" s="1"/>
  <c r="O10" i="59"/>
  <c r="O14" i="59" s="1"/>
  <c r="N10" i="59"/>
  <c r="N14" i="59" s="1"/>
  <c r="M10" i="59"/>
  <c r="L10" i="59"/>
  <c r="K10" i="59"/>
  <c r="J10" i="59"/>
  <c r="J14" i="59" s="1"/>
  <c r="I10" i="59"/>
  <c r="I14" i="59" s="1"/>
  <c r="H10" i="59"/>
  <c r="H14" i="59" s="1"/>
  <c r="G10" i="59"/>
  <c r="G14" i="59" s="1"/>
  <c r="F10" i="59"/>
  <c r="E10" i="59"/>
  <c r="D10" i="59"/>
  <c r="O8" i="59"/>
  <c r="N8" i="59"/>
  <c r="M8" i="59"/>
  <c r="L8" i="59"/>
  <c r="K8" i="59"/>
  <c r="J8" i="59"/>
  <c r="I8" i="59"/>
  <c r="H8" i="59"/>
  <c r="G8" i="59"/>
  <c r="F8" i="59"/>
  <c r="E8" i="59"/>
  <c r="D8" i="59"/>
  <c r="B5" i="59"/>
  <c r="Q77" i="58"/>
  <c r="M72" i="58"/>
  <c r="L72" i="58"/>
  <c r="K72" i="58"/>
  <c r="J72" i="58"/>
  <c r="I72" i="58"/>
  <c r="H72" i="58"/>
  <c r="G72" i="58"/>
  <c r="F72" i="58"/>
  <c r="E72" i="58"/>
  <c r="D72" i="58"/>
  <c r="Q70" i="58"/>
  <c r="B70" i="58"/>
  <c r="O69" i="58"/>
  <c r="N69" i="58"/>
  <c r="M69" i="58"/>
  <c r="L69" i="58"/>
  <c r="K69" i="58"/>
  <c r="J69" i="58"/>
  <c r="I69" i="58"/>
  <c r="H69" i="58"/>
  <c r="G69" i="58"/>
  <c r="F69" i="58"/>
  <c r="Q69" i="58" s="1"/>
  <c r="E69" i="58"/>
  <c r="D69" i="58"/>
  <c r="B69" i="58"/>
  <c r="Q68" i="58"/>
  <c r="B68" i="58"/>
  <c r="O67" i="58"/>
  <c r="N67" i="58"/>
  <c r="M67" i="58"/>
  <c r="L67" i="58"/>
  <c r="K67" i="58"/>
  <c r="J67" i="58"/>
  <c r="I67" i="58"/>
  <c r="H67" i="58"/>
  <c r="G67" i="58"/>
  <c r="F67" i="58"/>
  <c r="Q67" i="58" s="1"/>
  <c r="E67" i="58"/>
  <c r="D67" i="58"/>
  <c r="B67" i="58"/>
  <c r="Q66" i="58"/>
  <c r="B66" i="58"/>
  <c r="Q65" i="58"/>
  <c r="B65" i="58"/>
  <c r="Q64" i="58"/>
  <c r="B64" i="58"/>
  <c r="Q63" i="58"/>
  <c r="B63" i="58"/>
  <c r="O62" i="58"/>
  <c r="N62" i="58"/>
  <c r="M62" i="58"/>
  <c r="L62" i="58"/>
  <c r="K62" i="58"/>
  <c r="J62" i="58"/>
  <c r="I62" i="58"/>
  <c r="H62" i="58"/>
  <c r="G62" i="58"/>
  <c r="F62" i="58"/>
  <c r="E62" i="58"/>
  <c r="D62" i="58"/>
  <c r="B62" i="58"/>
  <c r="Q61" i="58"/>
  <c r="B61" i="58"/>
  <c r="Q60" i="58"/>
  <c r="B60" i="58"/>
  <c r="O59" i="58"/>
  <c r="N59" i="58"/>
  <c r="M59" i="58"/>
  <c r="L59" i="58"/>
  <c r="K59" i="58"/>
  <c r="J59" i="58"/>
  <c r="I59" i="58"/>
  <c r="H59" i="58"/>
  <c r="G59" i="58"/>
  <c r="F59" i="58"/>
  <c r="E59" i="58"/>
  <c r="D59" i="58"/>
  <c r="Q59" i="58" s="1"/>
  <c r="B59" i="58"/>
  <c r="Q58" i="58"/>
  <c r="B58" i="58"/>
  <c r="Q57" i="58"/>
  <c r="B57" i="58"/>
  <c r="O56" i="58"/>
  <c r="N56" i="58"/>
  <c r="M56" i="58"/>
  <c r="L56" i="58"/>
  <c r="K56" i="58"/>
  <c r="J56" i="58"/>
  <c r="I56" i="58"/>
  <c r="H56" i="58"/>
  <c r="Q56" i="58" s="1"/>
  <c r="G56" i="58"/>
  <c r="F56" i="58"/>
  <c r="E56" i="58"/>
  <c r="D56" i="58"/>
  <c r="B56" i="58"/>
  <c r="Q55" i="58"/>
  <c r="B55" i="58"/>
  <c r="Q54" i="58"/>
  <c r="B54" i="58"/>
  <c r="Q53" i="58"/>
  <c r="B53" i="58"/>
  <c r="O52" i="58"/>
  <c r="N52" i="58"/>
  <c r="M52" i="58"/>
  <c r="L52" i="58"/>
  <c r="K52" i="58"/>
  <c r="J52" i="58"/>
  <c r="I52" i="58"/>
  <c r="H52" i="58"/>
  <c r="G52" i="58"/>
  <c r="F52" i="58"/>
  <c r="E52" i="58"/>
  <c r="D52" i="58"/>
  <c r="Q52" i="58" s="1"/>
  <c r="B52" i="58"/>
  <c r="Q51" i="58"/>
  <c r="B51" i="58"/>
  <c r="O50" i="58"/>
  <c r="N50" i="58"/>
  <c r="M50" i="58"/>
  <c r="L50" i="58"/>
  <c r="K50" i="58"/>
  <c r="K17" i="58" s="1" a="1"/>
  <c r="K17" i="58" s="1"/>
  <c r="J50" i="58"/>
  <c r="I50" i="58"/>
  <c r="H50" i="58"/>
  <c r="G50" i="58"/>
  <c r="F50" i="58"/>
  <c r="E50" i="58"/>
  <c r="D50" i="58"/>
  <c r="B50" i="58"/>
  <c r="Q49" i="58"/>
  <c r="B49" i="58"/>
  <c r="O48" i="58"/>
  <c r="N48" i="58"/>
  <c r="M48" i="58"/>
  <c r="L48" i="58"/>
  <c r="K48" i="58"/>
  <c r="J48" i="58"/>
  <c r="I48" i="58"/>
  <c r="H48" i="58"/>
  <c r="G48" i="58"/>
  <c r="F48" i="58"/>
  <c r="E48" i="58"/>
  <c r="D48" i="58"/>
  <c r="B48" i="58"/>
  <c r="Q47" i="58"/>
  <c r="B47" i="58"/>
  <c r="O46" i="58"/>
  <c r="N46" i="58"/>
  <c r="M46" i="58"/>
  <c r="L46" i="58"/>
  <c r="K46" i="58"/>
  <c r="J46" i="58"/>
  <c r="I46" i="58"/>
  <c r="H46" i="58"/>
  <c r="G46" i="58"/>
  <c r="F46" i="58"/>
  <c r="E46" i="58"/>
  <c r="D46" i="58"/>
  <c r="Q46" i="58" s="1"/>
  <c r="B46" i="58"/>
  <c r="Q45" i="58"/>
  <c r="B45" i="58"/>
  <c r="O44" i="58"/>
  <c r="N44" i="58"/>
  <c r="M44" i="58"/>
  <c r="L44" i="58"/>
  <c r="K44" i="58"/>
  <c r="J44" i="58"/>
  <c r="I44" i="58"/>
  <c r="H44" i="58"/>
  <c r="G44" i="58"/>
  <c r="F44" i="58"/>
  <c r="E44" i="58"/>
  <c r="D44" i="58"/>
  <c r="B44" i="58"/>
  <c r="Q43" i="58"/>
  <c r="B43" i="58"/>
  <c r="O42" i="58"/>
  <c r="N42" i="58"/>
  <c r="M42" i="58"/>
  <c r="L42" i="58"/>
  <c r="K42" i="58"/>
  <c r="J42" i="58"/>
  <c r="I42" i="58"/>
  <c r="H42" i="58"/>
  <c r="G42" i="58"/>
  <c r="F42" i="58"/>
  <c r="E42" i="58"/>
  <c r="D42" i="58"/>
  <c r="B42" i="58"/>
  <c r="Q41" i="58"/>
  <c r="B41" i="58"/>
  <c r="O40" i="58"/>
  <c r="N40" i="58"/>
  <c r="M40" i="58"/>
  <c r="L40" i="58"/>
  <c r="K40" i="58"/>
  <c r="J40" i="58"/>
  <c r="I40" i="58"/>
  <c r="H40" i="58"/>
  <c r="G40" i="58"/>
  <c r="F40" i="58"/>
  <c r="E40" i="58"/>
  <c r="D40" i="58"/>
  <c r="B40" i="58"/>
  <c r="Q39" i="58"/>
  <c r="B39" i="58"/>
  <c r="Q38" i="58"/>
  <c r="B38" i="58"/>
  <c r="Q37" i="58"/>
  <c r="B37" i="58"/>
  <c r="Q36" i="58"/>
  <c r="B36" i="58"/>
  <c r="Q35" i="58"/>
  <c r="B35" i="58"/>
  <c r="Q34" i="58"/>
  <c r="B34" i="58"/>
  <c r="Q33" i="58"/>
  <c r="B33" i="58"/>
  <c r="Q32" i="58"/>
  <c r="B32" i="58"/>
  <c r="Q31" i="58"/>
  <c r="B31" i="58"/>
  <c r="Q30" i="58"/>
  <c r="B30" i="58"/>
  <c r="O29" i="58"/>
  <c r="N29" i="58"/>
  <c r="M29" i="58"/>
  <c r="L29" i="58"/>
  <c r="K29" i="58"/>
  <c r="J29" i="58"/>
  <c r="I29" i="58"/>
  <c r="H29" i="58"/>
  <c r="Q29" i="58" s="1"/>
  <c r="G29" i="58"/>
  <c r="F29" i="58"/>
  <c r="E29" i="58"/>
  <c r="D29" i="58"/>
  <c r="B29" i="58"/>
  <c r="Q28" i="58"/>
  <c r="B28" i="58"/>
  <c r="Q27" i="58"/>
  <c r="B27" i="58"/>
  <c r="Q26" i="58"/>
  <c r="B26" i="58"/>
  <c r="Q25" i="58"/>
  <c r="B25" i="58"/>
  <c r="Q24" i="58"/>
  <c r="B24" i="58"/>
  <c r="Q23" i="58"/>
  <c r="B23" i="58"/>
  <c r="Q22" i="58"/>
  <c r="B22" i="58"/>
  <c r="Q21" i="58"/>
  <c r="B21" i="58"/>
  <c r="Q20" i="58"/>
  <c r="B20" i="58"/>
  <c r="Q19" i="58"/>
  <c r="B19" i="58"/>
  <c r="O18" i="58"/>
  <c r="N18" i="58"/>
  <c r="M18" i="58"/>
  <c r="L18" i="58"/>
  <c r="K18" i="58"/>
  <c r="J18" i="58"/>
  <c r="I18" i="58"/>
  <c r="I17" i="58" s="1" a="1"/>
  <c r="I17" i="58" s="1"/>
  <c r="H18" i="58"/>
  <c r="Q18" i="58" s="1"/>
  <c r="G18" i="58"/>
  <c r="F18" i="58"/>
  <c r="E18" i="58"/>
  <c r="D18" i="58"/>
  <c r="B18" i="58"/>
  <c r="O17" i="58" a="1"/>
  <c r="O17" i="58" s="1"/>
  <c r="G17" i="58" a="1"/>
  <c r="G17" i="58" s="1"/>
  <c r="G15" i="58"/>
  <c r="M14" i="58"/>
  <c r="L14" i="58"/>
  <c r="L15" i="58" s="1"/>
  <c r="K14" i="58"/>
  <c r="K15" i="58" s="1"/>
  <c r="G14" i="58"/>
  <c r="E14" i="58"/>
  <c r="D14" i="58"/>
  <c r="D15" i="58" s="1"/>
  <c r="Q12" i="58"/>
  <c r="O12" i="58"/>
  <c r="N12" i="58"/>
  <c r="M12" i="58"/>
  <c r="L12" i="58"/>
  <c r="K12" i="58"/>
  <c r="J12" i="58"/>
  <c r="I12" i="58"/>
  <c r="H12" i="58"/>
  <c r="G12" i="58"/>
  <c r="F12" i="58"/>
  <c r="E12" i="58"/>
  <c r="D12" i="58"/>
  <c r="Q10" i="58"/>
  <c r="Q14" i="58" s="1"/>
  <c r="O10" i="58"/>
  <c r="O14" i="58" s="1"/>
  <c r="N10" i="58"/>
  <c r="N14" i="58" s="1"/>
  <c r="M10" i="58"/>
  <c r="L10" i="58"/>
  <c r="K10" i="58"/>
  <c r="J10" i="58"/>
  <c r="I10" i="58"/>
  <c r="H10" i="58"/>
  <c r="H14" i="58" s="1"/>
  <c r="G10" i="58"/>
  <c r="F10" i="58"/>
  <c r="F14" i="58" s="1"/>
  <c r="F15" i="58" s="1"/>
  <c r="E10" i="58"/>
  <c r="D10" i="58"/>
  <c r="O8" i="58"/>
  <c r="N8" i="58"/>
  <c r="M8" i="58"/>
  <c r="L8" i="58"/>
  <c r="K8" i="58"/>
  <c r="J8" i="58"/>
  <c r="I8" i="58"/>
  <c r="H8" i="58"/>
  <c r="G8" i="58"/>
  <c r="F8" i="58"/>
  <c r="E8" i="58"/>
  <c r="D8" i="58"/>
  <c r="B5" i="58"/>
  <c r="Q70" i="57"/>
  <c r="I67" i="57"/>
  <c r="M65" i="57"/>
  <c r="L65" i="57"/>
  <c r="K65" i="57"/>
  <c r="J65" i="57"/>
  <c r="I65" i="57"/>
  <c r="H65" i="57"/>
  <c r="G65" i="57"/>
  <c r="F65" i="57"/>
  <c r="Q65" i="57" s="1"/>
  <c r="E65" i="57"/>
  <c r="D65" i="57"/>
  <c r="Q63" i="57"/>
  <c r="B63" i="57"/>
  <c r="O62" i="57"/>
  <c r="N62" i="57"/>
  <c r="M62" i="57"/>
  <c r="L62" i="57"/>
  <c r="K62" i="57"/>
  <c r="J62" i="57"/>
  <c r="I62" i="57"/>
  <c r="H62" i="57"/>
  <c r="G62" i="57"/>
  <c r="F62" i="57"/>
  <c r="E62" i="57"/>
  <c r="D62" i="57"/>
  <c r="B62" i="57"/>
  <c r="Q61" i="57"/>
  <c r="B61" i="57"/>
  <c r="O60" i="57"/>
  <c r="N60" i="57"/>
  <c r="M60" i="57"/>
  <c r="L60" i="57"/>
  <c r="K60" i="57"/>
  <c r="J60" i="57"/>
  <c r="I60" i="57"/>
  <c r="H60" i="57"/>
  <c r="G60" i="57"/>
  <c r="F60" i="57"/>
  <c r="E60" i="57"/>
  <c r="D60" i="57"/>
  <c r="B60" i="57"/>
  <c r="Q59" i="57"/>
  <c r="B59" i="57"/>
  <c r="O58" i="57"/>
  <c r="N58" i="57"/>
  <c r="M58" i="57"/>
  <c r="L58" i="57"/>
  <c r="K58" i="57"/>
  <c r="J58" i="57"/>
  <c r="I58" i="57"/>
  <c r="H58" i="57"/>
  <c r="G58" i="57"/>
  <c r="F58" i="57"/>
  <c r="E58" i="57"/>
  <c r="D58" i="57"/>
  <c r="Q58" i="57" s="1"/>
  <c r="B58" i="57"/>
  <c r="Q57" i="57"/>
  <c r="B57" i="57"/>
  <c r="Q56" i="57"/>
  <c r="B56" i="57"/>
  <c r="O55" i="57"/>
  <c r="N55" i="57"/>
  <c r="M55" i="57"/>
  <c r="L55" i="57"/>
  <c r="K55" i="57"/>
  <c r="J55" i="57"/>
  <c r="I55" i="57"/>
  <c r="H55" i="57"/>
  <c r="G55" i="57"/>
  <c r="F55" i="57"/>
  <c r="E55" i="57"/>
  <c r="Q55" i="57" s="1"/>
  <c r="D55" i="57"/>
  <c r="B55" i="57"/>
  <c r="Q54" i="57"/>
  <c r="B54" i="57"/>
  <c r="O53" i="57"/>
  <c r="N53" i="57"/>
  <c r="M53" i="57"/>
  <c r="L53" i="57"/>
  <c r="K53" i="57"/>
  <c r="J53" i="57"/>
  <c r="I53" i="57"/>
  <c r="H53" i="57"/>
  <c r="G53" i="57"/>
  <c r="F53" i="57"/>
  <c r="E53" i="57"/>
  <c r="D53" i="57"/>
  <c r="B53" i="57"/>
  <c r="Q52" i="57"/>
  <c r="B52" i="57"/>
  <c r="Q51" i="57"/>
  <c r="B51" i="57"/>
  <c r="Q50" i="57"/>
  <c r="B50" i="57"/>
  <c r="O49" i="57"/>
  <c r="N49" i="57"/>
  <c r="M49" i="57"/>
  <c r="L49" i="57"/>
  <c r="K49" i="57"/>
  <c r="J49" i="57"/>
  <c r="I49" i="57"/>
  <c r="H49" i="57"/>
  <c r="G49" i="57"/>
  <c r="F49" i="57"/>
  <c r="E49" i="57"/>
  <c r="D49" i="57"/>
  <c r="B49" i="57"/>
  <c r="Q48" i="57"/>
  <c r="B48" i="57"/>
  <c r="O47" i="57"/>
  <c r="N47" i="57"/>
  <c r="M47" i="57"/>
  <c r="L47" i="57"/>
  <c r="K47" i="57"/>
  <c r="J47" i="57"/>
  <c r="I47" i="57"/>
  <c r="H47" i="57"/>
  <c r="G47" i="57"/>
  <c r="F47" i="57"/>
  <c r="E47" i="57"/>
  <c r="D47" i="57"/>
  <c r="B47" i="57"/>
  <c r="Q46" i="57"/>
  <c r="B46" i="57"/>
  <c r="O45" i="57"/>
  <c r="N45" i="57"/>
  <c r="M45" i="57"/>
  <c r="M17" i="57" s="1" a="1"/>
  <c r="M17" i="57" s="1"/>
  <c r="M67" i="57" s="1"/>
  <c r="L45" i="57"/>
  <c r="K45" i="57"/>
  <c r="J45" i="57"/>
  <c r="I45" i="57"/>
  <c r="H45" i="57"/>
  <c r="G45" i="57"/>
  <c r="F45" i="57"/>
  <c r="E45" i="57"/>
  <c r="E17" i="57" s="1" a="1"/>
  <c r="E17" i="57" s="1"/>
  <c r="E67" i="57" s="1"/>
  <c r="D45" i="57"/>
  <c r="B45" i="57"/>
  <c r="Q44" i="57"/>
  <c r="B44" i="57"/>
  <c r="O43" i="57"/>
  <c r="N43" i="57"/>
  <c r="M43" i="57"/>
  <c r="L43" i="57"/>
  <c r="K43" i="57"/>
  <c r="J43" i="57"/>
  <c r="I43" i="57"/>
  <c r="H43" i="57"/>
  <c r="G43" i="57"/>
  <c r="F43" i="57"/>
  <c r="E43" i="57"/>
  <c r="D43" i="57"/>
  <c r="Q43" i="57" s="1"/>
  <c r="B43" i="57"/>
  <c r="Q42" i="57"/>
  <c r="B42" i="57"/>
  <c r="O41" i="57"/>
  <c r="N41" i="57"/>
  <c r="M41" i="57"/>
  <c r="L41" i="57"/>
  <c r="K41" i="57"/>
  <c r="J41" i="57"/>
  <c r="I41" i="57"/>
  <c r="H41" i="57"/>
  <c r="G41" i="57"/>
  <c r="F41" i="57"/>
  <c r="E41" i="57"/>
  <c r="D41" i="57"/>
  <c r="B41" i="57"/>
  <c r="Q40" i="57"/>
  <c r="B40" i="57"/>
  <c r="O39" i="57"/>
  <c r="N39" i="57"/>
  <c r="N17" i="57" s="1" a="1"/>
  <c r="M39" i="57"/>
  <c r="L39" i="57"/>
  <c r="K39" i="57"/>
  <c r="J39" i="57"/>
  <c r="J17" i="57" s="1" a="1"/>
  <c r="J17" i="57" s="1"/>
  <c r="I39" i="57"/>
  <c r="I17" i="57" s="1" a="1"/>
  <c r="I17" i="57" s="1"/>
  <c r="H39" i="57"/>
  <c r="G39" i="57"/>
  <c r="F39" i="57"/>
  <c r="F17" i="57" s="1" a="1"/>
  <c r="E39" i="57"/>
  <c r="D39" i="57"/>
  <c r="B39" i="57"/>
  <c r="Q38" i="57"/>
  <c r="B38" i="57"/>
  <c r="Q37" i="57"/>
  <c r="B37" i="57"/>
  <c r="Q36" i="57"/>
  <c r="B36" i="57"/>
  <c r="Q35" i="57"/>
  <c r="B35" i="57"/>
  <c r="Q34" i="57"/>
  <c r="B34" i="57"/>
  <c r="Q33" i="57"/>
  <c r="B33" i="57"/>
  <c r="Q32" i="57"/>
  <c r="B32" i="57"/>
  <c r="Q31" i="57"/>
  <c r="B31" i="57"/>
  <c r="Q30" i="57"/>
  <c r="B30" i="57"/>
  <c r="Q29" i="57"/>
  <c r="B29" i="57"/>
  <c r="O28" i="57"/>
  <c r="N28" i="57"/>
  <c r="M28" i="57"/>
  <c r="L28" i="57"/>
  <c r="K28" i="57"/>
  <c r="J28" i="57"/>
  <c r="I28" i="57"/>
  <c r="H28" i="57"/>
  <c r="G28" i="57"/>
  <c r="F28" i="57"/>
  <c r="E28" i="57"/>
  <c r="D28" i="57"/>
  <c r="B28" i="57"/>
  <c r="Q27" i="57"/>
  <c r="B27" i="57"/>
  <c r="Q26" i="57"/>
  <c r="B26" i="57"/>
  <c r="Q25" i="57"/>
  <c r="B25" i="57"/>
  <c r="Q24" i="57"/>
  <c r="B24" i="57"/>
  <c r="Q23" i="57"/>
  <c r="B23" i="57"/>
  <c r="Q22" i="57"/>
  <c r="B22" i="57"/>
  <c r="Q21" i="57"/>
  <c r="B21" i="57"/>
  <c r="Q20" i="57"/>
  <c r="B20" i="57"/>
  <c r="Q19" i="57"/>
  <c r="B19" i="57"/>
  <c r="O18" i="57"/>
  <c r="N18" i="57"/>
  <c r="M18" i="57"/>
  <c r="L18" i="57"/>
  <c r="K18" i="57"/>
  <c r="J18" i="57"/>
  <c r="I18" i="57"/>
  <c r="H18" i="57"/>
  <c r="H17" i="57" s="1" a="1"/>
  <c r="H17" i="57" s="1"/>
  <c r="G18" i="57"/>
  <c r="F18" i="57"/>
  <c r="E18" i="57"/>
  <c r="D18" i="57"/>
  <c r="B18" i="57"/>
  <c r="N17" i="57"/>
  <c r="F17" i="57"/>
  <c r="M15" i="57"/>
  <c r="E15" i="57"/>
  <c r="Q14" i="57"/>
  <c r="J14" i="57"/>
  <c r="J15" i="57" s="1"/>
  <c r="H14" i="57"/>
  <c r="Q12" i="57"/>
  <c r="O12" i="57"/>
  <c r="N12" i="57"/>
  <c r="M12" i="57"/>
  <c r="M14" i="57" s="1"/>
  <c r="L12" i="57"/>
  <c r="K12" i="57"/>
  <c r="J12" i="57"/>
  <c r="I12" i="57"/>
  <c r="I14" i="57" s="1"/>
  <c r="I15" i="57" s="1"/>
  <c r="H12" i="57"/>
  <c r="G12" i="57"/>
  <c r="F12" i="57"/>
  <c r="E12" i="57"/>
  <c r="E14" i="57" s="1"/>
  <c r="D12" i="57"/>
  <c r="Q10" i="57"/>
  <c r="O10" i="57"/>
  <c r="N10" i="57"/>
  <c r="N14" i="57" s="1"/>
  <c r="M10" i="57"/>
  <c r="L10" i="57"/>
  <c r="L14" i="57" s="1"/>
  <c r="K10" i="57"/>
  <c r="K14" i="57" s="1"/>
  <c r="J10" i="57"/>
  <c r="I10" i="57"/>
  <c r="H10" i="57"/>
  <c r="G10" i="57"/>
  <c r="F10" i="57"/>
  <c r="F14" i="57" s="1"/>
  <c r="E10" i="57"/>
  <c r="D10" i="57"/>
  <c r="D14" i="57" s="1"/>
  <c r="O8" i="57"/>
  <c r="N8" i="57"/>
  <c r="M8" i="57"/>
  <c r="L8" i="57"/>
  <c r="K8" i="57"/>
  <c r="J8" i="57"/>
  <c r="I8" i="57"/>
  <c r="H8" i="57"/>
  <c r="G8" i="57"/>
  <c r="F8" i="57"/>
  <c r="E8" i="57"/>
  <c r="D8" i="57"/>
  <c r="B5" i="57"/>
  <c r="Q75" i="56"/>
  <c r="M70" i="56"/>
  <c r="L70" i="56"/>
  <c r="K70" i="56"/>
  <c r="J70" i="56"/>
  <c r="I70" i="56"/>
  <c r="H70" i="56"/>
  <c r="G70" i="56"/>
  <c r="F70" i="56"/>
  <c r="Q70" i="56" s="1"/>
  <c r="E70" i="56"/>
  <c r="D70" i="56"/>
  <c r="Q68" i="56"/>
  <c r="B68" i="56"/>
  <c r="O67" i="56"/>
  <c r="N67" i="56"/>
  <c r="M67" i="56"/>
  <c r="L67" i="56"/>
  <c r="K67" i="56"/>
  <c r="J67" i="56"/>
  <c r="I67" i="56"/>
  <c r="H67" i="56"/>
  <c r="G67" i="56"/>
  <c r="F67" i="56"/>
  <c r="E67" i="56"/>
  <c r="D67" i="56"/>
  <c r="B67" i="56"/>
  <c r="Q66" i="56"/>
  <c r="B66" i="56"/>
  <c r="O65" i="56"/>
  <c r="N65" i="56"/>
  <c r="M65" i="56"/>
  <c r="L65" i="56"/>
  <c r="K65" i="56"/>
  <c r="J65" i="56"/>
  <c r="I65" i="56"/>
  <c r="H65" i="56"/>
  <c r="G65" i="56"/>
  <c r="F65" i="56"/>
  <c r="E65" i="56"/>
  <c r="D65" i="56"/>
  <c r="Q65" i="56" s="1"/>
  <c r="B65" i="56"/>
  <c r="Q64" i="56"/>
  <c r="B64" i="56"/>
  <c r="Q63" i="56"/>
  <c r="B63" i="56"/>
  <c r="O62" i="56"/>
  <c r="N62" i="56"/>
  <c r="M62" i="56"/>
  <c r="L62" i="56"/>
  <c r="K62" i="56"/>
  <c r="J62" i="56"/>
  <c r="I62" i="56"/>
  <c r="H62" i="56"/>
  <c r="G62" i="56"/>
  <c r="F62" i="56"/>
  <c r="E62" i="56"/>
  <c r="D62" i="56"/>
  <c r="B62" i="56"/>
  <c r="Q61" i="56"/>
  <c r="B61" i="56"/>
  <c r="O60" i="56"/>
  <c r="N60" i="56"/>
  <c r="M60" i="56"/>
  <c r="L60" i="56"/>
  <c r="K60" i="56"/>
  <c r="J60" i="56"/>
  <c r="I60" i="56"/>
  <c r="H60" i="56"/>
  <c r="G60" i="56"/>
  <c r="F60" i="56"/>
  <c r="E60" i="56"/>
  <c r="D60" i="56"/>
  <c r="Q60" i="56" s="1"/>
  <c r="B60" i="56"/>
  <c r="Q59" i="56"/>
  <c r="B59" i="56"/>
  <c r="Q58" i="56"/>
  <c r="B58" i="56"/>
  <c r="O57" i="56"/>
  <c r="N57" i="56"/>
  <c r="N17" i="56" s="1" a="1"/>
  <c r="N17" i="56" s="1"/>
  <c r="M57" i="56"/>
  <c r="L57" i="56"/>
  <c r="K57" i="56"/>
  <c r="J57" i="56"/>
  <c r="I57" i="56"/>
  <c r="H57" i="56"/>
  <c r="H17" i="56" s="1" a="1"/>
  <c r="H17" i="56" s="1"/>
  <c r="G57" i="56"/>
  <c r="F57" i="56"/>
  <c r="E57" i="56"/>
  <c r="E17" i="56" s="1" a="1"/>
  <c r="E17" i="56" s="1"/>
  <c r="D57" i="56"/>
  <c r="B57" i="56"/>
  <c r="Q56" i="56"/>
  <c r="B56" i="56"/>
  <c r="Q55" i="56"/>
  <c r="B55" i="56"/>
  <c r="Q54" i="56"/>
  <c r="B54" i="56"/>
  <c r="O53" i="56"/>
  <c r="N53" i="56"/>
  <c r="M53" i="56"/>
  <c r="L53" i="56"/>
  <c r="K53" i="56"/>
  <c r="J53" i="56"/>
  <c r="I53" i="56"/>
  <c r="H53" i="56"/>
  <c r="G53" i="56"/>
  <c r="F53" i="56"/>
  <c r="E53" i="56"/>
  <c r="D53" i="56"/>
  <c r="Q53" i="56" s="1"/>
  <c r="B53" i="56"/>
  <c r="Q52" i="56"/>
  <c r="B52" i="56"/>
  <c r="O51" i="56"/>
  <c r="N51" i="56"/>
  <c r="M51" i="56"/>
  <c r="L51" i="56"/>
  <c r="K51" i="56"/>
  <c r="J51" i="56"/>
  <c r="I51" i="56"/>
  <c r="H51" i="56"/>
  <c r="G51" i="56"/>
  <c r="F51" i="56"/>
  <c r="E51" i="56"/>
  <c r="D51" i="56"/>
  <c r="B51" i="56"/>
  <c r="Q50" i="56"/>
  <c r="B50" i="56"/>
  <c r="O49" i="56"/>
  <c r="N49" i="56"/>
  <c r="M49" i="56"/>
  <c r="L49" i="56"/>
  <c r="K49" i="56"/>
  <c r="J49" i="56"/>
  <c r="I49" i="56"/>
  <c r="H49" i="56"/>
  <c r="G49" i="56"/>
  <c r="F49" i="56"/>
  <c r="E49" i="56"/>
  <c r="D49" i="56"/>
  <c r="B49" i="56"/>
  <c r="Q48" i="56"/>
  <c r="B48" i="56"/>
  <c r="O47" i="56"/>
  <c r="N47" i="56"/>
  <c r="M47" i="56"/>
  <c r="L47" i="56"/>
  <c r="K47" i="56"/>
  <c r="J47" i="56"/>
  <c r="I47" i="56"/>
  <c r="H47" i="56"/>
  <c r="G47" i="56"/>
  <c r="F47" i="56"/>
  <c r="E47" i="56"/>
  <c r="D47" i="56"/>
  <c r="Q47" i="56" s="1"/>
  <c r="B47" i="56"/>
  <c r="Q46" i="56"/>
  <c r="B46" i="56"/>
  <c r="O45" i="56"/>
  <c r="N45" i="56"/>
  <c r="M45" i="56"/>
  <c r="L45" i="56"/>
  <c r="K45" i="56"/>
  <c r="J45" i="56"/>
  <c r="I45" i="56"/>
  <c r="H45" i="56"/>
  <c r="G45" i="56"/>
  <c r="F45" i="56"/>
  <c r="E45" i="56"/>
  <c r="D45" i="56"/>
  <c r="Q45" i="56" s="1"/>
  <c r="B45" i="56"/>
  <c r="Q44" i="56"/>
  <c r="B44" i="56"/>
  <c r="O43" i="56"/>
  <c r="N43" i="56"/>
  <c r="M43" i="56"/>
  <c r="L43" i="56"/>
  <c r="K43" i="56"/>
  <c r="J43" i="56"/>
  <c r="I43" i="56"/>
  <c r="H43" i="56"/>
  <c r="G43" i="56"/>
  <c r="F43" i="56"/>
  <c r="E43" i="56"/>
  <c r="D43" i="56"/>
  <c r="Q43" i="56" s="1"/>
  <c r="B43" i="56"/>
  <c r="Q42" i="56"/>
  <c r="B42" i="56"/>
  <c r="O41" i="56"/>
  <c r="N41" i="56"/>
  <c r="M41" i="56"/>
  <c r="L41" i="56"/>
  <c r="K41" i="56"/>
  <c r="J41" i="56"/>
  <c r="I41" i="56"/>
  <c r="H41" i="56"/>
  <c r="G41" i="56"/>
  <c r="F41" i="56"/>
  <c r="E41" i="56"/>
  <c r="D41" i="56"/>
  <c r="B41" i="56"/>
  <c r="Q40" i="56"/>
  <c r="B40" i="56"/>
  <c r="O39" i="56"/>
  <c r="N39" i="56"/>
  <c r="M39" i="56"/>
  <c r="L39" i="56"/>
  <c r="K39" i="56"/>
  <c r="J39" i="56"/>
  <c r="I39" i="56"/>
  <c r="H39" i="56"/>
  <c r="G39" i="56"/>
  <c r="F39" i="56"/>
  <c r="E39" i="56"/>
  <c r="D39" i="56"/>
  <c r="B39" i="56"/>
  <c r="Q38" i="56"/>
  <c r="B38" i="56"/>
  <c r="Q37" i="56"/>
  <c r="B37" i="56"/>
  <c r="Q36" i="56"/>
  <c r="B36" i="56"/>
  <c r="Q35" i="56"/>
  <c r="B35" i="56"/>
  <c r="Q34" i="56"/>
  <c r="B34" i="56"/>
  <c r="Q33" i="56"/>
  <c r="B33" i="56"/>
  <c r="Q32" i="56"/>
  <c r="B32" i="56"/>
  <c r="Q31" i="56"/>
  <c r="B31" i="56"/>
  <c r="Q30" i="56"/>
  <c r="B30" i="56"/>
  <c r="Q29" i="56"/>
  <c r="B29" i="56"/>
  <c r="O28" i="56"/>
  <c r="N28" i="56"/>
  <c r="M28" i="56"/>
  <c r="L28" i="56"/>
  <c r="K28" i="56"/>
  <c r="J28" i="56"/>
  <c r="I28" i="56"/>
  <c r="H28" i="56"/>
  <c r="G28" i="56"/>
  <c r="F28" i="56"/>
  <c r="E28" i="56"/>
  <c r="D28" i="56"/>
  <c r="B28" i="56"/>
  <c r="Q27" i="56"/>
  <c r="B27" i="56"/>
  <c r="Q26" i="56"/>
  <c r="B26" i="56"/>
  <c r="Q25" i="56"/>
  <c r="B25" i="56"/>
  <c r="Q24" i="56"/>
  <c r="B24" i="56"/>
  <c r="Q23" i="56"/>
  <c r="B23" i="56"/>
  <c r="Q22" i="56"/>
  <c r="B22" i="56"/>
  <c r="Q21" i="56"/>
  <c r="B21" i="56"/>
  <c r="Q20" i="56"/>
  <c r="B20" i="56"/>
  <c r="Q19" i="56"/>
  <c r="B19" i="56"/>
  <c r="O18" i="56"/>
  <c r="N18" i="56"/>
  <c r="M18" i="56"/>
  <c r="L18" i="56"/>
  <c r="K18" i="56"/>
  <c r="J18" i="56"/>
  <c r="J17" i="56" s="1" a="1"/>
  <c r="J17" i="56" s="1"/>
  <c r="I18" i="56"/>
  <c r="H18" i="56"/>
  <c r="G18" i="56"/>
  <c r="F18" i="56"/>
  <c r="E18" i="56"/>
  <c r="D18" i="56"/>
  <c r="B18" i="56"/>
  <c r="I17" i="56" a="1"/>
  <c r="I17" i="56" s="1"/>
  <c r="O15" i="56"/>
  <c r="D15" i="56"/>
  <c r="Q14" i="56"/>
  <c r="O14" i="56"/>
  <c r="L14" i="56"/>
  <c r="K14" i="56"/>
  <c r="G14" i="56"/>
  <c r="D14" i="56"/>
  <c r="Q12" i="56"/>
  <c r="O12" i="56"/>
  <c r="N12" i="56"/>
  <c r="M12" i="56"/>
  <c r="L12" i="56"/>
  <c r="K12" i="56"/>
  <c r="J12" i="56"/>
  <c r="I12" i="56"/>
  <c r="H12" i="56"/>
  <c r="H14" i="56" s="1"/>
  <c r="G12" i="56"/>
  <c r="F12" i="56"/>
  <c r="E12" i="56"/>
  <c r="D12" i="56"/>
  <c r="Q10" i="56"/>
  <c r="O10" i="56"/>
  <c r="N10" i="56"/>
  <c r="N14" i="56" s="1"/>
  <c r="M10" i="56"/>
  <c r="M14" i="56" s="1"/>
  <c r="L10" i="56"/>
  <c r="K10" i="56"/>
  <c r="J10" i="56"/>
  <c r="J14" i="56" s="1"/>
  <c r="I10" i="56"/>
  <c r="H10" i="56"/>
  <c r="G10" i="56"/>
  <c r="F10" i="56"/>
  <c r="F14" i="56" s="1"/>
  <c r="F15" i="56" s="1"/>
  <c r="E10" i="56"/>
  <c r="E14" i="56" s="1"/>
  <c r="D10" i="56"/>
  <c r="O8" i="56"/>
  <c r="N8" i="56"/>
  <c r="M8" i="56"/>
  <c r="L8" i="56"/>
  <c r="K8" i="56"/>
  <c r="J8" i="56"/>
  <c r="I8" i="56"/>
  <c r="H8" i="56"/>
  <c r="G8" i="56"/>
  <c r="F8" i="56"/>
  <c r="E8" i="56"/>
  <c r="D8" i="56"/>
  <c r="B5" i="56"/>
  <c r="Q32" i="55"/>
  <c r="H29" i="55"/>
  <c r="M27" i="55"/>
  <c r="L27" i="55"/>
  <c r="K27" i="55"/>
  <c r="J27" i="55"/>
  <c r="I27" i="55"/>
  <c r="H27" i="55"/>
  <c r="G27" i="55"/>
  <c r="F27" i="55"/>
  <c r="E27" i="55"/>
  <c r="D27" i="55"/>
  <c r="Q25" i="55"/>
  <c r="B25" i="55"/>
  <c r="O24" i="55"/>
  <c r="N24" i="55"/>
  <c r="M24" i="55"/>
  <c r="L24" i="55"/>
  <c r="K24" i="55"/>
  <c r="J24" i="55"/>
  <c r="I24" i="55"/>
  <c r="H24" i="55"/>
  <c r="G24" i="55"/>
  <c r="F24" i="55"/>
  <c r="E24" i="55"/>
  <c r="D24" i="55"/>
  <c r="B24" i="55"/>
  <c r="Q23" i="55"/>
  <c r="B23" i="55"/>
  <c r="O22" i="55"/>
  <c r="N22" i="55"/>
  <c r="M22" i="55"/>
  <c r="L22" i="55"/>
  <c r="K22" i="55"/>
  <c r="J22" i="55"/>
  <c r="I22" i="55"/>
  <c r="H22" i="55"/>
  <c r="Q22" i="55" s="1"/>
  <c r="G22" i="55"/>
  <c r="F22" i="55"/>
  <c r="E22" i="55"/>
  <c r="D22" i="55"/>
  <c r="B22" i="55"/>
  <c r="Q21" i="55"/>
  <c r="B21" i="55"/>
  <c r="O20" i="55"/>
  <c r="N20" i="55"/>
  <c r="M20" i="55"/>
  <c r="L20" i="55"/>
  <c r="K20" i="55"/>
  <c r="J20" i="55"/>
  <c r="I20" i="55"/>
  <c r="H20" i="55"/>
  <c r="G20" i="55"/>
  <c r="F20" i="55"/>
  <c r="E20" i="55"/>
  <c r="D20" i="55"/>
  <c r="B20" i="55"/>
  <c r="Q19" i="55"/>
  <c r="B19" i="55"/>
  <c r="O18" i="55"/>
  <c r="N18" i="55"/>
  <c r="M18" i="55"/>
  <c r="L18" i="55"/>
  <c r="L17" i="55" s="1" a="1"/>
  <c r="L17" i="55" s="1"/>
  <c r="K18" i="55"/>
  <c r="J18" i="55"/>
  <c r="I18" i="55"/>
  <c r="H18" i="55"/>
  <c r="H17" i="55" s="1" a="1"/>
  <c r="H17" i="55" s="1"/>
  <c r="G18" i="55"/>
  <c r="G17" i="55" s="1" a="1"/>
  <c r="F18" i="55"/>
  <c r="E18" i="55"/>
  <c r="D18" i="55"/>
  <c r="D17" i="55" s="1" a="1"/>
  <c r="D17" i="55" s="1"/>
  <c r="B18" i="55"/>
  <c r="O17" i="55" a="1"/>
  <c r="O17" i="55" s="1"/>
  <c r="N17" i="55" a="1"/>
  <c r="N17" i="55" s="1"/>
  <c r="M17" i="55" a="1"/>
  <c r="M17" i="55"/>
  <c r="K17" i="55" a="1"/>
  <c r="K17" i="55" s="1"/>
  <c r="J17" i="55" a="1"/>
  <c r="J17" i="55" s="1"/>
  <c r="G17" i="55"/>
  <c r="F17" i="55" a="1"/>
  <c r="F17" i="55" s="1"/>
  <c r="E17" i="55" a="1"/>
  <c r="E17" i="55" s="1"/>
  <c r="K15" i="55"/>
  <c r="Q14" i="55"/>
  <c r="O14" i="55"/>
  <c r="H14" i="55"/>
  <c r="H15" i="55" s="1"/>
  <c r="G14" i="55"/>
  <c r="G15" i="55" s="1"/>
  <c r="Q12" i="55"/>
  <c r="O12" i="55"/>
  <c r="N12" i="55"/>
  <c r="M12" i="55"/>
  <c r="M14" i="55" s="1"/>
  <c r="L12" i="55"/>
  <c r="L14" i="55" s="1"/>
  <c r="K12" i="55"/>
  <c r="J12" i="55"/>
  <c r="I12" i="55"/>
  <c r="H12" i="55"/>
  <c r="G12" i="55"/>
  <c r="F12" i="55"/>
  <c r="E12" i="55"/>
  <c r="E14" i="55" s="1"/>
  <c r="D12" i="55"/>
  <c r="D14" i="55" s="1"/>
  <c r="Q10" i="55"/>
  <c r="O10" i="55"/>
  <c r="N10" i="55"/>
  <c r="N14" i="55" s="1"/>
  <c r="N29" i="55" s="1"/>
  <c r="M10" i="55"/>
  <c r="L10" i="55"/>
  <c r="K10" i="55"/>
  <c r="K14" i="55" s="1"/>
  <c r="J10" i="55"/>
  <c r="J14" i="55" s="1"/>
  <c r="I10" i="55"/>
  <c r="I14" i="55" s="1"/>
  <c r="H10" i="55"/>
  <c r="G10" i="55"/>
  <c r="F10" i="55"/>
  <c r="F14" i="55" s="1"/>
  <c r="E10" i="55"/>
  <c r="D10" i="55"/>
  <c r="O8" i="55"/>
  <c r="N8" i="55"/>
  <c r="M8" i="55"/>
  <c r="L8" i="55"/>
  <c r="K8" i="55"/>
  <c r="J8" i="55"/>
  <c r="I8" i="55"/>
  <c r="H8" i="55"/>
  <c r="G8" i="55"/>
  <c r="F8" i="55"/>
  <c r="E8" i="55"/>
  <c r="D8" i="55"/>
  <c r="B5" i="55"/>
  <c r="O30" i="54"/>
  <c r="N30" i="54"/>
  <c r="M30" i="54"/>
  <c r="L30" i="54"/>
  <c r="K30" i="54"/>
  <c r="J30" i="54"/>
  <c r="I30" i="54"/>
  <c r="H30" i="54"/>
  <c r="G30" i="54"/>
  <c r="F30" i="54"/>
  <c r="E30" i="54"/>
  <c r="D30" i="54"/>
  <c r="O29" i="54"/>
  <c r="N29" i="54"/>
  <c r="M29" i="54"/>
  <c r="L29" i="54"/>
  <c r="K29" i="54"/>
  <c r="J29" i="54"/>
  <c r="I29" i="54"/>
  <c r="H29" i="54"/>
  <c r="G29" i="54"/>
  <c r="F29" i="54"/>
  <c r="E29" i="54"/>
  <c r="D29" i="54"/>
  <c r="Q29" i="54" s="1"/>
  <c r="L26" i="54"/>
  <c r="E26" i="54"/>
  <c r="Q24" i="54"/>
  <c r="L22" i="54"/>
  <c r="D22" i="54"/>
  <c r="G21" i="54"/>
  <c r="M19" i="54"/>
  <c r="L19" i="54"/>
  <c r="K19" i="54"/>
  <c r="J19" i="54"/>
  <c r="I19" i="54"/>
  <c r="H19" i="54"/>
  <c r="G19" i="54"/>
  <c r="F19" i="54"/>
  <c r="E19" i="54"/>
  <c r="D19" i="54"/>
  <c r="Q17" i="54"/>
  <c r="O17" i="54"/>
  <c r="O21" i="54" s="1"/>
  <c r="N17" i="54"/>
  <c r="M17" i="54"/>
  <c r="L17" i="54"/>
  <c r="K17" i="54"/>
  <c r="J17" i="54"/>
  <c r="I17" i="54"/>
  <c r="H17" i="54"/>
  <c r="G17" i="54"/>
  <c r="F17" i="54"/>
  <c r="E17" i="54"/>
  <c r="D17" i="54"/>
  <c r="F15" i="54"/>
  <c r="E15" i="54"/>
  <c r="D15" i="54"/>
  <c r="J14" i="54"/>
  <c r="I14" i="54"/>
  <c r="Q12" i="54"/>
  <c r="O12" i="54"/>
  <c r="O14" i="54" s="1"/>
  <c r="O15" i="54" s="1"/>
  <c r="N12" i="54"/>
  <c r="N14" i="54" s="1"/>
  <c r="N21" i="54" s="1"/>
  <c r="M12" i="54"/>
  <c r="L12" i="54"/>
  <c r="K12" i="54"/>
  <c r="J12" i="54"/>
  <c r="I12" i="54"/>
  <c r="H12" i="54"/>
  <c r="G12" i="54"/>
  <c r="G14" i="54" s="1"/>
  <c r="G15" i="54" s="1"/>
  <c r="F12" i="54"/>
  <c r="F14" i="54" s="1"/>
  <c r="F21" i="54" s="1"/>
  <c r="E12" i="54"/>
  <c r="D12" i="54"/>
  <c r="Q10" i="54"/>
  <c r="O10" i="54"/>
  <c r="N10" i="54"/>
  <c r="M10" i="54"/>
  <c r="M14" i="54" s="1"/>
  <c r="M21" i="54" s="1"/>
  <c r="M22" i="54" s="1"/>
  <c r="L10" i="54"/>
  <c r="L14" i="54" s="1"/>
  <c r="L21" i="54" s="1"/>
  <c r="K10" i="54"/>
  <c r="K14" i="54" s="1"/>
  <c r="J10" i="54"/>
  <c r="I10" i="54"/>
  <c r="H10" i="54"/>
  <c r="G10" i="54"/>
  <c r="F10" i="54"/>
  <c r="E10" i="54"/>
  <c r="E14" i="54" s="1"/>
  <c r="E21" i="54" s="1"/>
  <c r="E22" i="54" s="1"/>
  <c r="D10" i="54"/>
  <c r="D14" i="54" s="1"/>
  <c r="D21" i="54" s="1"/>
  <c r="D26" i="54" s="1"/>
  <c r="O8" i="54"/>
  <c r="N8" i="54"/>
  <c r="M8" i="54"/>
  <c r="L8" i="54"/>
  <c r="K8" i="54"/>
  <c r="J8" i="54"/>
  <c r="I8" i="54"/>
  <c r="H8" i="54"/>
  <c r="G8" i="54"/>
  <c r="F8" i="54"/>
  <c r="E8" i="54"/>
  <c r="D8" i="54"/>
  <c r="B5" i="54"/>
  <c r="B39" i="53"/>
  <c r="B38" i="53"/>
  <c r="G34" i="53"/>
  <c r="E34" i="53"/>
  <c r="D34" i="53"/>
  <c r="G33" i="53"/>
  <c r="E33" i="53"/>
  <c r="D33" i="53"/>
  <c r="G28" i="53"/>
  <c r="E28" i="53"/>
  <c r="D28" i="53"/>
  <c r="G23" i="53"/>
  <c r="E23" i="53"/>
  <c r="D23" i="53"/>
  <c r="G21" i="53"/>
  <c r="E21" i="53"/>
  <c r="D21" i="53"/>
  <c r="B21" i="53"/>
  <c r="G20" i="53"/>
  <c r="E20" i="53"/>
  <c r="D20" i="53"/>
  <c r="B20" i="53"/>
  <c r="G19" i="53"/>
  <c r="E19" i="53"/>
  <c r="D19" i="53"/>
  <c r="G14" i="53"/>
  <c r="E14" i="53"/>
  <c r="D14" i="53"/>
  <c r="B14" i="53"/>
  <c r="G13" i="53"/>
  <c r="E13" i="53"/>
  <c r="D13" i="53"/>
  <c r="G11" i="53"/>
  <c r="E11" i="53"/>
  <c r="D11" i="53"/>
  <c r="B11" i="53"/>
  <c r="G10" i="53"/>
  <c r="E10" i="53"/>
  <c r="D10" i="53"/>
  <c r="E8" i="53"/>
  <c r="D8" i="53"/>
  <c r="B39" i="52"/>
  <c r="B38" i="52"/>
  <c r="G34" i="52"/>
  <c r="E34" i="52"/>
  <c r="D34" i="52"/>
  <c r="G33" i="52"/>
  <c r="E33" i="52"/>
  <c r="D33" i="52"/>
  <c r="G28" i="52"/>
  <c r="E28" i="52"/>
  <c r="D28" i="52"/>
  <c r="G23" i="52"/>
  <c r="E23" i="52"/>
  <c r="D23" i="52"/>
  <c r="G21" i="52"/>
  <c r="E21" i="52"/>
  <c r="D21" i="52"/>
  <c r="B21" i="52"/>
  <c r="G20" i="52"/>
  <c r="E20" i="52"/>
  <c r="D20" i="52"/>
  <c r="B20" i="52"/>
  <c r="G19" i="52"/>
  <c r="E19" i="52"/>
  <c r="D19" i="52"/>
  <c r="G14" i="52"/>
  <c r="E14" i="52"/>
  <c r="D14" i="52"/>
  <c r="B14" i="52"/>
  <c r="G13" i="52"/>
  <c r="E13" i="52"/>
  <c r="D13" i="52"/>
  <c r="G11" i="52"/>
  <c r="E11" i="52"/>
  <c r="D11" i="52"/>
  <c r="B11" i="52"/>
  <c r="G10" i="52"/>
  <c r="E10" i="52"/>
  <c r="D10" i="52"/>
  <c r="E8" i="52"/>
  <c r="D8" i="52"/>
  <c r="Q80" i="51"/>
  <c r="M75" i="51"/>
  <c r="L75" i="51"/>
  <c r="K75" i="51"/>
  <c r="J75" i="51"/>
  <c r="I75" i="51"/>
  <c r="H75" i="51"/>
  <c r="G75" i="51"/>
  <c r="F75" i="51"/>
  <c r="E75" i="51"/>
  <c r="D75" i="51"/>
  <c r="Q73" i="51"/>
  <c r="B73" i="51"/>
  <c r="O72" i="51"/>
  <c r="N72" i="51"/>
  <c r="M72" i="51"/>
  <c r="L72" i="51"/>
  <c r="K72" i="51"/>
  <c r="J72" i="51"/>
  <c r="I72" i="51"/>
  <c r="H72" i="51"/>
  <c r="G72" i="51"/>
  <c r="F72" i="51"/>
  <c r="E72" i="51"/>
  <c r="D72" i="51"/>
  <c r="B72" i="51"/>
  <c r="Q71" i="51"/>
  <c r="B71" i="51"/>
  <c r="Q70" i="51"/>
  <c r="B70" i="51"/>
  <c r="O69" i="51"/>
  <c r="N69" i="51"/>
  <c r="M69" i="51"/>
  <c r="L69" i="51"/>
  <c r="K69" i="51"/>
  <c r="J69" i="51"/>
  <c r="I69" i="51"/>
  <c r="H69" i="51"/>
  <c r="G69" i="51"/>
  <c r="F69" i="51"/>
  <c r="E69" i="51"/>
  <c r="D69" i="51"/>
  <c r="B69" i="51"/>
  <c r="Q68" i="51"/>
  <c r="B68" i="51"/>
  <c r="O67" i="51"/>
  <c r="N67" i="51"/>
  <c r="M67" i="51"/>
  <c r="L67" i="51"/>
  <c r="K67" i="51"/>
  <c r="J67" i="51"/>
  <c r="I67" i="51"/>
  <c r="H67" i="51"/>
  <c r="G67" i="51"/>
  <c r="F67" i="51"/>
  <c r="E67" i="51"/>
  <c r="D67" i="51"/>
  <c r="B67" i="51"/>
  <c r="Q66" i="51"/>
  <c r="B66" i="51"/>
  <c r="O65" i="51"/>
  <c r="N65" i="51"/>
  <c r="M65" i="51"/>
  <c r="L65" i="51"/>
  <c r="K65" i="51"/>
  <c r="J65" i="51"/>
  <c r="I65" i="51"/>
  <c r="H65" i="51"/>
  <c r="G65" i="51"/>
  <c r="F65" i="51"/>
  <c r="E65" i="51"/>
  <c r="D65" i="51"/>
  <c r="B65" i="51"/>
  <c r="Q64" i="51"/>
  <c r="B64" i="51"/>
  <c r="O63" i="51"/>
  <c r="N63" i="51"/>
  <c r="M63" i="51"/>
  <c r="L63" i="51"/>
  <c r="K63" i="51"/>
  <c r="J63" i="51"/>
  <c r="I63" i="51"/>
  <c r="H63" i="51"/>
  <c r="G63" i="51"/>
  <c r="F63" i="51"/>
  <c r="E63" i="51"/>
  <c r="D63" i="51"/>
  <c r="Q63" i="51" s="1"/>
  <c r="B63" i="51"/>
  <c r="Q62" i="51"/>
  <c r="B62" i="51"/>
  <c r="O61" i="51"/>
  <c r="N61" i="51"/>
  <c r="M61" i="51"/>
  <c r="L61" i="51"/>
  <c r="K61" i="51"/>
  <c r="J61" i="51"/>
  <c r="I61" i="51"/>
  <c r="H61" i="51"/>
  <c r="G61" i="51"/>
  <c r="F61" i="51"/>
  <c r="E61" i="51"/>
  <c r="D61" i="51"/>
  <c r="B61" i="51"/>
  <c r="Q60" i="51"/>
  <c r="B60" i="51"/>
  <c r="O59" i="51"/>
  <c r="N59" i="51"/>
  <c r="M59" i="51"/>
  <c r="L59" i="51"/>
  <c r="K59" i="51"/>
  <c r="J59" i="51"/>
  <c r="I59" i="51"/>
  <c r="H59" i="51"/>
  <c r="G59" i="51"/>
  <c r="F59" i="51"/>
  <c r="E59" i="51"/>
  <c r="D59" i="51"/>
  <c r="B59" i="51"/>
  <c r="Q58" i="51"/>
  <c r="B58" i="51"/>
  <c r="O57" i="51"/>
  <c r="N57" i="51"/>
  <c r="M57" i="51"/>
  <c r="L57" i="51"/>
  <c r="K57" i="51"/>
  <c r="J57" i="51"/>
  <c r="I57" i="51"/>
  <c r="H57" i="51"/>
  <c r="G57" i="51"/>
  <c r="F57" i="51"/>
  <c r="E57" i="51"/>
  <c r="D57" i="51"/>
  <c r="B57" i="51"/>
  <c r="Q56" i="51"/>
  <c r="B56" i="51"/>
  <c r="O55" i="51"/>
  <c r="N55" i="51"/>
  <c r="M55" i="51"/>
  <c r="L55" i="51"/>
  <c r="K55" i="51"/>
  <c r="J55" i="51"/>
  <c r="I55" i="51"/>
  <c r="H55" i="51"/>
  <c r="G55" i="51"/>
  <c r="F55" i="51"/>
  <c r="E55" i="51"/>
  <c r="D55" i="51"/>
  <c r="B55" i="51"/>
  <c r="Q54" i="51"/>
  <c r="B54" i="51"/>
  <c r="Q53" i="51"/>
  <c r="B53" i="51"/>
  <c r="Q52" i="51"/>
  <c r="B52" i="51"/>
  <c r="Q51" i="51"/>
  <c r="B51" i="51"/>
  <c r="Q50" i="51"/>
  <c r="B50" i="51"/>
  <c r="Q49" i="51"/>
  <c r="B49" i="51"/>
  <c r="Q48" i="51"/>
  <c r="B48" i="51"/>
  <c r="Q47" i="51"/>
  <c r="B47" i="51"/>
  <c r="Q46" i="51"/>
  <c r="B46" i="51"/>
  <c r="Q45" i="51"/>
  <c r="B45" i="51"/>
  <c r="O44" i="51"/>
  <c r="N44" i="51"/>
  <c r="M44" i="51"/>
  <c r="L44" i="51"/>
  <c r="K44" i="51"/>
  <c r="J44" i="51"/>
  <c r="I44" i="51"/>
  <c r="H44" i="51"/>
  <c r="H32" i="51" s="1" a="1"/>
  <c r="G44" i="51"/>
  <c r="Q44" i="51" s="1"/>
  <c r="F44" i="51"/>
  <c r="E44" i="51"/>
  <c r="D44" i="51"/>
  <c r="B44" i="51"/>
  <c r="Q43" i="51"/>
  <c r="B43" i="51"/>
  <c r="Q42" i="51"/>
  <c r="B42" i="51"/>
  <c r="Q41" i="51"/>
  <c r="B41" i="51"/>
  <c r="Q40" i="51"/>
  <c r="B40" i="51"/>
  <c r="Q39" i="51"/>
  <c r="B39" i="51"/>
  <c r="Q38" i="51"/>
  <c r="B38" i="51"/>
  <c r="Q37" i="51"/>
  <c r="B37" i="51"/>
  <c r="Q36" i="51"/>
  <c r="B36" i="51"/>
  <c r="Q35" i="51"/>
  <c r="B35" i="51"/>
  <c r="Q34" i="51"/>
  <c r="B34" i="51"/>
  <c r="O33" i="51"/>
  <c r="O32" i="51" s="1" a="1"/>
  <c r="O32" i="51" s="1"/>
  <c r="N33" i="51"/>
  <c r="M33" i="51"/>
  <c r="L33" i="51"/>
  <c r="K33" i="51"/>
  <c r="K32" i="51" s="1" a="1"/>
  <c r="K32" i="51" s="1"/>
  <c r="J33" i="51"/>
  <c r="J32" i="51" s="1" a="1"/>
  <c r="J32" i="51" s="1"/>
  <c r="I33" i="51"/>
  <c r="I32" i="51" s="1" a="1"/>
  <c r="I32" i="51" s="1"/>
  <c r="H33" i="51"/>
  <c r="G33" i="51"/>
  <c r="G32" i="51" s="1" a="1"/>
  <c r="G32" i="51" s="1"/>
  <c r="F33" i="51"/>
  <c r="E33" i="51"/>
  <c r="D33" i="51"/>
  <c r="B33" i="51"/>
  <c r="L32" i="51" a="1"/>
  <c r="L32" i="51" s="1"/>
  <c r="H32" i="51"/>
  <c r="D32" i="51" a="1"/>
  <c r="D32" i="51"/>
  <c r="O29" i="51"/>
  <c r="N29" i="51"/>
  <c r="F29" i="51"/>
  <c r="Q27" i="51"/>
  <c r="B27" i="51"/>
  <c r="Q26" i="51"/>
  <c r="B26" i="51"/>
  <c r="Q25" i="51"/>
  <c r="B25" i="51"/>
  <c r="Q24" i="51"/>
  <c r="B24" i="51"/>
  <c r="Q23" i="51"/>
  <c r="B23" i="51"/>
  <c r="Q22" i="51"/>
  <c r="B22" i="51"/>
  <c r="Q21" i="51"/>
  <c r="B21" i="51"/>
  <c r="Q20" i="51"/>
  <c r="B20" i="51"/>
  <c r="Q19" i="51"/>
  <c r="B19" i="51"/>
  <c r="Q18" i="51"/>
  <c r="B18" i="51"/>
  <c r="Q17" i="51"/>
  <c r="O17" i="51"/>
  <c r="N17" i="51"/>
  <c r="M17" i="51"/>
  <c r="L17" i="51"/>
  <c r="K17" i="51"/>
  <c r="J17" i="51"/>
  <c r="I17" i="51"/>
  <c r="H17" i="51"/>
  <c r="G17" i="51"/>
  <c r="F17" i="51"/>
  <c r="E17" i="51"/>
  <c r="D17" i="51"/>
  <c r="M15" i="51"/>
  <c r="L15" i="51"/>
  <c r="K15" i="51"/>
  <c r="J15" i="51"/>
  <c r="I15" i="51"/>
  <c r="H15" i="51"/>
  <c r="G15" i="51"/>
  <c r="F15" i="51"/>
  <c r="E15" i="51"/>
  <c r="D15" i="51"/>
  <c r="B15" i="51"/>
  <c r="M14" i="51"/>
  <c r="L14" i="51"/>
  <c r="K14" i="51"/>
  <c r="J14" i="51"/>
  <c r="I14" i="51"/>
  <c r="H14" i="51"/>
  <c r="G14" i="51"/>
  <c r="F14" i="51"/>
  <c r="Q14" i="51" s="1"/>
  <c r="E14" i="51"/>
  <c r="D14" i="51"/>
  <c r="B14" i="51"/>
  <c r="M13" i="51"/>
  <c r="L13" i="51"/>
  <c r="K13" i="51"/>
  <c r="J13" i="51"/>
  <c r="I13" i="51"/>
  <c r="H13" i="51"/>
  <c r="G13" i="51"/>
  <c r="F13" i="51"/>
  <c r="E13" i="51"/>
  <c r="D13" i="51"/>
  <c r="B13" i="51"/>
  <c r="M12" i="51"/>
  <c r="L12" i="51"/>
  <c r="K12" i="51"/>
  <c r="J12" i="51"/>
  <c r="I12" i="51"/>
  <c r="H12" i="51"/>
  <c r="G12" i="51"/>
  <c r="F12" i="51"/>
  <c r="F10" i="51" s="1"/>
  <c r="E12" i="51"/>
  <c r="D12" i="51"/>
  <c r="B12" i="51"/>
  <c r="M11" i="51"/>
  <c r="L11" i="51"/>
  <c r="L10" i="51" s="1"/>
  <c r="L29" i="51" s="1"/>
  <c r="K11" i="51"/>
  <c r="J11" i="51"/>
  <c r="I11" i="51"/>
  <c r="H11" i="51"/>
  <c r="G11" i="51"/>
  <c r="F11" i="51"/>
  <c r="E11" i="51"/>
  <c r="D11" i="51"/>
  <c r="B11" i="51"/>
  <c r="O10" i="51"/>
  <c r="N10" i="51"/>
  <c r="M10" i="51"/>
  <c r="M29" i="51" s="1"/>
  <c r="J10" i="51"/>
  <c r="J29" i="51" s="1"/>
  <c r="I10" i="51"/>
  <c r="H10" i="51"/>
  <c r="H29" i="51" s="1"/>
  <c r="E10" i="51"/>
  <c r="E29" i="51" s="1"/>
  <c r="O8" i="51"/>
  <c r="N8" i="51"/>
  <c r="M8" i="51"/>
  <c r="L8" i="51"/>
  <c r="K8" i="51"/>
  <c r="J8" i="51"/>
  <c r="I8" i="51"/>
  <c r="H8" i="51"/>
  <c r="G8" i="51"/>
  <c r="F8" i="51"/>
  <c r="E8" i="51"/>
  <c r="D8" i="51"/>
  <c r="B39" i="50"/>
  <c r="B38" i="50"/>
  <c r="G34" i="50"/>
  <c r="E34" i="50"/>
  <c r="D34" i="50"/>
  <c r="G33" i="50"/>
  <c r="E33" i="50"/>
  <c r="D33" i="50"/>
  <c r="G28" i="50"/>
  <c r="E28" i="50"/>
  <c r="D28" i="50"/>
  <c r="G23" i="50"/>
  <c r="E23" i="50"/>
  <c r="D23" i="50"/>
  <c r="G21" i="50"/>
  <c r="E21" i="50"/>
  <c r="D21" i="50"/>
  <c r="B21" i="50"/>
  <c r="G20" i="50"/>
  <c r="E20" i="50"/>
  <c r="D20" i="50"/>
  <c r="B20" i="50"/>
  <c r="G19" i="50"/>
  <c r="E19" i="50"/>
  <c r="D19" i="50"/>
  <c r="G14" i="50"/>
  <c r="E14" i="50"/>
  <c r="D14" i="50"/>
  <c r="B14" i="50"/>
  <c r="G13" i="50"/>
  <c r="E13" i="50"/>
  <c r="D13" i="50"/>
  <c r="G11" i="50"/>
  <c r="E11" i="50"/>
  <c r="D11" i="50"/>
  <c r="B11" i="50"/>
  <c r="G10" i="50"/>
  <c r="E10" i="50"/>
  <c r="D10" i="50"/>
  <c r="E8" i="50"/>
  <c r="D8" i="50"/>
  <c r="B39" i="49"/>
  <c r="B38" i="49"/>
  <c r="G34" i="49"/>
  <c r="E34" i="49"/>
  <c r="D34" i="49"/>
  <c r="G33" i="49"/>
  <c r="E33" i="49"/>
  <c r="D33" i="49"/>
  <c r="G28" i="49"/>
  <c r="E28" i="49"/>
  <c r="D28" i="49"/>
  <c r="G23" i="49"/>
  <c r="E23" i="49"/>
  <c r="D23" i="49"/>
  <c r="G21" i="49"/>
  <c r="E21" i="49"/>
  <c r="D21" i="49"/>
  <c r="B21" i="49"/>
  <c r="G20" i="49"/>
  <c r="E20" i="49"/>
  <c r="D20" i="49"/>
  <c r="B20" i="49"/>
  <c r="G19" i="49"/>
  <c r="E19" i="49"/>
  <c r="D19" i="49"/>
  <c r="G14" i="49"/>
  <c r="E14" i="49"/>
  <c r="D14" i="49"/>
  <c r="B14" i="49"/>
  <c r="G13" i="49"/>
  <c r="E13" i="49"/>
  <c r="D13" i="49"/>
  <c r="G11" i="49"/>
  <c r="E11" i="49"/>
  <c r="D11" i="49"/>
  <c r="B11" i="49"/>
  <c r="G10" i="49"/>
  <c r="E10" i="49"/>
  <c r="D10" i="49"/>
  <c r="E8" i="49"/>
  <c r="D8" i="49"/>
  <c r="Q76" i="48"/>
  <c r="M71" i="48"/>
  <c r="L71" i="48"/>
  <c r="K71" i="48"/>
  <c r="J71" i="48"/>
  <c r="I71" i="48"/>
  <c r="H71" i="48"/>
  <c r="G71" i="48"/>
  <c r="F71" i="48"/>
  <c r="Q71" i="48" s="1"/>
  <c r="E71" i="48"/>
  <c r="D71" i="48"/>
  <c r="Q69" i="48"/>
  <c r="B69" i="48"/>
  <c r="O68" i="48"/>
  <c r="N68" i="48"/>
  <c r="M68" i="48"/>
  <c r="L68" i="48"/>
  <c r="K68" i="48"/>
  <c r="J68" i="48"/>
  <c r="I68" i="48"/>
  <c r="H68" i="48"/>
  <c r="Q68" i="48" s="1"/>
  <c r="G68" i="48"/>
  <c r="F68" i="48"/>
  <c r="E68" i="48"/>
  <c r="D68" i="48"/>
  <c r="B68" i="48"/>
  <c r="Q67" i="48"/>
  <c r="B67" i="48"/>
  <c r="O66" i="48"/>
  <c r="N66" i="48"/>
  <c r="M66" i="48"/>
  <c r="L66" i="48"/>
  <c r="K66" i="48"/>
  <c r="J66" i="48"/>
  <c r="I66" i="48"/>
  <c r="H66" i="48"/>
  <c r="Q66" i="48" s="1"/>
  <c r="G66" i="48"/>
  <c r="F66" i="48"/>
  <c r="E66" i="48"/>
  <c r="D66" i="48"/>
  <c r="B66" i="48"/>
  <c r="Q65" i="48"/>
  <c r="B65" i="48"/>
  <c r="Q64" i="48"/>
  <c r="B64" i="48"/>
  <c r="Q63" i="48"/>
  <c r="B63" i="48"/>
  <c r="O62" i="48"/>
  <c r="N62" i="48"/>
  <c r="M62" i="48"/>
  <c r="L62" i="48"/>
  <c r="K62" i="48"/>
  <c r="J62" i="48"/>
  <c r="I62" i="48"/>
  <c r="H62" i="48"/>
  <c r="G62" i="48"/>
  <c r="F62" i="48"/>
  <c r="E62" i="48"/>
  <c r="D62" i="48"/>
  <c r="B62" i="48"/>
  <c r="Q61" i="48"/>
  <c r="B61" i="48"/>
  <c r="O60" i="48"/>
  <c r="N60" i="48"/>
  <c r="M60" i="48"/>
  <c r="L60" i="48"/>
  <c r="K60" i="48"/>
  <c r="J60" i="48"/>
  <c r="I60" i="48"/>
  <c r="H60" i="48"/>
  <c r="G60" i="48"/>
  <c r="F60" i="48"/>
  <c r="E60" i="48"/>
  <c r="D60" i="48"/>
  <c r="B60" i="48"/>
  <c r="Q59" i="48"/>
  <c r="B59" i="48"/>
  <c r="Q58" i="48"/>
  <c r="B58" i="48"/>
  <c r="Q57" i="48"/>
  <c r="B57" i="48"/>
  <c r="O56" i="48"/>
  <c r="N56" i="48"/>
  <c r="M56" i="48"/>
  <c r="L56" i="48"/>
  <c r="K56" i="48"/>
  <c r="J56" i="48"/>
  <c r="I56" i="48"/>
  <c r="H56" i="48"/>
  <c r="Q56" i="48" s="1"/>
  <c r="G56" i="48"/>
  <c r="F56" i="48"/>
  <c r="E56" i="48"/>
  <c r="D56" i="48"/>
  <c r="B56" i="48"/>
  <c r="Q55" i="48"/>
  <c r="B55" i="48"/>
  <c r="O54" i="48"/>
  <c r="N54" i="48"/>
  <c r="M54" i="48"/>
  <c r="L54" i="48"/>
  <c r="K54" i="48"/>
  <c r="J54" i="48"/>
  <c r="I54" i="48"/>
  <c r="H54" i="48"/>
  <c r="Q54" i="48" s="1"/>
  <c r="G54" i="48"/>
  <c r="F54" i="48"/>
  <c r="E54" i="48"/>
  <c r="D54" i="48"/>
  <c r="B54" i="48"/>
  <c r="Q53" i="48"/>
  <c r="B53" i="48"/>
  <c r="O52" i="48"/>
  <c r="N52" i="48"/>
  <c r="M52" i="48"/>
  <c r="L52" i="48"/>
  <c r="K52" i="48"/>
  <c r="J52" i="48"/>
  <c r="I52" i="48"/>
  <c r="H52" i="48"/>
  <c r="Q52" i="48" s="1"/>
  <c r="G52" i="48"/>
  <c r="F52" i="48"/>
  <c r="E52" i="48"/>
  <c r="D52" i="48"/>
  <c r="B52" i="48"/>
  <c r="Q51" i="48"/>
  <c r="B51" i="48"/>
  <c r="O50" i="48"/>
  <c r="N50" i="48"/>
  <c r="M50" i="48"/>
  <c r="L50" i="48"/>
  <c r="K50" i="48"/>
  <c r="J50" i="48"/>
  <c r="I50" i="48"/>
  <c r="H50" i="48"/>
  <c r="G50" i="48"/>
  <c r="F50" i="48"/>
  <c r="E50" i="48"/>
  <c r="D50" i="48"/>
  <c r="B50" i="48"/>
  <c r="Q49" i="48"/>
  <c r="B49" i="48"/>
  <c r="Q48" i="48"/>
  <c r="B48" i="48"/>
  <c r="O47" i="48"/>
  <c r="N47" i="48"/>
  <c r="M47" i="48"/>
  <c r="L47" i="48"/>
  <c r="K47" i="48"/>
  <c r="J47" i="48"/>
  <c r="I47" i="48"/>
  <c r="H47" i="48"/>
  <c r="G47" i="48"/>
  <c r="F47" i="48"/>
  <c r="E47" i="48"/>
  <c r="D47" i="48"/>
  <c r="Q47" i="48" s="1"/>
  <c r="B47" i="48"/>
  <c r="Q46" i="48"/>
  <c r="B46" i="48"/>
  <c r="O45" i="48"/>
  <c r="N45" i="48"/>
  <c r="M45" i="48"/>
  <c r="L45" i="48"/>
  <c r="K45" i="48"/>
  <c r="J45" i="48"/>
  <c r="I45" i="48"/>
  <c r="H45" i="48"/>
  <c r="G45" i="48"/>
  <c r="F45" i="48"/>
  <c r="E45" i="48"/>
  <c r="D45" i="48"/>
  <c r="B45" i="48"/>
  <c r="Q44" i="48"/>
  <c r="B44" i="48"/>
  <c r="O43" i="48"/>
  <c r="N43" i="48"/>
  <c r="M43" i="48"/>
  <c r="L43" i="48"/>
  <c r="K43" i="48"/>
  <c r="J43" i="48"/>
  <c r="J18" i="48" s="1" a="1"/>
  <c r="J18" i="48" s="1"/>
  <c r="I43" i="48"/>
  <c r="H43" i="48"/>
  <c r="G43" i="48"/>
  <c r="F43" i="48"/>
  <c r="E43" i="48"/>
  <c r="D43" i="48"/>
  <c r="B43" i="48"/>
  <c r="Q42" i="48"/>
  <c r="B42" i="48"/>
  <c r="O41" i="48"/>
  <c r="N41" i="48"/>
  <c r="M41" i="48"/>
  <c r="L41" i="48"/>
  <c r="K41" i="48"/>
  <c r="J41" i="48"/>
  <c r="I41" i="48"/>
  <c r="H41" i="48"/>
  <c r="G41" i="48"/>
  <c r="F41" i="48"/>
  <c r="E41" i="48"/>
  <c r="D41" i="48"/>
  <c r="B41" i="48"/>
  <c r="Q40" i="48"/>
  <c r="B40" i="48"/>
  <c r="Q39" i="48"/>
  <c r="B39" i="48"/>
  <c r="Q38" i="48"/>
  <c r="B38" i="48"/>
  <c r="Q37" i="48"/>
  <c r="B37" i="48"/>
  <c r="Q36" i="48"/>
  <c r="B36" i="48"/>
  <c r="Q35" i="48"/>
  <c r="B35" i="48"/>
  <c r="Q34" i="48"/>
  <c r="B34" i="48"/>
  <c r="Q33" i="48"/>
  <c r="B33" i="48"/>
  <c r="Q32" i="48"/>
  <c r="B32" i="48"/>
  <c r="Q31" i="48"/>
  <c r="B31" i="48"/>
  <c r="O30" i="48"/>
  <c r="N30" i="48"/>
  <c r="M30" i="48"/>
  <c r="L30" i="48"/>
  <c r="L18" i="48" s="1" a="1"/>
  <c r="L18" i="48" s="1"/>
  <c r="K30" i="48"/>
  <c r="J30" i="48"/>
  <c r="I30" i="48"/>
  <c r="H30" i="48"/>
  <c r="G30" i="48"/>
  <c r="F30" i="48"/>
  <c r="E30" i="48"/>
  <c r="D30" i="48"/>
  <c r="B30" i="48"/>
  <c r="Q29" i="48"/>
  <c r="B29" i="48"/>
  <c r="Q28" i="48"/>
  <c r="B28" i="48"/>
  <c r="Q27" i="48"/>
  <c r="B27" i="48"/>
  <c r="Q26" i="48"/>
  <c r="B26" i="48"/>
  <c r="Q25" i="48"/>
  <c r="B25" i="48"/>
  <c r="Q24" i="48"/>
  <c r="B24" i="48"/>
  <c r="Q23" i="48"/>
  <c r="B23" i="48"/>
  <c r="Q22" i="48"/>
  <c r="B22" i="48"/>
  <c r="Q21" i="48"/>
  <c r="B21" i="48"/>
  <c r="Q20" i="48"/>
  <c r="B20" i="48"/>
  <c r="O19" i="48"/>
  <c r="N19" i="48"/>
  <c r="N18" i="48" s="1" a="1"/>
  <c r="N18" i="48" s="1"/>
  <c r="M19" i="48"/>
  <c r="L19" i="48"/>
  <c r="K19" i="48"/>
  <c r="K18" i="48" s="1" a="1"/>
  <c r="K18" i="48" s="1"/>
  <c r="J19" i="48"/>
  <c r="I19" i="48"/>
  <c r="H19" i="48"/>
  <c r="G19" i="48"/>
  <c r="F19" i="48"/>
  <c r="E19" i="48"/>
  <c r="D19" i="48"/>
  <c r="B19" i="48"/>
  <c r="F18" i="48" a="1"/>
  <c r="F18" i="48"/>
  <c r="F73" i="48" s="1"/>
  <c r="F16" i="48"/>
  <c r="E16" i="48"/>
  <c r="L15" i="48"/>
  <c r="K15" i="48"/>
  <c r="Q13" i="48"/>
  <c r="O13" i="48"/>
  <c r="O15" i="48" s="1"/>
  <c r="N13" i="48"/>
  <c r="M13" i="48"/>
  <c r="L13" i="48"/>
  <c r="K13" i="48"/>
  <c r="J13" i="48"/>
  <c r="I13" i="48"/>
  <c r="H13" i="48"/>
  <c r="G13" i="48"/>
  <c r="F13" i="48"/>
  <c r="E13" i="48"/>
  <c r="D13" i="48"/>
  <c r="M11" i="48"/>
  <c r="L11" i="48"/>
  <c r="L10" i="48" s="1"/>
  <c r="K11" i="48"/>
  <c r="K10" i="48" s="1"/>
  <c r="J11" i="48"/>
  <c r="I11" i="48"/>
  <c r="H11" i="48"/>
  <c r="G11" i="48"/>
  <c r="G10" i="48" s="1"/>
  <c r="F11" i="48"/>
  <c r="E11" i="48"/>
  <c r="D11" i="48"/>
  <c r="B11" i="48"/>
  <c r="O10" i="48"/>
  <c r="N10" i="48"/>
  <c r="N15" i="48" s="1"/>
  <c r="N16" i="48" s="1"/>
  <c r="M10" i="48"/>
  <c r="M15" i="48" s="1"/>
  <c r="M16" i="48" s="1"/>
  <c r="J10" i="48"/>
  <c r="J15" i="48" s="1"/>
  <c r="I10" i="48"/>
  <c r="I15" i="48" s="1"/>
  <c r="H10" i="48"/>
  <c r="H15" i="48" s="1"/>
  <c r="F10" i="48"/>
  <c r="F15" i="48" s="1"/>
  <c r="E10" i="48"/>
  <c r="E15" i="48" s="1"/>
  <c r="O8" i="48"/>
  <c r="N8" i="48"/>
  <c r="M8" i="48"/>
  <c r="L8" i="48"/>
  <c r="K8" i="48"/>
  <c r="J8" i="48"/>
  <c r="I8" i="48"/>
  <c r="H8" i="48"/>
  <c r="G8" i="48"/>
  <c r="F8" i="48"/>
  <c r="E8" i="48"/>
  <c r="D8" i="48"/>
  <c r="B39" i="47"/>
  <c r="B38" i="47"/>
  <c r="G34" i="47"/>
  <c r="E34" i="47"/>
  <c r="D34" i="47"/>
  <c r="G33" i="47"/>
  <c r="E33" i="47"/>
  <c r="D33" i="47"/>
  <c r="G28" i="47"/>
  <c r="E28" i="47"/>
  <c r="D28" i="47"/>
  <c r="G23" i="47"/>
  <c r="E23" i="47"/>
  <c r="D23" i="47"/>
  <c r="G21" i="47"/>
  <c r="E21" i="47"/>
  <c r="D21" i="47"/>
  <c r="B21" i="47"/>
  <c r="G20" i="47"/>
  <c r="E20" i="47"/>
  <c r="D20" i="47"/>
  <c r="B20" i="47"/>
  <c r="G19" i="47"/>
  <c r="E19" i="47"/>
  <c r="D19" i="47"/>
  <c r="G14" i="47"/>
  <c r="E14" i="47"/>
  <c r="D14" i="47"/>
  <c r="B14" i="47"/>
  <c r="G13" i="47"/>
  <c r="E13" i="47"/>
  <c r="D13" i="47"/>
  <c r="G11" i="47"/>
  <c r="E11" i="47"/>
  <c r="D11" i="47"/>
  <c r="B11" i="47"/>
  <c r="G10" i="47"/>
  <c r="E10" i="47"/>
  <c r="D10" i="47"/>
  <c r="E8" i="47"/>
  <c r="D8" i="47"/>
  <c r="B39" i="46"/>
  <c r="B38" i="46"/>
  <c r="G34" i="46"/>
  <c r="E34" i="46"/>
  <c r="D34" i="46"/>
  <c r="G33" i="46"/>
  <c r="E33" i="46"/>
  <c r="D33" i="46"/>
  <c r="G28" i="46"/>
  <c r="E28" i="46"/>
  <c r="D28" i="46"/>
  <c r="G23" i="46"/>
  <c r="E23" i="46"/>
  <c r="D23" i="46"/>
  <c r="G21" i="46"/>
  <c r="E21" i="46"/>
  <c r="D21" i="46"/>
  <c r="B21" i="46"/>
  <c r="G20" i="46"/>
  <c r="E20" i="46"/>
  <c r="D20" i="46"/>
  <c r="B20" i="46"/>
  <c r="G19" i="46"/>
  <c r="E19" i="46"/>
  <c r="D19" i="46"/>
  <c r="G14" i="46"/>
  <c r="E14" i="46"/>
  <c r="D14" i="46"/>
  <c r="B14" i="46"/>
  <c r="G13" i="46"/>
  <c r="E13" i="46"/>
  <c r="D13" i="46"/>
  <c r="G11" i="46"/>
  <c r="E11" i="46"/>
  <c r="D11" i="46"/>
  <c r="B11" i="46"/>
  <c r="G10" i="46"/>
  <c r="E10" i="46"/>
  <c r="D10" i="46"/>
  <c r="E8" i="46"/>
  <c r="D8" i="46"/>
  <c r="Q102" i="45"/>
  <c r="M97" i="45"/>
  <c r="L97" i="45"/>
  <c r="K97" i="45"/>
  <c r="J97" i="45"/>
  <c r="I97" i="45"/>
  <c r="H97" i="45"/>
  <c r="G97" i="45"/>
  <c r="F97" i="45"/>
  <c r="E97" i="45"/>
  <c r="D97" i="45"/>
  <c r="Q95" i="45"/>
  <c r="B95" i="45"/>
  <c r="Q94" i="45"/>
  <c r="B94" i="45"/>
  <c r="O93" i="45"/>
  <c r="N93" i="45"/>
  <c r="M93" i="45"/>
  <c r="L93" i="45"/>
  <c r="K93" i="45"/>
  <c r="J93" i="45"/>
  <c r="I93" i="45"/>
  <c r="H93" i="45"/>
  <c r="G93" i="45"/>
  <c r="F93" i="45"/>
  <c r="E93" i="45"/>
  <c r="D93" i="45"/>
  <c r="B93" i="45"/>
  <c r="Q92" i="45"/>
  <c r="B92" i="45"/>
  <c r="O91" i="45"/>
  <c r="N91" i="45"/>
  <c r="M91" i="45"/>
  <c r="L91" i="45"/>
  <c r="K91" i="45"/>
  <c r="J91" i="45"/>
  <c r="I91" i="45"/>
  <c r="H91" i="45"/>
  <c r="G91" i="45"/>
  <c r="F91" i="45"/>
  <c r="E91" i="45"/>
  <c r="D91" i="45"/>
  <c r="B91" i="45"/>
  <c r="Q90" i="45"/>
  <c r="B90" i="45"/>
  <c r="Q89" i="45"/>
  <c r="B89" i="45"/>
  <c r="O88" i="45"/>
  <c r="N88" i="45"/>
  <c r="M88" i="45"/>
  <c r="L88" i="45"/>
  <c r="K88" i="45"/>
  <c r="J88" i="45"/>
  <c r="I88" i="45"/>
  <c r="H88" i="45"/>
  <c r="G88" i="45"/>
  <c r="F88" i="45"/>
  <c r="E88" i="45"/>
  <c r="D88" i="45"/>
  <c r="B88" i="45"/>
  <c r="Q87" i="45"/>
  <c r="B87" i="45"/>
  <c r="Q86" i="45"/>
  <c r="B86" i="45"/>
  <c r="Q85" i="45"/>
  <c r="B85" i="45"/>
  <c r="Q84" i="45"/>
  <c r="B84" i="45"/>
  <c r="Q83" i="45"/>
  <c r="B83" i="45"/>
  <c r="Q82" i="45"/>
  <c r="B82" i="45"/>
  <c r="Q81" i="45"/>
  <c r="B81" i="45"/>
  <c r="Q80" i="45"/>
  <c r="B80" i="45"/>
  <c r="Q79" i="45"/>
  <c r="B79" i="45"/>
  <c r="O78" i="45"/>
  <c r="N78" i="45"/>
  <c r="M78" i="45"/>
  <c r="L78" i="45"/>
  <c r="K78" i="45"/>
  <c r="J78" i="45"/>
  <c r="I78" i="45"/>
  <c r="H78" i="45"/>
  <c r="G78" i="45"/>
  <c r="F78" i="45"/>
  <c r="E78" i="45"/>
  <c r="D78" i="45"/>
  <c r="B78" i="45"/>
  <c r="Q77" i="45"/>
  <c r="B77" i="45"/>
  <c r="Q76" i="45"/>
  <c r="B76" i="45"/>
  <c r="Q75" i="45"/>
  <c r="B75" i="45"/>
  <c r="Q74" i="45"/>
  <c r="B74" i="45"/>
  <c r="O73" i="45"/>
  <c r="N73" i="45"/>
  <c r="M73" i="45"/>
  <c r="L73" i="45"/>
  <c r="K73" i="45"/>
  <c r="J73" i="45"/>
  <c r="I73" i="45"/>
  <c r="H73" i="45"/>
  <c r="G73" i="45"/>
  <c r="F73" i="45"/>
  <c r="E73" i="45"/>
  <c r="D73" i="45"/>
  <c r="B73" i="45"/>
  <c r="Q72" i="45"/>
  <c r="B72" i="45"/>
  <c r="Q71" i="45"/>
  <c r="B71" i="45"/>
  <c r="Q70" i="45"/>
  <c r="B70" i="45"/>
  <c r="O69" i="45"/>
  <c r="N69" i="45"/>
  <c r="M69" i="45"/>
  <c r="L69" i="45"/>
  <c r="K69" i="45"/>
  <c r="J69" i="45"/>
  <c r="I69" i="45"/>
  <c r="H69" i="45"/>
  <c r="G69" i="45"/>
  <c r="F69" i="45"/>
  <c r="E69" i="45"/>
  <c r="D69" i="45"/>
  <c r="B69" i="45"/>
  <c r="Q68" i="45"/>
  <c r="B68" i="45"/>
  <c r="O67" i="45"/>
  <c r="N67" i="45"/>
  <c r="M67" i="45"/>
  <c r="L67" i="45"/>
  <c r="K67" i="45"/>
  <c r="J67" i="45"/>
  <c r="I67" i="45"/>
  <c r="H67" i="45"/>
  <c r="G67" i="45"/>
  <c r="F67" i="45"/>
  <c r="E67" i="45"/>
  <c r="D67" i="45"/>
  <c r="Q67" i="45" s="1"/>
  <c r="B67" i="45"/>
  <c r="Q66" i="45"/>
  <c r="B66" i="45"/>
  <c r="O65" i="45"/>
  <c r="N65" i="45"/>
  <c r="M65" i="45"/>
  <c r="L65" i="45"/>
  <c r="K65" i="45"/>
  <c r="J65" i="45"/>
  <c r="I65" i="45"/>
  <c r="H65" i="45"/>
  <c r="G65" i="45"/>
  <c r="F65" i="45"/>
  <c r="E65" i="45"/>
  <c r="D65" i="45"/>
  <c r="B65" i="45"/>
  <c r="Q64" i="45"/>
  <c r="B64" i="45"/>
  <c r="O63" i="45"/>
  <c r="N63" i="45"/>
  <c r="M63" i="45"/>
  <c r="L63" i="45"/>
  <c r="K63" i="45"/>
  <c r="J63" i="45"/>
  <c r="I63" i="45"/>
  <c r="H63" i="45"/>
  <c r="G63" i="45"/>
  <c r="F63" i="45"/>
  <c r="E63" i="45"/>
  <c r="D63" i="45"/>
  <c r="B63" i="45"/>
  <c r="Q62" i="45"/>
  <c r="B62" i="45"/>
  <c r="O61" i="45"/>
  <c r="N61" i="45"/>
  <c r="M61" i="45"/>
  <c r="L61" i="45"/>
  <c r="K61" i="45"/>
  <c r="J61" i="45"/>
  <c r="I61" i="45"/>
  <c r="H61" i="45"/>
  <c r="G61" i="45"/>
  <c r="F61" i="45"/>
  <c r="E61" i="45"/>
  <c r="Q61" i="45" s="1"/>
  <c r="D61" i="45"/>
  <c r="B61" i="45"/>
  <c r="Q60" i="45"/>
  <c r="B60" i="45"/>
  <c r="O59" i="45"/>
  <c r="N59" i="45"/>
  <c r="M59" i="45"/>
  <c r="L59" i="45"/>
  <c r="K59" i="45"/>
  <c r="J59" i="45"/>
  <c r="I59" i="45"/>
  <c r="H59" i="45"/>
  <c r="G59" i="45"/>
  <c r="F59" i="45"/>
  <c r="E59" i="45"/>
  <c r="D59" i="45"/>
  <c r="B59" i="45"/>
  <c r="Q58" i="45"/>
  <c r="B58" i="45"/>
  <c r="O57" i="45"/>
  <c r="N57" i="45"/>
  <c r="M57" i="45"/>
  <c r="L57" i="45"/>
  <c r="K57" i="45"/>
  <c r="J57" i="45"/>
  <c r="I57" i="45"/>
  <c r="H57" i="45"/>
  <c r="G57" i="45"/>
  <c r="F57" i="45"/>
  <c r="E57" i="45"/>
  <c r="D57" i="45"/>
  <c r="B57" i="45"/>
  <c r="Q56" i="45"/>
  <c r="B56" i="45"/>
  <c r="O55" i="45"/>
  <c r="N55" i="45"/>
  <c r="M55" i="45"/>
  <c r="L55" i="45"/>
  <c r="K55" i="45"/>
  <c r="J55" i="45"/>
  <c r="I55" i="45"/>
  <c r="H55" i="45"/>
  <c r="G55" i="45"/>
  <c r="F55" i="45"/>
  <c r="E55" i="45"/>
  <c r="D55" i="45"/>
  <c r="B55" i="45"/>
  <c r="Q54" i="45"/>
  <c r="B54" i="45"/>
  <c r="O53" i="45"/>
  <c r="N53" i="45"/>
  <c r="M53" i="45"/>
  <c r="L53" i="45"/>
  <c r="K53" i="45"/>
  <c r="J53" i="45"/>
  <c r="I53" i="45"/>
  <c r="H53" i="45"/>
  <c r="G53" i="45"/>
  <c r="F53" i="45"/>
  <c r="E53" i="45"/>
  <c r="D53" i="45"/>
  <c r="B53" i="45"/>
  <c r="Q52" i="45"/>
  <c r="B52" i="45"/>
  <c r="O51" i="45"/>
  <c r="N51" i="45"/>
  <c r="M51" i="45"/>
  <c r="L51" i="45"/>
  <c r="K51" i="45"/>
  <c r="J51" i="45"/>
  <c r="I51" i="45"/>
  <c r="H51" i="45"/>
  <c r="G51" i="45"/>
  <c r="F51" i="45"/>
  <c r="E51" i="45"/>
  <c r="D51" i="45"/>
  <c r="Q51" i="45" s="1"/>
  <c r="B51" i="45"/>
  <c r="Q50" i="45"/>
  <c r="B50" i="45"/>
  <c r="O49" i="45"/>
  <c r="N49" i="45"/>
  <c r="M49" i="45"/>
  <c r="L49" i="45"/>
  <c r="K49" i="45"/>
  <c r="J49" i="45"/>
  <c r="I49" i="45"/>
  <c r="H49" i="45"/>
  <c r="G49" i="45"/>
  <c r="F49" i="45"/>
  <c r="E49" i="45"/>
  <c r="D49" i="45"/>
  <c r="B49" i="45"/>
  <c r="Q48" i="45"/>
  <c r="B48" i="45"/>
  <c r="Q47" i="45"/>
  <c r="B47" i="45"/>
  <c r="Q46" i="45"/>
  <c r="B46" i="45"/>
  <c r="Q45" i="45"/>
  <c r="B45" i="45"/>
  <c r="Q44" i="45"/>
  <c r="B44" i="45"/>
  <c r="Q43" i="45"/>
  <c r="B43" i="45"/>
  <c r="Q42" i="45"/>
  <c r="B42" i="45"/>
  <c r="Q41" i="45"/>
  <c r="B41" i="45"/>
  <c r="Q40" i="45"/>
  <c r="B40" i="45"/>
  <c r="Q39" i="45"/>
  <c r="B39" i="45"/>
  <c r="O38" i="45"/>
  <c r="N38" i="45"/>
  <c r="M38" i="45"/>
  <c r="L38" i="45"/>
  <c r="K38" i="45"/>
  <c r="J38" i="45"/>
  <c r="I38" i="45"/>
  <c r="H38" i="45"/>
  <c r="G38" i="45"/>
  <c r="F38" i="45"/>
  <c r="E38" i="45"/>
  <c r="D38" i="45"/>
  <c r="B38" i="45"/>
  <c r="Q37" i="45"/>
  <c r="B37" i="45"/>
  <c r="Q36" i="45"/>
  <c r="B36" i="45"/>
  <c r="Q35" i="45"/>
  <c r="B35" i="45"/>
  <c r="Q34" i="45"/>
  <c r="B34" i="45"/>
  <c r="Q33" i="45"/>
  <c r="B33" i="45"/>
  <c r="Q32" i="45"/>
  <c r="B32" i="45"/>
  <c r="Q31" i="45"/>
  <c r="B31" i="45"/>
  <c r="Q30" i="45"/>
  <c r="B30" i="45"/>
  <c r="Q29" i="45"/>
  <c r="B29" i="45"/>
  <c r="Q28" i="45"/>
  <c r="B28" i="45"/>
  <c r="O27" i="45"/>
  <c r="N27" i="45"/>
  <c r="M27" i="45"/>
  <c r="L27" i="45"/>
  <c r="K27" i="45"/>
  <c r="J27" i="45"/>
  <c r="I27" i="45"/>
  <c r="H27" i="45"/>
  <c r="G27" i="45"/>
  <c r="F27" i="45"/>
  <c r="E27" i="45"/>
  <c r="D27" i="45"/>
  <c r="B27" i="45"/>
  <c r="L26" i="45" a="1"/>
  <c r="L26" i="45" s="1"/>
  <c r="H26" i="45" a="1"/>
  <c r="H26" i="45" s="1"/>
  <c r="D26" i="45" a="1"/>
  <c r="D26" i="45" s="1"/>
  <c r="I24" i="45"/>
  <c r="O23" i="45"/>
  <c r="N23" i="45"/>
  <c r="N24" i="45" s="1"/>
  <c r="G23" i="45"/>
  <c r="D23" i="45"/>
  <c r="Q21" i="45"/>
  <c r="B21" i="45"/>
  <c r="Q20" i="45"/>
  <c r="B20" i="45"/>
  <c r="Q19" i="45"/>
  <c r="Q18" i="45" s="1"/>
  <c r="B19" i="45"/>
  <c r="O18" i="45"/>
  <c r="N18" i="45"/>
  <c r="M18" i="45"/>
  <c r="L18" i="45"/>
  <c r="K18" i="45"/>
  <c r="J18" i="45"/>
  <c r="I18" i="45"/>
  <c r="H18" i="45"/>
  <c r="G18" i="45"/>
  <c r="F18" i="45"/>
  <c r="E18" i="45"/>
  <c r="D18" i="45"/>
  <c r="M16" i="45"/>
  <c r="L16" i="45"/>
  <c r="K16" i="45"/>
  <c r="J16" i="45"/>
  <c r="I16" i="45"/>
  <c r="H16" i="45"/>
  <c r="G16" i="45"/>
  <c r="F16" i="45"/>
  <c r="Q16" i="45" s="1"/>
  <c r="E16" i="45"/>
  <c r="D16" i="45"/>
  <c r="B16" i="45"/>
  <c r="M15" i="45"/>
  <c r="L15" i="45"/>
  <c r="K15" i="45"/>
  <c r="J15" i="45"/>
  <c r="I15" i="45"/>
  <c r="H15" i="45"/>
  <c r="G15" i="45"/>
  <c r="F15" i="45"/>
  <c r="Q15" i="45" s="1"/>
  <c r="E15" i="45"/>
  <c r="D15" i="45"/>
  <c r="B15" i="45"/>
  <c r="M14" i="45"/>
  <c r="L14" i="45"/>
  <c r="K14" i="45"/>
  <c r="J14" i="45"/>
  <c r="I14" i="45"/>
  <c r="H14" i="45"/>
  <c r="G14" i="45"/>
  <c r="F14" i="45"/>
  <c r="Q14" i="45" s="1"/>
  <c r="E14" i="45"/>
  <c r="D14" i="45"/>
  <c r="B14" i="45"/>
  <c r="M13" i="45"/>
  <c r="L13" i="45"/>
  <c r="K13" i="45"/>
  <c r="J13" i="45"/>
  <c r="I13" i="45"/>
  <c r="H13" i="45"/>
  <c r="G13" i="45"/>
  <c r="F13" i="45"/>
  <c r="Q13" i="45" s="1"/>
  <c r="E13" i="45"/>
  <c r="D13" i="45"/>
  <c r="B13" i="45"/>
  <c r="M12" i="45"/>
  <c r="L12" i="45"/>
  <c r="K12" i="45"/>
  <c r="J12" i="45"/>
  <c r="I12" i="45"/>
  <c r="H12" i="45"/>
  <c r="G12" i="45"/>
  <c r="F12" i="45"/>
  <c r="Q12" i="45" s="1"/>
  <c r="E12" i="45"/>
  <c r="D12" i="45"/>
  <c r="B12" i="45"/>
  <c r="M11" i="45"/>
  <c r="M10" i="45" s="1"/>
  <c r="M23" i="45" s="1"/>
  <c r="M24" i="45" s="1"/>
  <c r="L11" i="45"/>
  <c r="K11" i="45"/>
  <c r="J11" i="45"/>
  <c r="I11" i="45"/>
  <c r="I10" i="45" s="1"/>
  <c r="I23" i="45" s="1"/>
  <c r="H11" i="45"/>
  <c r="G11" i="45"/>
  <c r="F11" i="45"/>
  <c r="Q11" i="45" s="1"/>
  <c r="E11" i="45"/>
  <c r="E10" i="45" s="1"/>
  <c r="E23" i="45" s="1"/>
  <c r="E24" i="45" s="1"/>
  <c r="D11" i="45"/>
  <c r="B11" i="45"/>
  <c r="O10" i="45"/>
  <c r="N10" i="45"/>
  <c r="L10" i="45"/>
  <c r="L23" i="45" s="1"/>
  <c r="K10" i="45"/>
  <c r="K23" i="45" s="1"/>
  <c r="H10" i="45"/>
  <c r="H23" i="45" s="1"/>
  <c r="G10" i="45"/>
  <c r="F10" i="45"/>
  <c r="F23" i="45" s="1"/>
  <c r="F24" i="45" s="1"/>
  <c r="D10" i="45"/>
  <c r="O8" i="45"/>
  <c r="N8" i="45"/>
  <c r="M8" i="45"/>
  <c r="L8" i="45"/>
  <c r="K8" i="45"/>
  <c r="J8" i="45"/>
  <c r="I8" i="45"/>
  <c r="H8" i="45"/>
  <c r="G8" i="45"/>
  <c r="F8" i="45"/>
  <c r="E8" i="45"/>
  <c r="D8" i="45"/>
  <c r="B39" i="44"/>
  <c r="B38" i="44"/>
  <c r="G34" i="44"/>
  <c r="E34" i="44"/>
  <c r="D34" i="44"/>
  <c r="G33" i="44"/>
  <c r="E33" i="44"/>
  <c r="D33" i="44"/>
  <c r="G28" i="44"/>
  <c r="E28" i="44"/>
  <c r="D28" i="44"/>
  <c r="G23" i="44"/>
  <c r="E23" i="44"/>
  <c r="D23" i="44"/>
  <c r="G21" i="44"/>
  <c r="E21" i="44"/>
  <c r="D21" i="44"/>
  <c r="B21" i="44"/>
  <c r="G20" i="44"/>
  <c r="E20" i="44"/>
  <c r="D20" i="44"/>
  <c r="B20" i="44"/>
  <c r="G19" i="44"/>
  <c r="E19" i="44"/>
  <c r="D19" i="44"/>
  <c r="G14" i="44"/>
  <c r="E14" i="44"/>
  <c r="D14" i="44"/>
  <c r="B14" i="44"/>
  <c r="G13" i="44"/>
  <c r="E13" i="44"/>
  <c r="D13" i="44"/>
  <c r="G11" i="44"/>
  <c r="E11" i="44"/>
  <c r="D11" i="44"/>
  <c r="B11" i="44"/>
  <c r="G10" i="44"/>
  <c r="E10" i="44"/>
  <c r="D10" i="44"/>
  <c r="E8" i="44"/>
  <c r="D8" i="44"/>
  <c r="B39" i="43"/>
  <c r="B38" i="43"/>
  <c r="G34" i="43"/>
  <c r="E34" i="43"/>
  <c r="D34" i="43"/>
  <c r="G33" i="43"/>
  <c r="E33" i="43"/>
  <c r="D33" i="43"/>
  <c r="G28" i="43"/>
  <c r="E28" i="43"/>
  <c r="D28" i="43"/>
  <c r="G23" i="43"/>
  <c r="E23" i="43"/>
  <c r="D23" i="43"/>
  <c r="G21" i="43"/>
  <c r="E21" i="43"/>
  <c r="D21" i="43"/>
  <c r="B21" i="43"/>
  <c r="G20" i="43"/>
  <c r="E20" i="43"/>
  <c r="D20" i="43"/>
  <c r="B20" i="43"/>
  <c r="G19" i="43"/>
  <c r="E19" i="43"/>
  <c r="D19" i="43"/>
  <c r="G14" i="43"/>
  <c r="E14" i="43"/>
  <c r="D14" i="43"/>
  <c r="B14" i="43"/>
  <c r="G13" i="43"/>
  <c r="E13" i="43"/>
  <c r="D13" i="43"/>
  <c r="G11" i="43"/>
  <c r="E11" i="43"/>
  <c r="D11" i="43"/>
  <c r="B11" i="43"/>
  <c r="G10" i="43"/>
  <c r="E10" i="43"/>
  <c r="D10" i="43"/>
  <c r="E8" i="43"/>
  <c r="D8" i="43"/>
  <c r="Q109" i="42"/>
  <c r="M104" i="42"/>
  <c r="L104" i="42"/>
  <c r="K104" i="42"/>
  <c r="J104" i="42"/>
  <c r="I104" i="42"/>
  <c r="H104" i="42"/>
  <c r="G104" i="42"/>
  <c r="F104" i="42"/>
  <c r="E104" i="42"/>
  <c r="D104" i="42"/>
  <c r="Q102" i="42"/>
  <c r="B102" i="42"/>
  <c r="O101" i="42"/>
  <c r="N101" i="42"/>
  <c r="M101" i="42"/>
  <c r="L101" i="42"/>
  <c r="K101" i="42"/>
  <c r="J101" i="42"/>
  <c r="I101" i="42"/>
  <c r="H101" i="42"/>
  <c r="G101" i="42"/>
  <c r="F101" i="42"/>
  <c r="E101" i="42"/>
  <c r="D101" i="42"/>
  <c r="B101" i="42"/>
  <c r="Q100" i="42"/>
  <c r="B100" i="42"/>
  <c r="Q99" i="42"/>
  <c r="B99" i="42"/>
  <c r="O98" i="42"/>
  <c r="N98" i="42"/>
  <c r="M98" i="42"/>
  <c r="L98" i="42"/>
  <c r="K98" i="42"/>
  <c r="J98" i="42"/>
  <c r="I98" i="42"/>
  <c r="H98" i="42"/>
  <c r="Q98" i="42" s="1"/>
  <c r="G98" i="42"/>
  <c r="F98" i="42"/>
  <c r="E98" i="42"/>
  <c r="D98" i="42"/>
  <c r="B98" i="42"/>
  <c r="Q97" i="42"/>
  <c r="B97" i="42"/>
  <c r="O96" i="42"/>
  <c r="N96" i="42"/>
  <c r="M96" i="42"/>
  <c r="L96" i="42"/>
  <c r="K96" i="42"/>
  <c r="J96" i="42"/>
  <c r="I96" i="42"/>
  <c r="H96" i="42"/>
  <c r="Q96" i="42" s="1"/>
  <c r="G96" i="42"/>
  <c r="F96" i="42"/>
  <c r="E96" i="42"/>
  <c r="D96" i="42"/>
  <c r="B96" i="42"/>
  <c r="Q95" i="42"/>
  <c r="B95" i="42"/>
  <c r="Q94" i="42"/>
  <c r="B94" i="42"/>
  <c r="O93" i="42"/>
  <c r="N93" i="42"/>
  <c r="M93" i="42"/>
  <c r="L93" i="42"/>
  <c r="K93" i="42"/>
  <c r="J93" i="42"/>
  <c r="I93" i="42"/>
  <c r="H93" i="42"/>
  <c r="G93" i="42"/>
  <c r="F93" i="42"/>
  <c r="E93" i="42"/>
  <c r="D93" i="42"/>
  <c r="B93" i="42"/>
  <c r="Q92" i="42"/>
  <c r="B92" i="42"/>
  <c r="Q91" i="42"/>
  <c r="B91" i="42"/>
  <c r="Q90" i="42"/>
  <c r="B90" i="42"/>
  <c r="Q89" i="42"/>
  <c r="B89" i="42"/>
  <c r="Q88" i="42"/>
  <c r="B88" i="42"/>
  <c r="Q87" i="42"/>
  <c r="B87" i="42"/>
  <c r="Q86" i="42"/>
  <c r="B86" i="42"/>
  <c r="Q85" i="42"/>
  <c r="B85" i="42"/>
  <c r="Q84" i="42"/>
  <c r="B84" i="42"/>
  <c r="O83" i="42"/>
  <c r="N83" i="42"/>
  <c r="M83" i="42"/>
  <c r="L83" i="42"/>
  <c r="K83" i="42"/>
  <c r="J83" i="42"/>
  <c r="I83" i="42"/>
  <c r="H83" i="42"/>
  <c r="G83" i="42"/>
  <c r="F83" i="42"/>
  <c r="E83" i="42"/>
  <c r="D83" i="42"/>
  <c r="B83" i="42"/>
  <c r="Q82" i="42"/>
  <c r="B82" i="42"/>
  <c r="O81" i="42"/>
  <c r="N81" i="42"/>
  <c r="M81" i="42"/>
  <c r="L81" i="42"/>
  <c r="K81" i="42"/>
  <c r="J81" i="42"/>
  <c r="I81" i="42"/>
  <c r="H81" i="42"/>
  <c r="G81" i="42"/>
  <c r="F81" i="42"/>
  <c r="E81" i="42"/>
  <c r="D81" i="42"/>
  <c r="B81" i="42"/>
  <c r="Q80" i="42"/>
  <c r="B80" i="42"/>
  <c r="Q79" i="42"/>
  <c r="B79" i="42"/>
  <c r="Q78" i="42"/>
  <c r="B78" i="42"/>
  <c r="Q77" i="42"/>
  <c r="B77" i="42"/>
  <c r="Q76" i="42"/>
  <c r="B76" i="42"/>
  <c r="O75" i="42"/>
  <c r="N75" i="42"/>
  <c r="M75" i="42"/>
  <c r="L75" i="42"/>
  <c r="K75" i="42"/>
  <c r="J75" i="42"/>
  <c r="I75" i="42"/>
  <c r="H75" i="42"/>
  <c r="G75" i="42"/>
  <c r="F75" i="42"/>
  <c r="E75" i="42"/>
  <c r="D75" i="42"/>
  <c r="B75" i="42"/>
  <c r="Q74" i="42"/>
  <c r="B74" i="42"/>
  <c r="O73" i="42"/>
  <c r="N73" i="42"/>
  <c r="M73" i="42"/>
  <c r="L73" i="42"/>
  <c r="K73" i="42"/>
  <c r="J73" i="42"/>
  <c r="I73" i="42"/>
  <c r="H73" i="42"/>
  <c r="G73" i="42"/>
  <c r="F73" i="42"/>
  <c r="E73" i="42"/>
  <c r="D73" i="42"/>
  <c r="B73" i="42"/>
  <c r="Q72" i="42"/>
  <c r="B72" i="42"/>
  <c r="Q71" i="42"/>
  <c r="B71" i="42"/>
  <c r="Q70" i="42"/>
  <c r="B70" i="42"/>
  <c r="O69" i="42"/>
  <c r="N69" i="42"/>
  <c r="M69" i="42"/>
  <c r="L69" i="42"/>
  <c r="K69" i="42"/>
  <c r="J69" i="42"/>
  <c r="I69" i="42"/>
  <c r="H69" i="42"/>
  <c r="G69" i="42"/>
  <c r="F69" i="42"/>
  <c r="E69" i="42"/>
  <c r="D69" i="42"/>
  <c r="Q69" i="42" s="1"/>
  <c r="B69" i="42"/>
  <c r="Q68" i="42"/>
  <c r="B68" i="42"/>
  <c r="O67" i="42"/>
  <c r="N67" i="42"/>
  <c r="M67" i="42"/>
  <c r="L67" i="42"/>
  <c r="K67" i="42"/>
  <c r="J67" i="42"/>
  <c r="I67" i="42"/>
  <c r="H67" i="42"/>
  <c r="G67" i="42"/>
  <c r="F67" i="42"/>
  <c r="E67" i="42"/>
  <c r="D67" i="42"/>
  <c r="B67" i="42"/>
  <c r="Q66" i="42"/>
  <c r="B66" i="42"/>
  <c r="O65" i="42"/>
  <c r="N65" i="42"/>
  <c r="M65" i="42"/>
  <c r="L65" i="42"/>
  <c r="K65" i="42"/>
  <c r="J65" i="42"/>
  <c r="I65" i="42"/>
  <c r="H65" i="42"/>
  <c r="G65" i="42"/>
  <c r="F65" i="42"/>
  <c r="E65" i="42"/>
  <c r="D65" i="42"/>
  <c r="B65" i="42"/>
  <c r="Q64" i="42"/>
  <c r="B64" i="42"/>
  <c r="O63" i="42"/>
  <c r="N63" i="42"/>
  <c r="M63" i="42"/>
  <c r="L63" i="42"/>
  <c r="K63" i="42"/>
  <c r="J63" i="42"/>
  <c r="I63" i="42"/>
  <c r="H63" i="42"/>
  <c r="G63" i="42"/>
  <c r="F63" i="42"/>
  <c r="E63" i="42"/>
  <c r="Q63" i="42" s="1"/>
  <c r="D63" i="42"/>
  <c r="B63" i="42"/>
  <c r="Q62" i="42"/>
  <c r="B62" i="42"/>
  <c r="O61" i="42"/>
  <c r="N61" i="42"/>
  <c r="M61" i="42"/>
  <c r="L61" i="42"/>
  <c r="K61" i="42"/>
  <c r="J61" i="42"/>
  <c r="I61" i="42"/>
  <c r="H61" i="42"/>
  <c r="G61" i="42"/>
  <c r="F61" i="42"/>
  <c r="E61" i="42"/>
  <c r="Q61" i="42" s="1"/>
  <c r="D61" i="42"/>
  <c r="B61" i="42"/>
  <c r="Q60" i="42"/>
  <c r="B60" i="42"/>
  <c r="O59" i="42"/>
  <c r="N59" i="42"/>
  <c r="M59" i="42"/>
  <c r="L59" i="42"/>
  <c r="K59" i="42"/>
  <c r="J59" i="42"/>
  <c r="I59" i="42"/>
  <c r="H59" i="42"/>
  <c r="G59" i="42"/>
  <c r="F59" i="42"/>
  <c r="E59" i="42"/>
  <c r="D59" i="42"/>
  <c r="B59" i="42"/>
  <c r="Q58" i="42"/>
  <c r="B58" i="42"/>
  <c r="O57" i="42"/>
  <c r="N57" i="42"/>
  <c r="M57" i="42"/>
  <c r="L57" i="42"/>
  <c r="K57" i="42"/>
  <c r="J57" i="42"/>
  <c r="I57" i="42"/>
  <c r="H57" i="42"/>
  <c r="G57" i="42"/>
  <c r="F57" i="42"/>
  <c r="E57" i="42"/>
  <c r="D57" i="42"/>
  <c r="B57" i="42"/>
  <c r="Q56" i="42"/>
  <c r="B56" i="42"/>
  <c r="Q55" i="42"/>
  <c r="B55" i="42"/>
  <c r="O54" i="42"/>
  <c r="N54" i="42"/>
  <c r="M54" i="42"/>
  <c r="L54" i="42"/>
  <c r="K54" i="42"/>
  <c r="J54" i="42"/>
  <c r="I54" i="42"/>
  <c r="H54" i="42"/>
  <c r="G54" i="42"/>
  <c r="F54" i="42"/>
  <c r="E54" i="42"/>
  <c r="Q54" i="42" s="1"/>
  <c r="D54" i="42"/>
  <c r="B54" i="42"/>
  <c r="Q53" i="42"/>
  <c r="B53" i="42"/>
  <c r="O52" i="42"/>
  <c r="N52" i="42"/>
  <c r="M52" i="42"/>
  <c r="L52" i="42"/>
  <c r="K52" i="42"/>
  <c r="J52" i="42"/>
  <c r="I52" i="42"/>
  <c r="H52" i="42"/>
  <c r="G52" i="42"/>
  <c r="F52" i="42"/>
  <c r="E52" i="42"/>
  <c r="Q52" i="42" s="1"/>
  <c r="D52" i="42"/>
  <c r="B52" i="42"/>
  <c r="Q51" i="42"/>
  <c r="B51" i="42"/>
  <c r="O50" i="42"/>
  <c r="N50" i="42"/>
  <c r="M50" i="42"/>
  <c r="L50" i="42"/>
  <c r="K50" i="42"/>
  <c r="J50" i="42"/>
  <c r="I50" i="42"/>
  <c r="H50" i="42"/>
  <c r="G50" i="42"/>
  <c r="F50" i="42"/>
  <c r="E50" i="42"/>
  <c r="Q50" i="42" s="1"/>
  <c r="D50" i="42"/>
  <c r="B50" i="42"/>
  <c r="Q49" i="42"/>
  <c r="B49" i="42"/>
  <c r="O48" i="42"/>
  <c r="N48" i="42"/>
  <c r="M48" i="42"/>
  <c r="L48" i="42"/>
  <c r="K48" i="42"/>
  <c r="J48" i="42"/>
  <c r="I48" i="42"/>
  <c r="H48" i="42"/>
  <c r="G48" i="42"/>
  <c r="F48" i="42"/>
  <c r="E48" i="42"/>
  <c r="D48" i="42"/>
  <c r="B48" i="42"/>
  <c r="Q47" i="42"/>
  <c r="B47" i="42"/>
  <c r="Q46" i="42"/>
  <c r="B46" i="42"/>
  <c r="Q45" i="42"/>
  <c r="B45" i="42"/>
  <c r="Q44" i="42"/>
  <c r="B44" i="42"/>
  <c r="Q43" i="42"/>
  <c r="B43" i="42"/>
  <c r="Q42" i="42"/>
  <c r="B42" i="42"/>
  <c r="Q41" i="42"/>
  <c r="B41" i="42"/>
  <c r="Q40" i="42"/>
  <c r="B40" i="42"/>
  <c r="Q39" i="42"/>
  <c r="B39" i="42"/>
  <c r="Q38" i="42"/>
  <c r="B38" i="42"/>
  <c r="O37" i="42"/>
  <c r="N37" i="42"/>
  <c r="M37" i="42"/>
  <c r="L37" i="42"/>
  <c r="K37" i="42"/>
  <c r="J37" i="42"/>
  <c r="I37" i="42"/>
  <c r="H37" i="42"/>
  <c r="G37" i="42"/>
  <c r="F37" i="42"/>
  <c r="E37" i="42"/>
  <c r="D37" i="42"/>
  <c r="B37" i="42"/>
  <c r="Q36" i="42"/>
  <c r="B36" i="42"/>
  <c r="Q35" i="42"/>
  <c r="B35" i="42"/>
  <c r="Q34" i="42"/>
  <c r="B34" i="42"/>
  <c r="Q33" i="42"/>
  <c r="B33" i="42"/>
  <c r="Q32" i="42"/>
  <c r="B32" i="42"/>
  <c r="Q31" i="42"/>
  <c r="B31" i="42"/>
  <c r="Q30" i="42"/>
  <c r="B30" i="42"/>
  <c r="Q29" i="42"/>
  <c r="B29" i="42"/>
  <c r="Q28" i="42"/>
  <c r="B28" i="42"/>
  <c r="Q27" i="42"/>
  <c r="B27" i="42"/>
  <c r="O26" i="42"/>
  <c r="N26" i="42"/>
  <c r="M26" i="42"/>
  <c r="L26" i="42"/>
  <c r="L25" i="42" s="1" a="1"/>
  <c r="K26" i="42"/>
  <c r="J26" i="42"/>
  <c r="I26" i="42"/>
  <c r="H26" i="42"/>
  <c r="G26" i="42"/>
  <c r="F26" i="42"/>
  <c r="E26" i="42"/>
  <c r="D26" i="42"/>
  <c r="B26" i="42"/>
  <c r="L25" i="42"/>
  <c r="N22" i="42"/>
  <c r="Q20" i="42"/>
  <c r="B20" i="42"/>
  <c r="Q19" i="42"/>
  <c r="B19" i="42"/>
  <c r="Q18" i="42"/>
  <c r="B18" i="42"/>
  <c r="Q17" i="42"/>
  <c r="O17" i="42"/>
  <c r="N17" i="42"/>
  <c r="M17" i="42"/>
  <c r="M22" i="42" s="1"/>
  <c r="M23" i="42" s="1"/>
  <c r="L17" i="42"/>
  <c r="K17" i="42"/>
  <c r="J17" i="42"/>
  <c r="I17" i="42"/>
  <c r="I22" i="42" s="1"/>
  <c r="H17" i="42"/>
  <c r="G17" i="42"/>
  <c r="F17" i="42"/>
  <c r="E17" i="42"/>
  <c r="D17" i="42"/>
  <c r="M15" i="42"/>
  <c r="L15" i="42"/>
  <c r="K15" i="42"/>
  <c r="J15" i="42"/>
  <c r="I15" i="42"/>
  <c r="H15" i="42"/>
  <c r="G15" i="42"/>
  <c r="F15" i="42"/>
  <c r="E15" i="42"/>
  <c r="D15" i="42"/>
  <c r="B15" i="42"/>
  <c r="M14" i="42"/>
  <c r="L14" i="42"/>
  <c r="K14" i="42"/>
  <c r="J14" i="42"/>
  <c r="I14" i="42"/>
  <c r="H14" i="42"/>
  <c r="G14" i="42"/>
  <c r="F14" i="42"/>
  <c r="E14" i="42"/>
  <c r="D14" i="42"/>
  <c r="B14" i="42"/>
  <c r="M13" i="42"/>
  <c r="L13" i="42"/>
  <c r="K13" i="42"/>
  <c r="J13" i="42"/>
  <c r="I13" i="42"/>
  <c r="H13" i="42"/>
  <c r="G13" i="42"/>
  <c r="F13" i="42"/>
  <c r="E13" i="42"/>
  <c r="D13" i="42"/>
  <c r="B13" i="42"/>
  <c r="M12" i="42"/>
  <c r="L12" i="42"/>
  <c r="K12" i="42"/>
  <c r="J12" i="42"/>
  <c r="J10" i="42" s="1"/>
  <c r="J22" i="42" s="1"/>
  <c r="I12" i="42"/>
  <c r="H12" i="42"/>
  <c r="G12" i="42"/>
  <c r="F12" i="42"/>
  <c r="E12" i="42"/>
  <c r="D12" i="42"/>
  <c r="B12" i="42"/>
  <c r="Q11" i="42"/>
  <c r="M11" i="42"/>
  <c r="L11" i="42"/>
  <c r="L10" i="42" s="1"/>
  <c r="L22" i="42" s="1"/>
  <c r="K11" i="42"/>
  <c r="J11" i="42"/>
  <c r="I11" i="42"/>
  <c r="H11" i="42"/>
  <c r="G11" i="42"/>
  <c r="F11" i="42"/>
  <c r="F10" i="42" s="1"/>
  <c r="F22" i="42" s="1"/>
  <c r="E11" i="42"/>
  <c r="D11" i="42"/>
  <c r="B11" i="42"/>
  <c r="O10" i="42"/>
  <c r="O22" i="42" s="1"/>
  <c r="N10" i="42"/>
  <c r="M10" i="42"/>
  <c r="I10" i="42"/>
  <c r="E10" i="42"/>
  <c r="E22" i="42" s="1"/>
  <c r="D10" i="42"/>
  <c r="D22" i="42" s="1"/>
  <c r="O8" i="42"/>
  <c r="N8" i="42"/>
  <c r="M8" i="42"/>
  <c r="L8" i="42"/>
  <c r="K8" i="42"/>
  <c r="J8" i="42"/>
  <c r="I8" i="42"/>
  <c r="H8" i="42"/>
  <c r="G8" i="42"/>
  <c r="F8" i="42"/>
  <c r="E8" i="42"/>
  <c r="D8" i="42"/>
  <c r="B39" i="41"/>
  <c r="B38" i="41"/>
  <c r="G34" i="41"/>
  <c r="E34" i="41"/>
  <c r="D34" i="41"/>
  <c r="G33" i="41"/>
  <c r="E33" i="41"/>
  <c r="D33" i="41"/>
  <c r="G28" i="41"/>
  <c r="E28" i="41"/>
  <c r="D28" i="41"/>
  <c r="G23" i="41"/>
  <c r="E23" i="41"/>
  <c r="D23" i="41"/>
  <c r="G21" i="41"/>
  <c r="E21" i="41"/>
  <c r="D21" i="41"/>
  <c r="B21" i="41"/>
  <c r="G20" i="41"/>
  <c r="E20" i="41"/>
  <c r="D20" i="41"/>
  <c r="B20" i="41"/>
  <c r="G19" i="41"/>
  <c r="E19" i="41"/>
  <c r="D19" i="41"/>
  <c r="G14" i="41"/>
  <c r="E14" i="41"/>
  <c r="D14" i="41"/>
  <c r="B14" i="41"/>
  <c r="G13" i="41"/>
  <c r="E13" i="41"/>
  <c r="D13" i="41"/>
  <c r="G11" i="41"/>
  <c r="E11" i="41"/>
  <c r="D11" i="41"/>
  <c r="B11" i="41"/>
  <c r="G10" i="41"/>
  <c r="E10" i="41"/>
  <c r="D10" i="41"/>
  <c r="E8" i="41"/>
  <c r="D8" i="41"/>
  <c r="B39" i="40"/>
  <c r="B38" i="40"/>
  <c r="G34" i="40"/>
  <c r="E34" i="40"/>
  <c r="D34" i="40"/>
  <c r="G33" i="40"/>
  <c r="E33" i="40"/>
  <c r="D33" i="40"/>
  <c r="G28" i="40"/>
  <c r="E28" i="40"/>
  <c r="D28" i="40"/>
  <c r="G23" i="40"/>
  <c r="E23" i="40"/>
  <c r="D23" i="40"/>
  <c r="G21" i="40"/>
  <c r="E21" i="40"/>
  <c r="D21" i="40"/>
  <c r="B21" i="40"/>
  <c r="G20" i="40"/>
  <c r="E20" i="40"/>
  <c r="D20" i="40"/>
  <c r="B20" i="40"/>
  <c r="G19" i="40"/>
  <c r="E19" i="40"/>
  <c r="D19" i="40"/>
  <c r="G14" i="40"/>
  <c r="E14" i="40"/>
  <c r="D14" i="40"/>
  <c r="B14" i="40"/>
  <c r="G13" i="40"/>
  <c r="E13" i="40"/>
  <c r="D13" i="40"/>
  <c r="G11" i="40"/>
  <c r="E11" i="40"/>
  <c r="D11" i="40"/>
  <c r="B11" i="40"/>
  <c r="G10" i="40"/>
  <c r="E10" i="40"/>
  <c r="D10" i="40"/>
  <c r="E8" i="40"/>
  <c r="D8" i="40"/>
  <c r="Q111" i="39"/>
  <c r="M106" i="39"/>
  <c r="L106" i="39"/>
  <c r="K106" i="39"/>
  <c r="J106" i="39"/>
  <c r="I106" i="39"/>
  <c r="H106" i="39"/>
  <c r="G106" i="39"/>
  <c r="F106" i="39"/>
  <c r="E106" i="39"/>
  <c r="D106" i="39"/>
  <c r="Q104" i="39"/>
  <c r="B104" i="39"/>
  <c r="O103" i="39"/>
  <c r="N103" i="39"/>
  <c r="M103" i="39"/>
  <c r="L103" i="39"/>
  <c r="K103" i="39"/>
  <c r="J103" i="39"/>
  <c r="I103" i="39"/>
  <c r="H103" i="39"/>
  <c r="G103" i="39"/>
  <c r="F103" i="39"/>
  <c r="E103" i="39"/>
  <c r="D103" i="39"/>
  <c r="Q103" i="39" s="1"/>
  <c r="B103" i="39"/>
  <c r="Q102" i="39"/>
  <c r="B102" i="39"/>
  <c r="Q101" i="39"/>
  <c r="B101" i="39"/>
  <c r="O100" i="39"/>
  <c r="N100" i="39"/>
  <c r="M100" i="39"/>
  <c r="L100" i="39"/>
  <c r="K100" i="39"/>
  <c r="J100" i="39"/>
  <c r="I100" i="39"/>
  <c r="H100" i="39"/>
  <c r="G100" i="39"/>
  <c r="F100" i="39"/>
  <c r="E100" i="39"/>
  <c r="D100" i="39"/>
  <c r="B100" i="39"/>
  <c r="Q99" i="39"/>
  <c r="B99" i="39"/>
  <c r="O98" i="39"/>
  <c r="N98" i="39"/>
  <c r="M98" i="39"/>
  <c r="L98" i="39"/>
  <c r="K98" i="39"/>
  <c r="J98" i="39"/>
  <c r="I98" i="39"/>
  <c r="H98" i="39"/>
  <c r="G98" i="39"/>
  <c r="F98" i="39"/>
  <c r="E98" i="39"/>
  <c r="D98" i="39"/>
  <c r="Q98" i="39" s="1"/>
  <c r="B98" i="39"/>
  <c r="Q97" i="39"/>
  <c r="B97" i="39"/>
  <c r="Q96" i="39"/>
  <c r="B96" i="39"/>
  <c r="O95" i="39"/>
  <c r="N95" i="39"/>
  <c r="M95" i="39"/>
  <c r="L95" i="39"/>
  <c r="K95" i="39"/>
  <c r="J95" i="39"/>
  <c r="I95" i="39"/>
  <c r="H95" i="39"/>
  <c r="G95" i="39"/>
  <c r="F95" i="39"/>
  <c r="E95" i="39"/>
  <c r="D95" i="39"/>
  <c r="Q95" i="39" s="1"/>
  <c r="B95" i="39"/>
  <c r="Q94" i="39"/>
  <c r="B94" i="39"/>
  <c r="Q93" i="39"/>
  <c r="B93" i="39"/>
  <c r="Q92" i="39"/>
  <c r="B92" i="39"/>
  <c r="Q91" i="39"/>
  <c r="B91" i="39"/>
  <c r="Q90" i="39"/>
  <c r="B90" i="39"/>
  <c r="Q89" i="39"/>
  <c r="B89" i="39"/>
  <c r="Q88" i="39"/>
  <c r="B88" i="39"/>
  <c r="Q87" i="39"/>
  <c r="B87" i="39"/>
  <c r="Q86" i="39"/>
  <c r="B86" i="39"/>
  <c r="O85" i="39"/>
  <c r="N85" i="39"/>
  <c r="M85" i="39"/>
  <c r="L85" i="39"/>
  <c r="K85" i="39"/>
  <c r="J85" i="39"/>
  <c r="I85" i="39"/>
  <c r="H85" i="39"/>
  <c r="G85" i="39"/>
  <c r="F85" i="39"/>
  <c r="E85" i="39"/>
  <c r="D85" i="39"/>
  <c r="Q85" i="39" s="1"/>
  <c r="B85" i="39"/>
  <c r="Q84" i="39"/>
  <c r="B84" i="39"/>
  <c r="O83" i="39"/>
  <c r="N83" i="39"/>
  <c r="M83" i="39"/>
  <c r="L83" i="39"/>
  <c r="K83" i="39"/>
  <c r="J83" i="39"/>
  <c r="I83" i="39"/>
  <c r="H83" i="39"/>
  <c r="G83" i="39"/>
  <c r="F83" i="39"/>
  <c r="E83" i="39"/>
  <c r="D83" i="39"/>
  <c r="Q83" i="39" s="1"/>
  <c r="B83" i="39"/>
  <c r="Q82" i="39"/>
  <c r="B82" i="39"/>
  <c r="Q81" i="39"/>
  <c r="B81" i="39"/>
  <c r="Q80" i="39"/>
  <c r="B80" i="39"/>
  <c r="Q79" i="39"/>
  <c r="B79" i="39"/>
  <c r="Q78" i="39"/>
  <c r="B78" i="39"/>
  <c r="O77" i="39"/>
  <c r="N77" i="39"/>
  <c r="M77" i="39"/>
  <c r="L77" i="39"/>
  <c r="K77" i="39"/>
  <c r="J77" i="39"/>
  <c r="I77" i="39"/>
  <c r="H77" i="39"/>
  <c r="G77" i="39"/>
  <c r="F77" i="39"/>
  <c r="E77" i="39"/>
  <c r="D77" i="39"/>
  <c r="Q77" i="39" s="1"/>
  <c r="B77" i="39"/>
  <c r="Q76" i="39"/>
  <c r="B76" i="39"/>
  <c r="Q75" i="39"/>
  <c r="B75" i="39"/>
  <c r="O74" i="39"/>
  <c r="N74" i="39"/>
  <c r="M74" i="39"/>
  <c r="L74" i="39"/>
  <c r="K74" i="39"/>
  <c r="J74" i="39"/>
  <c r="I74" i="39"/>
  <c r="H74" i="39"/>
  <c r="G74" i="39"/>
  <c r="F74" i="39"/>
  <c r="E74" i="39"/>
  <c r="D74" i="39"/>
  <c r="B74" i="39"/>
  <c r="Q73" i="39"/>
  <c r="B73" i="39"/>
  <c r="Q72" i="39"/>
  <c r="B72" i="39"/>
  <c r="Q71" i="39"/>
  <c r="B71" i="39"/>
  <c r="O70" i="39"/>
  <c r="N70" i="39"/>
  <c r="M70" i="39"/>
  <c r="L70" i="39"/>
  <c r="K70" i="39"/>
  <c r="J70" i="39"/>
  <c r="I70" i="39"/>
  <c r="H70" i="39"/>
  <c r="G70" i="39"/>
  <c r="F70" i="39"/>
  <c r="E70" i="39"/>
  <c r="D70" i="39"/>
  <c r="B70" i="39"/>
  <c r="Q69" i="39"/>
  <c r="B69" i="39"/>
  <c r="O68" i="39"/>
  <c r="N68" i="39"/>
  <c r="M68" i="39"/>
  <c r="L68" i="39"/>
  <c r="K68" i="39"/>
  <c r="J68" i="39"/>
  <c r="I68" i="39"/>
  <c r="H68" i="39"/>
  <c r="G68" i="39"/>
  <c r="F68" i="39"/>
  <c r="E68" i="39"/>
  <c r="Q68" i="39" s="1"/>
  <c r="D68" i="39"/>
  <c r="B68" i="39"/>
  <c r="Q67" i="39"/>
  <c r="B67" i="39"/>
  <c r="O66" i="39"/>
  <c r="N66" i="39"/>
  <c r="M66" i="39"/>
  <c r="L66" i="39"/>
  <c r="K66" i="39"/>
  <c r="J66" i="39"/>
  <c r="I66" i="39"/>
  <c r="H66" i="39"/>
  <c r="G66" i="39"/>
  <c r="F66" i="39"/>
  <c r="E66" i="39"/>
  <c r="Q66" i="39" s="1"/>
  <c r="D66" i="39"/>
  <c r="B66" i="39"/>
  <c r="Q65" i="39"/>
  <c r="B65" i="39"/>
  <c r="O64" i="39"/>
  <c r="N64" i="39"/>
  <c r="M64" i="39"/>
  <c r="L64" i="39"/>
  <c r="K64" i="39"/>
  <c r="J64" i="39"/>
  <c r="I64" i="39"/>
  <c r="H64" i="39"/>
  <c r="G64" i="39"/>
  <c r="F64" i="39"/>
  <c r="E64" i="39"/>
  <c r="D64" i="39"/>
  <c r="B64" i="39"/>
  <c r="Q63" i="39"/>
  <c r="B63" i="39"/>
  <c r="O62" i="39"/>
  <c r="N62" i="39"/>
  <c r="M62" i="39"/>
  <c r="L62" i="39"/>
  <c r="K62" i="39"/>
  <c r="J62" i="39"/>
  <c r="I62" i="39"/>
  <c r="H62" i="39"/>
  <c r="G62" i="39"/>
  <c r="F62" i="39"/>
  <c r="E62" i="39"/>
  <c r="D62" i="39"/>
  <c r="B62" i="39"/>
  <c r="Q61" i="39"/>
  <c r="B61" i="39"/>
  <c r="O60" i="39"/>
  <c r="N60" i="39"/>
  <c r="M60" i="39"/>
  <c r="L60" i="39"/>
  <c r="K60" i="39"/>
  <c r="J60" i="39"/>
  <c r="I60" i="39"/>
  <c r="H60" i="39"/>
  <c r="G60" i="39"/>
  <c r="F60" i="39"/>
  <c r="E60" i="39"/>
  <c r="D60" i="39"/>
  <c r="B60" i="39"/>
  <c r="Q59" i="39"/>
  <c r="B59" i="39"/>
  <c r="O58" i="39"/>
  <c r="N58" i="39"/>
  <c r="M58" i="39"/>
  <c r="L58" i="39"/>
  <c r="K58" i="39"/>
  <c r="J58" i="39"/>
  <c r="I58" i="39"/>
  <c r="H58" i="39"/>
  <c r="G58" i="39"/>
  <c r="F58" i="39"/>
  <c r="E58" i="39"/>
  <c r="D58" i="39"/>
  <c r="B58" i="39"/>
  <c r="Q57" i="39"/>
  <c r="B57" i="39"/>
  <c r="Q56" i="39"/>
  <c r="B56" i="39"/>
  <c r="O55" i="39"/>
  <c r="N55" i="39"/>
  <c r="M55" i="39"/>
  <c r="L55" i="39"/>
  <c r="K55" i="39"/>
  <c r="J55" i="39"/>
  <c r="I55" i="39"/>
  <c r="H55" i="39"/>
  <c r="G55" i="39"/>
  <c r="F55" i="39"/>
  <c r="E55" i="39"/>
  <c r="D55" i="39"/>
  <c r="Q55" i="39" s="1"/>
  <c r="B55" i="39"/>
  <c r="Q54" i="39"/>
  <c r="B54" i="39"/>
  <c r="O53" i="39"/>
  <c r="N53" i="39"/>
  <c r="M53" i="39"/>
  <c r="L53" i="39"/>
  <c r="K53" i="39"/>
  <c r="J53" i="39"/>
  <c r="I53" i="39"/>
  <c r="H53" i="39"/>
  <c r="G53" i="39"/>
  <c r="F53" i="39"/>
  <c r="E53" i="39"/>
  <c r="D53" i="39"/>
  <c r="Q53" i="39" s="1"/>
  <c r="B53" i="39"/>
  <c r="Q52" i="39"/>
  <c r="B52" i="39"/>
  <c r="O51" i="39"/>
  <c r="N51" i="39"/>
  <c r="M51" i="39"/>
  <c r="L51" i="39"/>
  <c r="K51" i="39"/>
  <c r="J51" i="39"/>
  <c r="I51" i="39"/>
  <c r="H51" i="39"/>
  <c r="G51" i="39"/>
  <c r="F51" i="39"/>
  <c r="E51" i="39"/>
  <c r="D51" i="39"/>
  <c r="Q51" i="39" s="1"/>
  <c r="B51" i="39"/>
  <c r="Q50" i="39"/>
  <c r="B50" i="39"/>
  <c r="O49" i="39"/>
  <c r="N49" i="39"/>
  <c r="M49" i="39"/>
  <c r="L49" i="39"/>
  <c r="K49" i="39"/>
  <c r="J49" i="39"/>
  <c r="I49" i="39"/>
  <c r="H49" i="39"/>
  <c r="G49" i="39"/>
  <c r="F49" i="39"/>
  <c r="E49" i="39"/>
  <c r="D49" i="39"/>
  <c r="Q49" i="39" s="1"/>
  <c r="B49" i="39"/>
  <c r="Q48" i="39"/>
  <c r="B48" i="39"/>
  <c r="Q47" i="39"/>
  <c r="B47" i="39"/>
  <c r="Q46" i="39"/>
  <c r="B46" i="39"/>
  <c r="Q45" i="39"/>
  <c r="B45" i="39"/>
  <c r="Q44" i="39"/>
  <c r="B44" i="39"/>
  <c r="Q43" i="39"/>
  <c r="B43" i="39"/>
  <c r="Q42" i="39"/>
  <c r="B42" i="39"/>
  <c r="Q41" i="39"/>
  <c r="B41" i="39"/>
  <c r="Q40" i="39"/>
  <c r="B40" i="39"/>
  <c r="Q39" i="39"/>
  <c r="B39" i="39"/>
  <c r="O38" i="39"/>
  <c r="O26" i="39" s="1" a="1"/>
  <c r="O26" i="39" s="1"/>
  <c r="N38" i="39"/>
  <c r="M38" i="39"/>
  <c r="L38" i="39"/>
  <c r="K38" i="39"/>
  <c r="J38" i="39"/>
  <c r="I38" i="39"/>
  <c r="H38" i="39"/>
  <c r="G38" i="39"/>
  <c r="G26" i="39" s="1" a="1"/>
  <c r="G26" i="39" s="1"/>
  <c r="F38" i="39"/>
  <c r="E38" i="39"/>
  <c r="D38" i="39"/>
  <c r="B38" i="39"/>
  <c r="Q37" i="39"/>
  <c r="B37" i="39"/>
  <c r="Q36" i="39"/>
  <c r="B36" i="39"/>
  <c r="Q35" i="39"/>
  <c r="B35" i="39"/>
  <c r="Q34" i="39"/>
  <c r="B34" i="39"/>
  <c r="Q33" i="39"/>
  <c r="B33" i="39"/>
  <c r="Q32" i="39"/>
  <c r="B32" i="39"/>
  <c r="Q31" i="39"/>
  <c r="B31" i="39"/>
  <c r="Q30" i="39"/>
  <c r="B30" i="39"/>
  <c r="Q29" i="39"/>
  <c r="B29" i="39"/>
  <c r="Q28" i="39"/>
  <c r="B28" i="39"/>
  <c r="O27" i="39"/>
  <c r="N27" i="39"/>
  <c r="M27" i="39"/>
  <c r="L27" i="39"/>
  <c r="K27" i="39"/>
  <c r="J27" i="39"/>
  <c r="I27" i="39"/>
  <c r="I26" i="39" s="1" a="1"/>
  <c r="I26" i="39" s="1"/>
  <c r="H27" i="39"/>
  <c r="G27" i="39"/>
  <c r="F27" i="39"/>
  <c r="E27" i="39"/>
  <c r="D27" i="39"/>
  <c r="B27" i="39"/>
  <c r="M24" i="39"/>
  <c r="N23" i="39"/>
  <c r="H23" i="39"/>
  <c r="Q21" i="39"/>
  <c r="B21" i="39"/>
  <c r="Q20" i="39"/>
  <c r="B20" i="39"/>
  <c r="Q19" i="39"/>
  <c r="B19" i="39"/>
  <c r="Q18" i="39"/>
  <c r="O18" i="39"/>
  <c r="N18" i="39"/>
  <c r="M18" i="39"/>
  <c r="L18" i="39"/>
  <c r="K18" i="39"/>
  <c r="J18" i="39"/>
  <c r="I18" i="39"/>
  <c r="I23" i="39" s="1"/>
  <c r="H18" i="39"/>
  <c r="G18" i="39"/>
  <c r="F18" i="39"/>
  <c r="E18" i="39"/>
  <c r="D18" i="39"/>
  <c r="M16" i="39"/>
  <c r="L16" i="39"/>
  <c r="K16" i="39"/>
  <c r="J16" i="39"/>
  <c r="I16" i="39"/>
  <c r="H16" i="39"/>
  <c r="G16" i="39"/>
  <c r="F16" i="39"/>
  <c r="E16" i="39"/>
  <c r="D16" i="39"/>
  <c r="B16" i="39"/>
  <c r="M15" i="39"/>
  <c r="L15" i="39"/>
  <c r="K15" i="39"/>
  <c r="J15" i="39"/>
  <c r="I15" i="39"/>
  <c r="H15" i="39"/>
  <c r="H10" i="39" s="1"/>
  <c r="G15" i="39"/>
  <c r="F15" i="39"/>
  <c r="E15" i="39"/>
  <c r="D15" i="39"/>
  <c r="B15" i="39"/>
  <c r="M14" i="39"/>
  <c r="L14" i="39"/>
  <c r="K14" i="39"/>
  <c r="J14" i="39"/>
  <c r="I14" i="39"/>
  <c r="H14" i="39"/>
  <c r="G14" i="39"/>
  <c r="F14" i="39"/>
  <c r="E14" i="39"/>
  <c r="D14" i="39"/>
  <c r="B14" i="39"/>
  <c r="M13" i="39"/>
  <c r="L13" i="39"/>
  <c r="K13" i="39"/>
  <c r="J13" i="39"/>
  <c r="J10" i="39" s="1"/>
  <c r="J23" i="39" s="1"/>
  <c r="I13" i="39"/>
  <c r="H13" i="39"/>
  <c r="G13" i="39"/>
  <c r="F13" i="39"/>
  <c r="E13" i="39"/>
  <c r="D13" i="39"/>
  <c r="B13" i="39"/>
  <c r="M12" i="39"/>
  <c r="L12" i="39"/>
  <c r="K12" i="39"/>
  <c r="J12" i="39"/>
  <c r="I12" i="39"/>
  <c r="H12" i="39"/>
  <c r="G12" i="39"/>
  <c r="F12" i="39"/>
  <c r="F10" i="39" s="1"/>
  <c r="F23" i="39" s="1"/>
  <c r="E12" i="39"/>
  <c r="D12" i="39"/>
  <c r="B12" i="39"/>
  <c r="M11" i="39"/>
  <c r="L11" i="39"/>
  <c r="K11" i="39"/>
  <c r="J11" i="39"/>
  <c r="I11" i="39"/>
  <c r="H11" i="39"/>
  <c r="G11" i="39"/>
  <c r="F11" i="39"/>
  <c r="E11" i="39"/>
  <c r="D11" i="39"/>
  <c r="B11" i="39"/>
  <c r="O10" i="39"/>
  <c r="O23" i="39" s="1"/>
  <c r="N10" i="39"/>
  <c r="M10" i="39"/>
  <c r="M23" i="39" s="1"/>
  <c r="I10" i="39"/>
  <c r="E10" i="39"/>
  <c r="E23" i="39" s="1"/>
  <c r="O8" i="39"/>
  <c r="N8" i="39"/>
  <c r="M8" i="39"/>
  <c r="L8" i="39"/>
  <c r="K8" i="39"/>
  <c r="J8" i="39"/>
  <c r="I8" i="39"/>
  <c r="H8" i="39"/>
  <c r="G8" i="39"/>
  <c r="F8" i="39"/>
  <c r="E8" i="39"/>
  <c r="D8" i="39"/>
  <c r="B39" i="38"/>
  <c r="B38" i="38"/>
  <c r="G34" i="38"/>
  <c r="E34" i="38"/>
  <c r="D34" i="38"/>
  <c r="G33" i="38"/>
  <c r="E33" i="38"/>
  <c r="D33" i="38"/>
  <c r="G28" i="38"/>
  <c r="E28" i="38"/>
  <c r="D28" i="38"/>
  <c r="G23" i="38"/>
  <c r="E23" i="38"/>
  <c r="D23" i="38"/>
  <c r="G21" i="38"/>
  <c r="E21" i="38"/>
  <c r="D21" i="38"/>
  <c r="B21" i="38"/>
  <c r="G20" i="38"/>
  <c r="E20" i="38"/>
  <c r="D20" i="38"/>
  <c r="B20" i="38"/>
  <c r="G19" i="38"/>
  <c r="E19" i="38"/>
  <c r="D19" i="38"/>
  <c r="G14" i="38"/>
  <c r="E14" i="38"/>
  <c r="D14" i="38"/>
  <c r="B14" i="38"/>
  <c r="G13" i="38"/>
  <c r="E13" i="38"/>
  <c r="D13" i="38"/>
  <c r="G11" i="38"/>
  <c r="E11" i="38"/>
  <c r="D11" i="38"/>
  <c r="B11" i="38"/>
  <c r="G10" i="38"/>
  <c r="E10" i="38"/>
  <c r="D10" i="38"/>
  <c r="E8" i="38"/>
  <c r="D8" i="38"/>
  <c r="B39" i="37"/>
  <c r="B38" i="37"/>
  <c r="G34" i="37"/>
  <c r="E34" i="37"/>
  <c r="D34" i="37"/>
  <c r="G33" i="37"/>
  <c r="E33" i="37"/>
  <c r="D33" i="37"/>
  <c r="G28" i="37"/>
  <c r="E28" i="37"/>
  <c r="D28" i="37"/>
  <c r="G23" i="37"/>
  <c r="E23" i="37"/>
  <c r="D23" i="37"/>
  <c r="G21" i="37"/>
  <c r="E21" i="37"/>
  <c r="D21" i="37"/>
  <c r="B21" i="37"/>
  <c r="G20" i="37"/>
  <c r="E20" i="37"/>
  <c r="D20" i="37"/>
  <c r="B20" i="37"/>
  <c r="G19" i="37"/>
  <c r="E19" i="37"/>
  <c r="D19" i="37"/>
  <c r="G14" i="37"/>
  <c r="E14" i="37"/>
  <c r="D14" i="37"/>
  <c r="B14" i="37"/>
  <c r="G13" i="37"/>
  <c r="E13" i="37"/>
  <c r="D13" i="37"/>
  <c r="G11" i="37"/>
  <c r="E11" i="37"/>
  <c r="D11" i="37"/>
  <c r="B11" i="37"/>
  <c r="G10" i="37"/>
  <c r="E10" i="37"/>
  <c r="D10" i="37"/>
  <c r="E8" i="37"/>
  <c r="D8" i="37"/>
  <c r="Q117" i="36"/>
  <c r="M112" i="36"/>
  <c r="L112" i="36"/>
  <c r="K112" i="36"/>
  <c r="J112" i="36"/>
  <c r="I112" i="36"/>
  <c r="H112" i="36"/>
  <c r="G112" i="36"/>
  <c r="F112" i="36"/>
  <c r="E112" i="36"/>
  <c r="Q112" i="36" s="1"/>
  <c r="D112" i="36"/>
  <c r="Q110" i="36"/>
  <c r="B110" i="36"/>
  <c r="O109" i="36"/>
  <c r="N109" i="36"/>
  <c r="M109" i="36"/>
  <c r="L109" i="36"/>
  <c r="K109" i="36"/>
  <c r="J109" i="36"/>
  <c r="I109" i="36"/>
  <c r="H109" i="36"/>
  <c r="G109" i="36"/>
  <c r="F109" i="36"/>
  <c r="E109" i="36"/>
  <c r="D109" i="36"/>
  <c r="Q109" i="36" s="1"/>
  <c r="B109" i="36"/>
  <c r="Q108" i="36"/>
  <c r="B108" i="36"/>
  <c r="Q107" i="36"/>
  <c r="B107" i="36"/>
  <c r="O106" i="36"/>
  <c r="N106" i="36"/>
  <c r="M106" i="36"/>
  <c r="L106" i="36"/>
  <c r="K106" i="36"/>
  <c r="J106" i="36"/>
  <c r="I106" i="36"/>
  <c r="H106" i="36"/>
  <c r="G106" i="36"/>
  <c r="F106" i="36"/>
  <c r="E106" i="36"/>
  <c r="D106" i="36"/>
  <c r="Q106" i="36" s="1"/>
  <c r="B106" i="36"/>
  <c r="Q105" i="36"/>
  <c r="B105" i="36"/>
  <c r="O104" i="36"/>
  <c r="N104" i="36"/>
  <c r="M104" i="36"/>
  <c r="L104" i="36"/>
  <c r="K104" i="36"/>
  <c r="J104" i="36"/>
  <c r="I104" i="36"/>
  <c r="H104" i="36"/>
  <c r="G104" i="36"/>
  <c r="F104" i="36"/>
  <c r="E104" i="36"/>
  <c r="D104" i="36"/>
  <c r="Q104" i="36" s="1"/>
  <c r="B104" i="36"/>
  <c r="Q103" i="36"/>
  <c r="B103" i="36"/>
  <c r="Q102" i="36"/>
  <c r="B102" i="36"/>
  <c r="O101" i="36"/>
  <c r="N101" i="36"/>
  <c r="M101" i="36"/>
  <c r="L101" i="36"/>
  <c r="K101" i="36"/>
  <c r="J101" i="36"/>
  <c r="I101" i="36"/>
  <c r="H101" i="36"/>
  <c r="G101" i="36"/>
  <c r="F101" i="36"/>
  <c r="E101" i="36"/>
  <c r="D101" i="36"/>
  <c r="B101" i="36"/>
  <c r="Q100" i="36"/>
  <c r="B100" i="36"/>
  <c r="Q99" i="36"/>
  <c r="B99" i="36"/>
  <c r="Q98" i="36"/>
  <c r="B98" i="36"/>
  <c r="Q97" i="36"/>
  <c r="B97" i="36"/>
  <c r="Q96" i="36"/>
  <c r="B96" i="36"/>
  <c r="Q95" i="36"/>
  <c r="B95" i="36"/>
  <c r="Q94" i="36"/>
  <c r="B94" i="36"/>
  <c r="Q93" i="36"/>
  <c r="B93" i="36"/>
  <c r="Q92" i="36"/>
  <c r="B92" i="36"/>
  <c r="Q91" i="36"/>
  <c r="B91" i="36"/>
  <c r="O90" i="36"/>
  <c r="N90" i="36"/>
  <c r="M90" i="36"/>
  <c r="L90" i="36"/>
  <c r="K90" i="36"/>
  <c r="J90" i="36"/>
  <c r="I90" i="36"/>
  <c r="H90" i="36"/>
  <c r="G90" i="36"/>
  <c r="F90" i="36"/>
  <c r="E90" i="36"/>
  <c r="D90" i="36"/>
  <c r="B90" i="36"/>
  <c r="Q89" i="36"/>
  <c r="B89" i="36"/>
  <c r="O88" i="36"/>
  <c r="N88" i="36"/>
  <c r="M88" i="36"/>
  <c r="L88" i="36"/>
  <c r="K88" i="36"/>
  <c r="J88" i="36"/>
  <c r="I88" i="36"/>
  <c r="H88" i="36"/>
  <c r="G88" i="36"/>
  <c r="F88" i="36"/>
  <c r="E88" i="36"/>
  <c r="E28" i="36" s="1" a="1"/>
  <c r="E28" i="36" s="1"/>
  <c r="D88" i="36"/>
  <c r="B88" i="36"/>
  <c r="Q87" i="36"/>
  <c r="B87" i="36"/>
  <c r="Q86" i="36"/>
  <c r="B86" i="36"/>
  <c r="Q85" i="36"/>
  <c r="B85" i="36"/>
  <c r="Q84" i="36"/>
  <c r="B84" i="36"/>
  <c r="Q83" i="36"/>
  <c r="B83" i="36"/>
  <c r="O82" i="36"/>
  <c r="N82" i="36"/>
  <c r="M82" i="36"/>
  <c r="L82" i="36"/>
  <c r="K82" i="36"/>
  <c r="J82" i="36"/>
  <c r="I82" i="36"/>
  <c r="H82" i="36"/>
  <c r="G82" i="36"/>
  <c r="F82" i="36"/>
  <c r="E82" i="36"/>
  <c r="D82" i="36"/>
  <c r="Q82" i="36" s="1"/>
  <c r="B82" i="36"/>
  <c r="Q81" i="36"/>
  <c r="B81" i="36"/>
  <c r="O80" i="36"/>
  <c r="N80" i="36"/>
  <c r="M80" i="36"/>
  <c r="L80" i="36"/>
  <c r="K80" i="36"/>
  <c r="J80" i="36"/>
  <c r="I80" i="36"/>
  <c r="H80" i="36"/>
  <c r="G80" i="36"/>
  <c r="F80" i="36"/>
  <c r="E80" i="36"/>
  <c r="D80" i="36"/>
  <c r="B80" i="36"/>
  <c r="Q79" i="36"/>
  <c r="B79" i="36"/>
  <c r="Q78" i="36"/>
  <c r="B78" i="36"/>
  <c r="Q77" i="36"/>
  <c r="B77" i="36"/>
  <c r="O76" i="36"/>
  <c r="N76" i="36"/>
  <c r="M76" i="36"/>
  <c r="L76" i="36"/>
  <c r="K76" i="36"/>
  <c r="J76" i="36"/>
  <c r="I76" i="36"/>
  <c r="H76" i="36"/>
  <c r="G76" i="36"/>
  <c r="F76" i="36"/>
  <c r="E76" i="36"/>
  <c r="D76" i="36"/>
  <c r="B76" i="36"/>
  <c r="Q75" i="36"/>
  <c r="B75" i="36"/>
  <c r="O74" i="36"/>
  <c r="N74" i="36"/>
  <c r="M74" i="36"/>
  <c r="L74" i="36"/>
  <c r="K74" i="36"/>
  <c r="J74" i="36"/>
  <c r="I74" i="36"/>
  <c r="H74" i="36"/>
  <c r="G74" i="36"/>
  <c r="F74" i="36"/>
  <c r="E74" i="36"/>
  <c r="D74" i="36"/>
  <c r="B74" i="36"/>
  <c r="Q73" i="36"/>
  <c r="B73" i="36"/>
  <c r="O72" i="36"/>
  <c r="N72" i="36"/>
  <c r="M72" i="36"/>
  <c r="L72" i="36"/>
  <c r="K72" i="36"/>
  <c r="J72" i="36"/>
  <c r="I72" i="36"/>
  <c r="H72" i="36"/>
  <c r="G72" i="36"/>
  <c r="F72" i="36"/>
  <c r="E72" i="36"/>
  <c r="D72" i="36"/>
  <c r="Q72" i="36" s="1"/>
  <c r="B72" i="36"/>
  <c r="Q71" i="36"/>
  <c r="B71" i="36"/>
  <c r="O70" i="36"/>
  <c r="N70" i="36"/>
  <c r="M70" i="36"/>
  <c r="L70" i="36"/>
  <c r="K70" i="36"/>
  <c r="K28" i="36" s="1" a="1"/>
  <c r="K28" i="36" s="1"/>
  <c r="J70" i="36"/>
  <c r="I70" i="36"/>
  <c r="H70" i="36"/>
  <c r="G70" i="36"/>
  <c r="F70" i="36"/>
  <c r="E70" i="36"/>
  <c r="D70" i="36"/>
  <c r="B70" i="36"/>
  <c r="Q69" i="36"/>
  <c r="B69" i="36"/>
  <c r="O68" i="36"/>
  <c r="N68" i="36"/>
  <c r="M68" i="36"/>
  <c r="L68" i="36"/>
  <c r="K68" i="36"/>
  <c r="J68" i="36"/>
  <c r="I68" i="36"/>
  <c r="H68" i="36"/>
  <c r="G68" i="36"/>
  <c r="F68" i="36"/>
  <c r="E68" i="36"/>
  <c r="D68" i="36"/>
  <c r="B68" i="36"/>
  <c r="Q67" i="36"/>
  <c r="B67" i="36"/>
  <c r="O66" i="36"/>
  <c r="N66" i="36"/>
  <c r="M66" i="36"/>
  <c r="L66" i="36"/>
  <c r="K66" i="36"/>
  <c r="J66" i="36"/>
  <c r="I66" i="36"/>
  <c r="H66" i="36"/>
  <c r="G66" i="36"/>
  <c r="F66" i="36"/>
  <c r="E66" i="36"/>
  <c r="D66" i="36"/>
  <c r="B66" i="36"/>
  <c r="Q65" i="36"/>
  <c r="B65" i="36"/>
  <c r="O64" i="36"/>
  <c r="N64" i="36"/>
  <c r="M64" i="36"/>
  <c r="L64" i="36"/>
  <c r="K64" i="36"/>
  <c r="J64" i="36"/>
  <c r="I64" i="36"/>
  <c r="H64" i="36"/>
  <c r="G64" i="36"/>
  <c r="F64" i="36"/>
  <c r="E64" i="36"/>
  <c r="D64" i="36"/>
  <c r="Q64" i="36" s="1"/>
  <c r="B64" i="36"/>
  <c r="Q63" i="36"/>
  <c r="B63" i="36"/>
  <c r="O62" i="36"/>
  <c r="N62" i="36"/>
  <c r="M62" i="36"/>
  <c r="L62" i="36"/>
  <c r="K62" i="36"/>
  <c r="J62" i="36"/>
  <c r="I62" i="36"/>
  <c r="H62" i="36"/>
  <c r="G62" i="36"/>
  <c r="G28" i="36" s="1" a="1"/>
  <c r="G28" i="36" s="1"/>
  <c r="F62" i="36"/>
  <c r="E62" i="36"/>
  <c r="D62" i="36"/>
  <c r="B62" i="36"/>
  <c r="Q61" i="36"/>
  <c r="B61" i="36"/>
  <c r="O60" i="36"/>
  <c r="N60" i="36"/>
  <c r="M60" i="36"/>
  <c r="L60" i="36"/>
  <c r="K60" i="36"/>
  <c r="J60" i="36"/>
  <c r="I60" i="36"/>
  <c r="H60" i="36"/>
  <c r="G60" i="36"/>
  <c r="F60" i="36"/>
  <c r="E60" i="36"/>
  <c r="D60" i="36"/>
  <c r="B60" i="36"/>
  <c r="Q59" i="36"/>
  <c r="B59" i="36"/>
  <c r="Q58" i="36"/>
  <c r="B58" i="36"/>
  <c r="O57" i="36"/>
  <c r="N57" i="36"/>
  <c r="M57" i="36"/>
  <c r="L57" i="36"/>
  <c r="K57" i="36"/>
  <c r="J57" i="36"/>
  <c r="I57" i="36"/>
  <c r="H57" i="36"/>
  <c r="Q57" i="36" s="1"/>
  <c r="G57" i="36"/>
  <c r="F57" i="36"/>
  <c r="E57" i="36"/>
  <c r="D57" i="36"/>
  <c r="B57" i="36"/>
  <c r="Q56" i="36"/>
  <c r="B56" i="36"/>
  <c r="O55" i="36"/>
  <c r="N55" i="36"/>
  <c r="M55" i="36"/>
  <c r="L55" i="36"/>
  <c r="K55" i="36"/>
  <c r="J55" i="36"/>
  <c r="I55" i="36"/>
  <c r="H55" i="36"/>
  <c r="Q55" i="36" s="1"/>
  <c r="G55" i="36"/>
  <c r="F55" i="36"/>
  <c r="E55" i="36"/>
  <c r="D55" i="36"/>
  <c r="B55" i="36"/>
  <c r="Q54" i="36"/>
  <c r="B54" i="36"/>
  <c r="O53" i="36"/>
  <c r="N53" i="36"/>
  <c r="M53" i="36"/>
  <c r="L53" i="36"/>
  <c r="K53" i="36"/>
  <c r="J53" i="36"/>
  <c r="I53" i="36"/>
  <c r="H53" i="36"/>
  <c r="Q53" i="36" s="1"/>
  <c r="G53" i="36"/>
  <c r="F53" i="36"/>
  <c r="E53" i="36"/>
  <c r="D53" i="36"/>
  <c r="B53" i="36"/>
  <c r="Q52" i="36"/>
  <c r="B52" i="36"/>
  <c r="O51" i="36"/>
  <c r="N51" i="36"/>
  <c r="M51" i="36"/>
  <c r="L51" i="36"/>
  <c r="K51" i="36"/>
  <c r="J51" i="36"/>
  <c r="I51" i="36"/>
  <c r="H51" i="36"/>
  <c r="Q51" i="36" s="1"/>
  <c r="G51" i="36"/>
  <c r="F51" i="36"/>
  <c r="E51" i="36"/>
  <c r="D51" i="36"/>
  <c r="B51" i="36"/>
  <c r="Q50" i="36"/>
  <c r="B50" i="36"/>
  <c r="Q49" i="36"/>
  <c r="B49" i="36"/>
  <c r="Q48" i="36"/>
  <c r="B48" i="36"/>
  <c r="Q47" i="36"/>
  <c r="B47" i="36"/>
  <c r="Q46" i="36"/>
  <c r="B46" i="36"/>
  <c r="Q45" i="36"/>
  <c r="B45" i="36"/>
  <c r="Q44" i="36"/>
  <c r="B44" i="36"/>
  <c r="Q43" i="36"/>
  <c r="B43" i="36"/>
  <c r="Q42" i="36"/>
  <c r="B42" i="36"/>
  <c r="Q41" i="36"/>
  <c r="B41" i="36"/>
  <c r="O40" i="36"/>
  <c r="N40" i="36"/>
  <c r="M40" i="36"/>
  <c r="L40" i="36"/>
  <c r="K40" i="36"/>
  <c r="J40" i="36"/>
  <c r="I40" i="36"/>
  <c r="H40" i="36"/>
  <c r="G40" i="36"/>
  <c r="F40" i="36"/>
  <c r="E40" i="36"/>
  <c r="D40" i="36"/>
  <c r="B40" i="36"/>
  <c r="Q39" i="36"/>
  <c r="B39" i="36"/>
  <c r="Q38" i="36"/>
  <c r="B38" i="36"/>
  <c r="Q37" i="36"/>
  <c r="B37" i="36"/>
  <c r="Q36" i="36"/>
  <c r="B36" i="36"/>
  <c r="Q35" i="36"/>
  <c r="B35" i="36"/>
  <c r="Q34" i="36"/>
  <c r="B34" i="36"/>
  <c r="Q33" i="36"/>
  <c r="B33" i="36"/>
  <c r="Q32" i="36"/>
  <c r="B32" i="36"/>
  <c r="Q31" i="36"/>
  <c r="B31" i="36"/>
  <c r="Q30" i="36"/>
  <c r="B30" i="36"/>
  <c r="O29" i="36"/>
  <c r="N29" i="36"/>
  <c r="M29" i="36"/>
  <c r="L29" i="36"/>
  <c r="K29" i="36"/>
  <c r="J29" i="36"/>
  <c r="I29" i="36"/>
  <c r="H29" i="36"/>
  <c r="G29" i="36"/>
  <c r="F29" i="36"/>
  <c r="E29" i="36"/>
  <c r="D29" i="36"/>
  <c r="B29" i="36"/>
  <c r="E26" i="36"/>
  <c r="L25" i="36"/>
  <c r="E25" i="36"/>
  <c r="Q23" i="36"/>
  <c r="B23" i="36"/>
  <c r="Q22" i="36"/>
  <c r="B22" i="36"/>
  <c r="Q21" i="36"/>
  <c r="B21" i="36"/>
  <c r="Q20" i="36"/>
  <c r="O20" i="36"/>
  <c r="N20" i="36"/>
  <c r="M20" i="36"/>
  <c r="L20" i="36"/>
  <c r="K20" i="36"/>
  <c r="J20" i="36"/>
  <c r="I20" i="36"/>
  <c r="H20" i="36"/>
  <c r="G20" i="36"/>
  <c r="F20" i="36"/>
  <c r="E20" i="36"/>
  <c r="D20" i="36"/>
  <c r="M18" i="36"/>
  <c r="L18" i="36"/>
  <c r="K18" i="36"/>
  <c r="J18" i="36"/>
  <c r="I18" i="36"/>
  <c r="H18" i="36"/>
  <c r="G18" i="36"/>
  <c r="F18" i="36"/>
  <c r="E18" i="36"/>
  <c r="D18" i="36"/>
  <c r="B18" i="36"/>
  <c r="M17" i="36"/>
  <c r="L17" i="36"/>
  <c r="K17" i="36"/>
  <c r="J17" i="36"/>
  <c r="I17" i="36"/>
  <c r="H17" i="36"/>
  <c r="G17" i="36"/>
  <c r="F17" i="36"/>
  <c r="Q17" i="36" s="1"/>
  <c r="E17" i="36"/>
  <c r="D17" i="36"/>
  <c r="B17" i="36"/>
  <c r="M16" i="36"/>
  <c r="L16" i="36"/>
  <c r="K16" i="36"/>
  <c r="J16" i="36"/>
  <c r="I16" i="36"/>
  <c r="H16" i="36"/>
  <c r="G16" i="36"/>
  <c r="F16" i="36"/>
  <c r="E16" i="36"/>
  <c r="D16" i="36"/>
  <c r="B16" i="36"/>
  <c r="M15" i="36"/>
  <c r="L15" i="36"/>
  <c r="K15" i="36"/>
  <c r="J15" i="36"/>
  <c r="I15" i="36"/>
  <c r="H15" i="36"/>
  <c r="G15" i="36"/>
  <c r="F15" i="36"/>
  <c r="F10" i="36" s="1"/>
  <c r="F25" i="36" s="1"/>
  <c r="F26" i="36" s="1"/>
  <c r="E15" i="36"/>
  <c r="D15" i="36"/>
  <c r="B15" i="36"/>
  <c r="M14" i="36"/>
  <c r="L14" i="36"/>
  <c r="K14" i="36"/>
  <c r="J14" i="36"/>
  <c r="J10" i="36" s="1"/>
  <c r="J25" i="36" s="1"/>
  <c r="I14" i="36"/>
  <c r="H14" i="36"/>
  <c r="G14" i="36"/>
  <c r="F14" i="36"/>
  <c r="E14" i="36"/>
  <c r="D14" i="36"/>
  <c r="B14" i="36"/>
  <c r="M13" i="36"/>
  <c r="L13" i="36"/>
  <c r="L10" i="36" s="1"/>
  <c r="K13" i="36"/>
  <c r="J13" i="36"/>
  <c r="I13" i="36"/>
  <c r="H13" i="36"/>
  <c r="G13" i="36"/>
  <c r="F13" i="36"/>
  <c r="E13" i="36"/>
  <c r="D13" i="36"/>
  <c r="Q13" i="36" s="1"/>
  <c r="B13" i="36"/>
  <c r="M12" i="36"/>
  <c r="L12" i="36"/>
  <c r="K12" i="36"/>
  <c r="J12" i="36"/>
  <c r="I12" i="36"/>
  <c r="H12" i="36"/>
  <c r="G12" i="36"/>
  <c r="F12" i="36"/>
  <c r="E12" i="36"/>
  <c r="D12" i="36"/>
  <c r="B12" i="36"/>
  <c r="M11" i="36"/>
  <c r="L11" i="36"/>
  <c r="K11" i="36"/>
  <c r="K10" i="36" s="1"/>
  <c r="K25" i="36" s="1"/>
  <c r="J11" i="36"/>
  <c r="I11" i="36"/>
  <c r="H11" i="36"/>
  <c r="G11" i="36"/>
  <c r="F11" i="36"/>
  <c r="E11" i="36"/>
  <c r="D11" i="36"/>
  <c r="B11" i="36"/>
  <c r="O10" i="36"/>
  <c r="O25" i="36" s="1"/>
  <c r="O26" i="36" s="1"/>
  <c r="N10" i="36"/>
  <c r="N25" i="36" s="1"/>
  <c r="N26" i="36" s="1"/>
  <c r="M10" i="36"/>
  <c r="M25" i="36" s="1"/>
  <c r="M26" i="36" s="1"/>
  <c r="I10" i="36"/>
  <c r="E10" i="36"/>
  <c r="O8" i="36"/>
  <c r="N8" i="36"/>
  <c r="M8" i="36"/>
  <c r="L8" i="36"/>
  <c r="K8" i="36"/>
  <c r="J8" i="36"/>
  <c r="I8" i="36"/>
  <c r="H8" i="36"/>
  <c r="G8" i="36"/>
  <c r="F8" i="36"/>
  <c r="E8" i="36"/>
  <c r="D8" i="36"/>
  <c r="B39" i="35"/>
  <c r="B38" i="35"/>
  <c r="G34" i="35"/>
  <c r="E34" i="35"/>
  <c r="D34" i="35"/>
  <c r="G33" i="35"/>
  <c r="E33" i="35"/>
  <c r="D33" i="35"/>
  <c r="G28" i="35"/>
  <c r="E28" i="35"/>
  <c r="D28" i="35"/>
  <c r="G23" i="35"/>
  <c r="E23" i="35"/>
  <c r="D23" i="35"/>
  <c r="G21" i="35"/>
  <c r="E21" i="35"/>
  <c r="D21" i="35"/>
  <c r="B21" i="35"/>
  <c r="G20" i="35"/>
  <c r="E20" i="35"/>
  <c r="D20" i="35"/>
  <c r="B20" i="35"/>
  <c r="G19" i="35"/>
  <c r="E19" i="35"/>
  <c r="D19" i="35"/>
  <c r="G14" i="35"/>
  <c r="E14" i="35"/>
  <c r="D14" i="35"/>
  <c r="B14" i="35"/>
  <c r="G13" i="35"/>
  <c r="E13" i="35"/>
  <c r="D13" i="35"/>
  <c r="G11" i="35"/>
  <c r="E11" i="35"/>
  <c r="D11" i="35"/>
  <c r="B11" i="35"/>
  <c r="G10" i="35"/>
  <c r="E10" i="35"/>
  <c r="D10" i="35"/>
  <c r="E8" i="35"/>
  <c r="D8" i="35"/>
  <c r="Q126" i="34"/>
  <c r="M121" i="34"/>
  <c r="L121" i="34"/>
  <c r="K121" i="34"/>
  <c r="J121" i="34"/>
  <c r="I121" i="34"/>
  <c r="H121" i="34"/>
  <c r="G121" i="34"/>
  <c r="F121" i="34"/>
  <c r="E121" i="34"/>
  <c r="D121" i="34"/>
  <c r="Q119" i="34"/>
  <c r="B119" i="34"/>
  <c r="O118" i="34"/>
  <c r="N118" i="34"/>
  <c r="M118" i="34"/>
  <c r="L118" i="34"/>
  <c r="K118" i="34"/>
  <c r="J118" i="34"/>
  <c r="I118" i="34"/>
  <c r="H118" i="34"/>
  <c r="G118" i="34"/>
  <c r="F118" i="34"/>
  <c r="E118" i="34"/>
  <c r="D118" i="34"/>
  <c r="B118" i="34"/>
  <c r="Q117" i="34"/>
  <c r="B117" i="34"/>
  <c r="Q116" i="34"/>
  <c r="B116" i="34"/>
  <c r="O115" i="34"/>
  <c r="N115" i="34"/>
  <c r="M115" i="34"/>
  <c r="L115" i="34"/>
  <c r="K115" i="34"/>
  <c r="J115" i="34"/>
  <c r="I115" i="34"/>
  <c r="H115" i="34"/>
  <c r="G115" i="34"/>
  <c r="F115" i="34"/>
  <c r="E115" i="34"/>
  <c r="D115" i="34"/>
  <c r="B115" i="34"/>
  <c r="Q114" i="34"/>
  <c r="B114" i="34"/>
  <c r="O113" i="34"/>
  <c r="N113" i="34"/>
  <c r="M113" i="34"/>
  <c r="L113" i="34"/>
  <c r="K113" i="34"/>
  <c r="J113" i="34"/>
  <c r="I113" i="34"/>
  <c r="H113" i="34"/>
  <c r="G113" i="34"/>
  <c r="F113" i="34"/>
  <c r="E113" i="34"/>
  <c r="D113" i="34"/>
  <c r="Q113" i="34" s="1"/>
  <c r="B113" i="34"/>
  <c r="Q112" i="34"/>
  <c r="B112" i="34"/>
  <c r="O111" i="34"/>
  <c r="N111" i="34"/>
  <c r="M111" i="34"/>
  <c r="L111" i="34"/>
  <c r="K111" i="34"/>
  <c r="J111" i="34"/>
  <c r="I111" i="34"/>
  <c r="H111" i="34"/>
  <c r="G111" i="34"/>
  <c r="F111" i="34"/>
  <c r="E111" i="34"/>
  <c r="D111" i="34"/>
  <c r="B111" i="34"/>
  <c r="Q110" i="34"/>
  <c r="B110" i="34"/>
  <c r="Q109" i="34"/>
  <c r="B109" i="34"/>
  <c r="Q108" i="34"/>
  <c r="B108" i="34"/>
  <c r="Q107" i="34"/>
  <c r="B107" i="34"/>
  <c r="Q106" i="34"/>
  <c r="B106" i="34"/>
  <c r="Q105" i="34"/>
  <c r="B105" i="34"/>
  <c r="O104" i="34"/>
  <c r="N104" i="34"/>
  <c r="M104" i="34"/>
  <c r="L104" i="34"/>
  <c r="K104" i="34"/>
  <c r="J104" i="34"/>
  <c r="I104" i="34"/>
  <c r="H104" i="34"/>
  <c r="Q104" i="34" s="1"/>
  <c r="G104" i="34"/>
  <c r="F104" i="34"/>
  <c r="E104" i="34"/>
  <c r="D104" i="34"/>
  <c r="B104" i="34"/>
  <c r="Q103" i="34"/>
  <c r="B103" i="34"/>
  <c r="Q102" i="34"/>
  <c r="B102" i="34"/>
  <c r="O101" i="34"/>
  <c r="N101" i="34"/>
  <c r="M101" i="34"/>
  <c r="L101" i="34"/>
  <c r="K101" i="34"/>
  <c r="J101" i="34"/>
  <c r="I101" i="34"/>
  <c r="H101" i="34"/>
  <c r="G101" i="34"/>
  <c r="F101" i="34"/>
  <c r="E101" i="34"/>
  <c r="D101" i="34"/>
  <c r="B101" i="34"/>
  <c r="Q100" i="34"/>
  <c r="B100" i="34"/>
  <c r="Q99" i="34"/>
  <c r="B99" i="34"/>
  <c r="Q98" i="34"/>
  <c r="B98" i="34"/>
  <c r="O97" i="34"/>
  <c r="N97" i="34"/>
  <c r="M97" i="34"/>
  <c r="L97" i="34"/>
  <c r="K97" i="34"/>
  <c r="J97" i="34"/>
  <c r="I97" i="34"/>
  <c r="H97" i="34"/>
  <c r="G97" i="34"/>
  <c r="F97" i="34"/>
  <c r="E97" i="34"/>
  <c r="D97" i="34"/>
  <c r="B97" i="34"/>
  <c r="Q96" i="34"/>
  <c r="B96" i="34"/>
  <c r="Q95" i="34"/>
  <c r="B95" i="34"/>
  <c r="Q94" i="34"/>
  <c r="B94" i="34"/>
  <c r="O93" i="34"/>
  <c r="N93" i="34"/>
  <c r="M93" i="34"/>
  <c r="L93" i="34"/>
  <c r="K93" i="34"/>
  <c r="J93" i="34"/>
  <c r="I93" i="34"/>
  <c r="H93" i="34"/>
  <c r="G93" i="34"/>
  <c r="F93" i="34"/>
  <c r="E93" i="34"/>
  <c r="D93" i="34"/>
  <c r="B93" i="34"/>
  <c r="Q92" i="34"/>
  <c r="B92" i="34"/>
  <c r="Q91" i="34"/>
  <c r="B91" i="34"/>
  <c r="O90" i="34"/>
  <c r="N90" i="34"/>
  <c r="M90" i="34"/>
  <c r="L90" i="34"/>
  <c r="K90" i="34"/>
  <c r="J90" i="34"/>
  <c r="I90" i="34"/>
  <c r="H90" i="34"/>
  <c r="Q90" i="34" s="1"/>
  <c r="G90" i="34"/>
  <c r="F90" i="34"/>
  <c r="E90" i="34"/>
  <c r="D90" i="34"/>
  <c r="B90" i="34"/>
  <c r="Q89" i="34"/>
  <c r="B89" i="34"/>
  <c r="O88" i="34"/>
  <c r="N88" i="34"/>
  <c r="M88" i="34"/>
  <c r="L88" i="34"/>
  <c r="K88" i="34"/>
  <c r="J88" i="34"/>
  <c r="I88" i="34"/>
  <c r="H88" i="34"/>
  <c r="Q88" i="34" s="1"/>
  <c r="G88" i="34"/>
  <c r="F88" i="34"/>
  <c r="E88" i="34"/>
  <c r="D88" i="34"/>
  <c r="B88" i="34"/>
  <c r="Q87" i="34"/>
  <c r="B87" i="34"/>
  <c r="O86" i="34"/>
  <c r="N86" i="34"/>
  <c r="M86" i="34"/>
  <c r="L86" i="34"/>
  <c r="K86" i="34"/>
  <c r="J86" i="34"/>
  <c r="I86" i="34"/>
  <c r="H86" i="34"/>
  <c r="Q86" i="34" s="1"/>
  <c r="G86" i="34"/>
  <c r="F86" i="34"/>
  <c r="E86" i="34"/>
  <c r="D86" i="34"/>
  <c r="B86" i="34"/>
  <c r="Q85" i="34"/>
  <c r="B85" i="34"/>
  <c r="O84" i="34"/>
  <c r="N84" i="34"/>
  <c r="M84" i="34"/>
  <c r="L84" i="34"/>
  <c r="K84" i="34"/>
  <c r="J84" i="34"/>
  <c r="I84" i="34"/>
  <c r="H84" i="34"/>
  <c r="Q84" i="34" s="1"/>
  <c r="G84" i="34"/>
  <c r="F84" i="34"/>
  <c r="E84" i="34"/>
  <c r="D84" i="34"/>
  <c r="B84" i="34"/>
  <c r="Q83" i="34"/>
  <c r="B83" i="34"/>
  <c r="O82" i="34"/>
  <c r="N82" i="34"/>
  <c r="M82" i="34"/>
  <c r="L82" i="34"/>
  <c r="K82" i="34"/>
  <c r="J82" i="34"/>
  <c r="I82" i="34"/>
  <c r="H82" i="34"/>
  <c r="Q82" i="34" s="1"/>
  <c r="G82" i="34"/>
  <c r="F82" i="34"/>
  <c r="E82" i="34"/>
  <c r="D82" i="34"/>
  <c r="B82" i="34"/>
  <c r="Q81" i="34"/>
  <c r="B81" i="34"/>
  <c r="O80" i="34"/>
  <c r="N80" i="34"/>
  <c r="M80" i="34"/>
  <c r="L80" i="34"/>
  <c r="K80" i="34"/>
  <c r="J80" i="34"/>
  <c r="I80" i="34"/>
  <c r="H80" i="34"/>
  <c r="Q80" i="34" s="1"/>
  <c r="G80" i="34"/>
  <c r="G43" i="34" s="1" a="1"/>
  <c r="G43" i="34" s="1"/>
  <c r="F80" i="34"/>
  <c r="E80" i="34"/>
  <c r="D80" i="34"/>
  <c r="B80" i="34"/>
  <c r="Q79" i="34"/>
  <c r="B79" i="34"/>
  <c r="Q78" i="34"/>
  <c r="B78" i="34"/>
  <c r="O77" i="34"/>
  <c r="N77" i="34"/>
  <c r="M77" i="34"/>
  <c r="L77" i="34"/>
  <c r="K77" i="34"/>
  <c r="J77" i="34"/>
  <c r="I77" i="34"/>
  <c r="H77" i="34"/>
  <c r="G77" i="34"/>
  <c r="F77" i="34"/>
  <c r="E77" i="34"/>
  <c r="D77" i="34"/>
  <c r="B77" i="34"/>
  <c r="Q76" i="34"/>
  <c r="B76" i="34"/>
  <c r="O75" i="34"/>
  <c r="N75" i="34"/>
  <c r="M75" i="34"/>
  <c r="L75" i="34"/>
  <c r="K75" i="34"/>
  <c r="J75" i="34"/>
  <c r="I75" i="34"/>
  <c r="H75" i="34"/>
  <c r="G75" i="34"/>
  <c r="F75" i="34"/>
  <c r="E75" i="34"/>
  <c r="D75" i="34"/>
  <c r="B75" i="34"/>
  <c r="Q74" i="34"/>
  <c r="B74" i="34"/>
  <c r="O73" i="34"/>
  <c r="N73" i="34"/>
  <c r="M73" i="34"/>
  <c r="L73" i="34"/>
  <c r="K73" i="34"/>
  <c r="J73" i="34"/>
  <c r="I73" i="34"/>
  <c r="H73" i="34"/>
  <c r="G73" i="34"/>
  <c r="F73" i="34"/>
  <c r="E73" i="34"/>
  <c r="D73" i="34"/>
  <c r="B73" i="34"/>
  <c r="Q72" i="34"/>
  <c r="B72" i="34"/>
  <c r="O71" i="34"/>
  <c r="N71" i="34"/>
  <c r="M71" i="34"/>
  <c r="L71" i="34"/>
  <c r="K71" i="34"/>
  <c r="J71" i="34"/>
  <c r="I71" i="34"/>
  <c r="H71" i="34"/>
  <c r="G71" i="34"/>
  <c r="F71" i="34"/>
  <c r="E71" i="34"/>
  <c r="D71" i="34"/>
  <c r="B71" i="34"/>
  <c r="Q70" i="34"/>
  <c r="B70" i="34"/>
  <c r="O69" i="34"/>
  <c r="N69" i="34"/>
  <c r="M69" i="34"/>
  <c r="L69" i="34"/>
  <c r="K69" i="34"/>
  <c r="J69" i="34"/>
  <c r="I69" i="34"/>
  <c r="H69" i="34"/>
  <c r="G69" i="34"/>
  <c r="F69" i="34"/>
  <c r="E69" i="34"/>
  <c r="E43" i="34" s="1" a="1"/>
  <c r="E43" i="34" s="1"/>
  <c r="D69" i="34"/>
  <c r="B69" i="34"/>
  <c r="Q68" i="34"/>
  <c r="B68" i="34"/>
  <c r="O67" i="34"/>
  <c r="N67" i="34"/>
  <c r="M67" i="34"/>
  <c r="L67" i="34"/>
  <c r="K67" i="34"/>
  <c r="J67" i="34"/>
  <c r="I67" i="34"/>
  <c r="H67" i="34"/>
  <c r="G67" i="34"/>
  <c r="F67" i="34"/>
  <c r="E67" i="34"/>
  <c r="D67" i="34"/>
  <c r="Q67" i="34" s="1"/>
  <c r="B67" i="34"/>
  <c r="Q66" i="34"/>
  <c r="B66" i="34"/>
  <c r="O65" i="34"/>
  <c r="N65" i="34"/>
  <c r="M65" i="34"/>
  <c r="L65" i="34"/>
  <c r="K65" i="34"/>
  <c r="J65" i="34"/>
  <c r="J43" i="34" s="1" a="1"/>
  <c r="J43" i="34" s="1"/>
  <c r="I65" i="34"/>
  <c r="H65" i="34"/>
  <c r="G65" i="34"/>
  <c r="F65" i="34"/>
  <c r="E65" i="34"/>
  <c r="D65" i="34"/>
  <c r="B65" i="34"/>
  <c r="Q64" i="34"/>
  <c r="B64" i="34"/>
  <c r="Q63" i="34"/>
  <c r="B63" i="34"/>
  <c r="Q62" i="34"/>
  <c r="B62" i="34"/>
  <c r="Q61" i="34"/>
  <c r="B61" i="34"/>
  <c r="Q60" i="34"/>
  <c r="B60" i="34"/>
  <c r="Q59" i="34"/>
  <c r="B59" i="34"/>
  <c r="Q58" i="34"/>
  <c r="B58" i="34"/>
  <c r="Q57" i="34"/>
  <c r="B57" i="34"/>
  <c r="Q56" i="34"/>
  <c r="B56" i="34"/>
  <c r="Q55" i="34"/>
  <c r="B55" i="34"/>
  <c r="O54" i="34"/>
  <c r="N54" i="34"/>
  <c r="M54" i="34"/>
  <c r="L54" i="34"/>
  <c r="K54" i="34"/>
  <c r="J54" i="34"/>
  <c r="I54" i="34"/>
  <c r="H54" i="34"/>
  <c r="G54" i="34"/>
  <c r="F54" i="34"/>
  <c r="E54" i="34"/>
  <c r="D54" i="34"/>
  <c r="Q54" i="34" s="1"/>
  <c r="B54" i="34"/>
  <c r="Q53" i="34"/>
  <c r="B53" i="34"/>
  <c r="Q52" i="34"/>
  <c r="B52" i="34"/>
  <c r="Q51" i="34"/>
  <c r="B51" i="34"/>
  <c r="Q50" i="34"/>
  <c r="B50" i="34"/>
  <c r="Q49" i="34"/>
  <c r="B49" i="34"/>
  <c r="Q48" i="34"/>
  <c r="B48" i="34"/>
  <c r="Q47" i="34"/>
  <c r="B47" i="34"/>
  <c r="Q46" i="34"/>
  <c r="B46" i="34"/>
  <c r="Q45" i="34"/>
  <c r="B45" i="34"/>
  <c r="O44" i="34"/>
  <c r="N44" i="34"/>
  <c r="M44" i="34"/>
  <c r="L44" i="34"/>
  <c r="K44" i="34"/>
  <c r="J44" i="34"/>
  <c r="I44" i="34"/>
  <c r="H44" i="34"/>
  <c r="G44" i="34"/>
  <c r="F44" i="34"/>
  <c r="E44" i="34"/>
  <c r="D44" i="34"/>
  <c r="B44" i="34"/>
  <c r="K43" i="34" a="1"/>
  <c r="K43" i="34" s="1"/>
  <c r="L41" i="34"/>
  <c r="O40" i="34"/>
  <c r="D40" i="34"/>
  <c r="Q38" i="34"/>
  <c r="B38" i="34"/>
  <c r="Q37" i="34"/>
  <c r="B37" i="34"/>
  <c r="Q36" i="34"/>
  <c r="B36" i="34"/>
  <c r="Q35" i="34"/>
  <c r="B35" i="34"/>
  <c r="Q34" i="34"/>
  <c r="B34" i="34"/>
  <c r="Q33" i="34"/>
  <c r="B33" i="34"/>
  <c r="Q32" i="34"/>
  <c r="B32" i="34"/>
  <c r="Q31" i="34"/>
  <c r="B31" i="34"/>
  <c r="Q30" i="34"/>
  <c r="B30" i="34"/>
  <c r="Q29" i="34"/>
  <c r="B29" i="34"/>
  <c r="Q28" i="34"/>
  <c r="B28" i="34"/>
  <c r="Q27" i="34"/>
  <c r="B27" i="34"/>
  <c r="Q26" i="34"/>
  <c r="B26" i="34"/>
  <c r="Q25" i="34"/>
  <c r="B25" i="34"/>
  <c r="Q24" i="34"/>
  <c r="B24" i="34"/>
  <c r="Q23" i="34"/>
  <c r="B23" i="34"/>
  <c r="Q22" i="34"/>
  <c r="B22" i="34"/>
  <c r="Q21" i="34"/>
  <c r="B21" i="34"/>
  <c r="Q20" i="34"/>
  <c r="B20" i="34"/>
  <c r="Q19" i="34"/>
  <c r="B19" i="34"/>
  <c r="Q18" i="34"/>
  <c r="B18" i="34"/>
  <c r="Q17" i="34"/>
  <c r="O17" i="34"/>
  <c r="N17" i="34"/>
  <c r="M17" i="34"/>
  <c r="L17" i="34"/>
  <c r="K17" i="34"/>
  <c r="K40" i="34" s="1"/>
  <c r="J17" i="34"/>
  <c r="I17" i="34"/>
  <c r="H17" i="34"/>
  <c r="G17" i="34"/>
  <c r="F17" i="34"/>
  <c r="E17" i="34"/>
  <c r="D17" i="34"/>
  <c r="M15" i="34"/>
  <c r="L15" i="34"/>
  <c r="K15" i="34"/>
  <c r="J15" i="34"/>
  <c r="I15" i="34"/>
  <c r="H15" i="34"/>
  <c r="G15" i="34"/>
  <c r="F15" i="34"/>
  <c r="Q15" i="34" s="1"/>
  <c r="E15" i="34"/>
  <c r="D15" i="34"/>
  <c r="B15" i="34"/>
  <c r="M14" i="34"/>
  <c r="L14" i="34"/>
  <c r="K14" i="34"/>
  <c r="J14" i="34"/>
  <c r="I14" i="34"/>
  <c r="H14" i="34"/>
  <c r="G14" i="34"/>
  <c r="F14" i="34"/>
  <c r="Q14" i="34" s="1"/>
  <c r="E14" i="34"/>
  <c r="D14" i="34"/>
  <c r="B14" i="34"/>
  <c r="M13" i="34"/>
  <c r="L13" i="34"/>
  <c r="K13" i="34"/>
  <c r="J13" i="34"/>
  <c r="I13" i="34"/>
  <c r="H13" i="34"/>
  <c r="G13" i="34"/>
  <c r="F13" i="34"/>
  <c r="Q13" i="34" s="1"/>
  <c r="E13" i="34"/>
  <c r="D13" i="34"/>
  <c r="B13" i="34"/>
  <c r="M12" i="34"/>
  <c r="L12" i="34"/>
  <c r="K12" i="34"/>
  <c r="J12" i="34"/>
  <c r="I12" i="34"/>
  <c r="H12" i="34"/>
  <c r="G12" i="34"/>
  <c r="G10" i="34" s="1"/>
  <c r="G40" i="34" s="1"/>
  <c r="G41" i="34" s="1"/>
  <c r="F12" i="34"/>
  <c r="E12" i="34"/>
  <c r="D12" i="34"/>
  <c r="B12" i="34"/>
  <c r="M11" i="34"/>
  <c r="M10" i="34" s="1"/>
  <c r="M40" i="34" s="1"/>
  <c r="L11" i="34"/>
  <c r="K11" i="34"/>
  <c r="K10" i="34" s="1"/>
  <c r="J11" i="34"/>
  <c r="I11" i="34"/>
  <c r="H11" i="34"/>
  <c r="G11" i="34"/>
  <c r="F11" i="34"/>
  <c r="F10" i="34" s="1"/>
  <c r="F40" i="34" s="1"/>
  <c r="E11" i="34"/>
  <c r="E10" i="34" s="1"/>
  <c r="E40" i="34" s="1"/>
  <c r="D11" i="34"/>
  <c r="B11" i="34"/>
  <c r="O10" i="34"/>
  <c r="N10" i="34"/>
  <c r="L10" i="34"/>
  <c r="L40" i="34" s="1"/>
  <c r="I10" i="34"/>
  <c r="I40" i="34" s="1"/>
  <c r="H10" i="34"/>
  <c r="H40" i="34" s="1"/>
  <c r="D10" i="34"/>
  <c r="O8" i="34"/>
  <c r="N8" i="34"/>
  <c r="M8" i="34"/>
  <c r="L8" i="34"/>
  <c r="K8" i="34"/>
  <c r="J8" i="34"/>
  <c r="I8" i="34"/>
  <c r="H8" i="34"/>
  <c r="G8" i="34"/>
  <c r="F8" i="34"/>
  <c r="E8" i="34"/>
  <c r="D8" i="34"/>
  <c r="B39" i="33"/>
  <c r="B38" i="33"/>
  <c r="G34" i="33"/>
  <c r="E34" i="33"/>
  <c r="D34" i="33"/>
  <c r="G33" i="33"/>
  <c r="E33" i="33"/>
  <c r="D33" i="33"/>
  <c r="G28" i="33"/>
  <c r="E28" i="33"/>
  <c r="D28" i="33"/>
  <c r="G23" i="33"/>
  <c r="E23" i="33"/>
  <c r="D23" i="33"/>
  <c r="G21" i="33"/>
  <c r="E21" i="33"/>
  <c r="D21" i="33"/>
  <c r="B21" i="33"/>
  <c r="G20" i="33"/>
  <c r="E20" i="33"/>
  <c r="D20" i="33"/>
  <c r="B20" i="33"/>
  <c r="G19" i="33"/>
  <c r="E19" i="33"/>
  <c r="D19" i="33"/>
  <c r="G14" i="33"/>
  <c r="E14" i="33"/>
  <c r="D14" i="33"/>
  <c r="B14" i="33"/>
  <c r="G13" i="33"/>
  <c r="E13" i="33"/>
  <c r="D13" i="33"/>
  <c r="G11" i="33"/>
  <c r="E11" i="33"/>
  <c r="D11" i="33"/>
  <c r="B11" i="33"/>
  <c r="G10" i="33"/>
  <c r="E10" i="33"/>
  <c r="D10" i="33"/>
  <c r="E8" i="33"/>
  <c r="D8" i="33"/>
  <c r="B39" i="32"/>
  <c r="B38" i="32"/>
  <c r="G34" i="32"/>
  <c r="E34" i="32"/>
  <c r="D34" i="32"/>
  <c r="G33" i="32"/>
  <c r="E33" i="32"/>
  <c r="D33" i="32"/>
  <c r="G28" i="32"/>
  <c r="E28" i="32"/>
  <c r="D28" i="32"/>
  <c r="G23" i="32"/>
  <c r="E23" i="32"/>
  <c r="D23" i="32"/>
  <c r="G21" i="32"/>
  <c r="E21" i="32"/>
  <c r="D21" i="32"/>
  <c r="B21" i="32"/>
  <c r="G20" i="32"/>
  <c r="E20" i="32"/>
  <c r="D20" i="32"/>
  <c r="B20" i="32"/>
  <c r="G19" i="32"/>
  <c r="E19" i="32"/>
  <c r="D19" i="32"/>
  <c r="G14" i="32"/>
  <c r="E14" i="32"/>
  <c r="D14" i="32"/>
  <c r="B14" i="32"/>
  <c r="G13" i="32"/>
  <c r="E13" i="32"/>
  <c r="D13" i="32"/>
  <c r="G11" i="32"/>
  <c r="E11" i="32"/>
  <c r="D11" i="32"/>
  <c r="B11" i="32"/>
  <c r="G10" i="32"/>
  <c r="E10" i="32"/>
  <c r="D10" i="32"/>
  <c r="E8" i="32"/>
  <c r="D8" i="32"/>
  <c r="Q78" i="31"/>
  <c r="M73" i="31"/>
  <c r="L73" i="31"/>
  <c r="K73" i="31"/>
  <c r="J73" i="31"/>
  <c r="I73" i="31"/>
  <c r="H73" i="31"/>
  <c r="G73" i="31"/>
  <c r="F73" i="31"/>
  <c r="E73" i="31"/>
  <c r="D73" i="31"/>
  <c r="Q71" i="31"/>
  <c r="B71" i="31"/>
  <c r="O70" i="31"/>
  <c r="N70" i="31"/>
  <c r="M70" i="31"/>
  <c r="L70" i="31"/>
  <c r="K70" i="31"/>
  <c r="J70" i="31"/>
  <c r="I70" i="31"/>
  <c r="H70" i="31"/>
  <c r="G70" i="31"/>
  <c r="F70" i="31"/>
  <c r="Q70" i="31" s="1"/>
  <c r="E70" i="31"/>
  <c r="D70" i="31"/>
  <c r="B70" i="31"/>
  <c r="Q69" i="31"/>
  <c r="B69" i="31"/>
  <c r="Q68" i="31"/>
  <c r="B68" i="31"/>
  <c r="Q67" i="31"/>
  <c r="B67" i="31"/>
  <c r="Q66" i="31"/>
  <c r="B66" i="31"/>
  <c r="Q65" i="31"/>
  <c r="B65" i="31"/>
  <c r="O64" i="31"/>
  <c r="N64" i="31"/>
  <c r="M64" i="31"/>
  <c r="L64" i="31"/>
  <c r="K64" i="31"/>
  <c r="J64" i="31"/>
  <c r="I64" i="31"/>
  <c r="H64" i="31"/>
  <c r="G64" i="31"/>
  <c r="F64" i="31"/>
  <c r="Q64" i="31" s="1"/>
  <c r="E64" i="31"/>
  <c r="D64" i="31"/>
  <c r="B64" i="31"/>
  <c r="Q63" i="31"/>
  <c r="B63" i="31"/>
  <c r="O62" i="31"/>
  <c r="N62" i="31"/>
  <c r="M62" i="31"/>
  <c r="L62" i="31"/>
  <c r="K62" i="31"/>
  <c r="J62" i="31"/>
  <c r="I62" i="31"/>
  <c r="H62" i="31"/>
  <c r="G62" i="31"/>
  <c r="F62" i="31"/>
  <c r="Q62" i="31" s="1"/>
  <c r="E62" i="31"/>
  <c r="D62" i="31"/>
  <c r="B62" i="31"/>
  <c r="Q61" i="31"/>
  <c r="B61" i="31"/>
  <c r="O60" i="31"/>
  <c r="N60" i="31"/>
  <c r="M60" i="31"/>
  <c r="L60" i="31"/>
  <c r="K60" i="31"/>
  <c r="J60" i="31"/>
  <c r="I60" i="31"/>
  <c r="H60" i="31"/>
  <c r="G60" i="31"/>
  <c r="F60" i="31"/>
  <c r="Q60" i="31" s="1"/>
  <c r="E60" i="31"/>
  <c r="D60" i="31"/>
  <c r="B60" i="31"/>
  <c r="Q59" i="31"/>
  <c r="B59" i="31"/>
  <c r="Q58" i="31"/>
  <c r="B58" i="31"/>
  <c r="O57" i="31"/>
  <c r="N57" i="31"/>
  <c r="M57" i="31"/>
  <c r="L57" i="31"/>
  <c r="K57" i="31"/>
  <c r="J57" i="31"/>
  <c r="I57" i="31"/>
  <c r="H57" i="31"/>
  <c r="Q57" i="31" s="1"/>
  <c r="G57" i="31"/>
  <c r="F57" i="31"/>
  <c r="E57" i="31"/>
  <c r="D57" i="31"/>
  <c r="B57" i="31"/>
  <c r="Q56" i="31"/>
  <c r="B56" i="31"/>
  <c r="O55" i="31"/>
  <c r="N55" i="31"/>
  <c r="M55" i="31"/>
  <c r="L55" i="31"/>
  <c r="K55" i="31"/>
  <c r="J55" i="31"/>
  <c r="I55" i="31"/>
  <c r="H55" i="31"/>
  <c r="H24" i="31" s="1" a="1"/>
  <c r="H24" i="31" s="1"/>
  <c r="G55" i="31"/>
  <c r="F55" i="31"/>
  <c r="E55" i="31"/>
  <c r="D55" i="31"/>
  <c r="B55" i="31"/>
  <c r="Q54" i="31"/>
  <c r="B54" i="31"/>
  <c r="Q53" i="31"/>
  <c r="B53" i="31"/>
  <c r="O52" i="31"/>
  <c r="N52" i="31"/>
  <c r="M52" i="31"/>
  <c r="L52" i="31"/>
  <c r="K52" i="31"/>
  <c r="J52" i="31"/>
  <c r="I52" i="31"/>
  <c r="H52" i="31"/>
  <c r="G52" i="31"/>
  <c r="F52" i="31"/>
  <c r="E52" i="31"/>
  <c r="D52" i="31"/>
  <c r="B52" i="31"/>
  <c r="Q51" i="31"/>
  <c r="B51" i="31"/>
  <c r="O50" i="31"/>
  <c r="N50" i="31"/>
  <c r="M50" i="31"/>
  <c r="L50" i="31"/>
  <c r="K50" i="31"/>
  <c r="J50" i="31"/>
  <c r="I50" i="31"/>
  <c r="H50" i="31"/>
  <c r="G50" i="31"/>
  <c r="F50" i="31"/>
  <c r="E50" i="31"/>
  <c r="D50" i="31"/>
  <c r="B50" i="31"/>
  <c r="Q49" i="31"/>
  <c r="B49" i="31"/>
  <c r="O48" i="31"/>
  <c r="N48" i="31"/>
  <c r="M48" i="31"/>
  <c r="L48" i="31"/>
  <c r="K48" i="31"/>
  <c r="J48" i="31"/>
  <c r="I48" i="31"/>
  <c r="H48" i="31"/>
  <c r="G48" i="31"/>
  <c r="F48" i="31"/>
  <c r="E48" i="31"/>
  <c r="D48" i="31"/>
  <c r="B48" i="31"/>
  <c r="Q47" i="31"/>
  <c r="B47" i="31"/>
  <c r="O46" i="31"/>
  <c r="N46" i="31"/>
  <c r="M46" i="31"/>
  <c r="L46" i="31"/>
  <c r="K46" i="31"/>
  <c r="J46" i="31"/>
  <c r="I46" i="31"/>
  <c r="H46" i="31"/>
  <c r="G46" i="31"/>
  <c r="F46" i="31"/>
  <c r="E46" i="31"/>
  <c r="D46" i="31"/>
  <c r="B46" i="31"/>
  <c r="Q45" i="31"/>
  <c r="B45" i="31"/>
  <c r="Q44" i="31"/>
  <c r="B44" i="31"/>
  <c r="Q43" i="31"/>
  <c r="B43" i="31"/>
  <c r="Q42" i="31"/>
  <c r="B42" i="31"/>
  <c r="Q41" i="31"/>
  <c r="B41" i="31"/>
  <c r="Q40" i="31"/>
  <c r="B40" i="31"/>
  <c r="Q39" i="31"/>
  <c r="B39" i="31"/>
  <c r="Q38" i="31"/>
  <c r="B38" i="31"/>
  <c r="Q37" i="31"/>
  <c r="B37" i="31"/>
  <c r="Q36" i="31"/>
  <c r="B36" i="31"/>
  <c r="O35" i="31"/>
  <c r="O24" i="31" s="1" a="1"/>
  <c r="O24" i="31" s="1"/>
  <c r="N35" i="31"/>
  <c r="M35" i="31"/>
  <c r="L35" i="31"/>
  <c r="K35" i="31"/>
  <c r="J35" i="31"/>
  <c r="I35" i="31"/>
  <c r="H35" i="31"/>
  <c r="G35" i="31"/>
  <c r="G24" i="31" s="1" a="1"/>
  <c r="G24" i="31" s="1"/>
  <c r="F35" i="31"/>
  <c r="E35" i="31"/>
  <c r="D35" i="31"/>
  <c r="B35" i="31"/>
  <c r="Q34" i="31"/>
  <c r="B34" i="31"/>
  <c r="Q33" i="31"/>
  <c r="B33" i="31"/>
  <c r="Q32" i="31"/>
  <c r="B32" i="31"/>
  <c r="Q31" i="31"/>
  <c r="B31" i="31"/>
  <c r="Q30" i="31"/>
  <c r="B30" i="31"/>
  <c r="Q29" i="31"/>
  <c r="B29" i="31"/>
  <c r="Q28" i="31"/>
  <c r="B28" i="31"/>
  <c r="Q27" i="31"/>
  <c r="B27" i="31"/>
  <c r="Q26" i="31"/>
  <c r="B26" i="31"/>
  <c r="O25" i="31"/>
  <c r="N25" i="31"/>
  <c r="N24" i="31" s="1" a="1"/>
  <c r="N24" i="31" s="1"/>
  <c r="M25" i="31"/>
  <c r="M24" i="31" s="1" a="1"/>
  <c r="M24" i="31" s="1"/>
  <c r="L25" i="31"/>
  <c r="L24" i="31" s="1" a="1"/>
  <c r="L24" i="31" s="1"/>
  <c r="K25" i="31"/>
  <c r="J25" i="31"/>
  <c r="J24" i="31" s="1" a="1"/>
  <c r="J24" i="31" s="1"/>
  <c r="I25" i="31"/>
  <c r="H25" i="31"/>
  <c r="G25" i="31"/>
  <c r="F25" i="31"/>
  <c r="F24" i="31" s="1" a="1"/>
  <c r="F24" i="31" s="1"/>
  <c r="E25" i="31"/>
  <c r="D25" i="31"/>
  <c r="B25" i="31"/>
  <c r="K24" i="31" a="1"/>
  <c r="K24" i="31" s="1"/>
  <c r="I24" i="31" a="1"/>
  <c r="I24" i="31" s="1"/>
  <c r="E24" i="31" a="1"/>
  <c r="E24" i="31" s="1"/>
  <c r="D24" i="31" a="1"/>
  <c r="D24" i="31" s="1"/>
  <c r="I22" i="31"/>
  <c r="Q19" i="31"/>
  <c r="Q17" i="31" s="1"/>
  <c r="B19" i="31"/>
  <c r="Q18" i="31"/>
  <c r="B18" i="31"/>
  <c r="O17" i="31"/>
  <c r="N17" i="31"/>
  <c r="M17" i="31"/>
  <c r="L17" i="31"/>
  <c r="K17" i="31"/>
  <c r="J17" i="31"/>
  <c r="I17" i="31"/>
  <c r="H17" i="31"/>
  <c r="G17" i="31"/>
  <c r="F17" i="31"/>
  <c r="E17" i="31"/>
  <c r="D17" i="31"/>
  <c r="M15" i="31"/>
  <c r="L15" i="31"/>
  <c r="K15" i="31"/>
  <c r="J15" i="31"/>
  <c r="I15" i="31"/>
  <c r="H15" i="31"/>
  <c r="G15" i="31"/>
  <c r="F15" i="31"/>
  <c r="E15" i="31"/>
  <c r="D15" i="31"/>
  <c r="Q15" i="31" s="1"/>
  <c r="B15" i="31"/>
  <c r="M14" i="31"/>
  <c r="L14" i="31"/>
  <c r="K14" i="31"/>
  <c r="J14" i="31"/>
  <c r="I14" i="31"/>
  <c r="H14" i="31"/>
  <c r="G14" i="31"/>
  <c r="F14" i="31"/>
  <c r="E14" i="31"/>
  <c r="D14" i="31"/>
  <c r="B14" i="31"/>
  <c r="M13" i="31"/>
  <c r="L13" i="31"/>
  <c r="K13" i="31"/>
  <c r="J13" i="31"/>
  <c r="I13" i="31"/>
  <c r="H13" i="31"/>
  <c r="G13" i="31"/>
  <c r="F13" i="31"/>
  <c r="E13" i="31"/>
  <c r="D13" i="31"/>
  <c r="B13" i="31"/>
  <c r="M12" i="31"/>
  <c r="L12" i="31"/>
  <c r="K12" i="31"/>
  <c r="J12" i="31"/>
  <c r="I12" i="31"/>
  <c r="H12" i="31"/>
  <c r="G12" i="31"/>
  <c r="F12" i="31"/>
  <c r="E12" i="31"/>
  <c r="D12" i="31"/>
  <c r="B12" i="31"/>
  <c r="M11" i="31"/>
  <c r="L11" i="31"/>
  <c r="L10" i="31" s="1"/>
  <c r="L21" i="31" s="1"/>
  <c r="K11" i="31"/>
  <c r="K10" i="31" s="1"/>
  <c r="K21" i="31" s="1"/>
  <c r="J11" i="31"/>
  <c r="I11" i="31"/>
  <c r="I10" i="31" s="1"/>
  <c r="I21" i="31" s="1"/>
  <c r="H11" i="31"/>
  <c r="G11" i="31"/>
  <c r="F11" i="31"/>
  <c r="E11" i="31"/>
  <c r="D11" i="31"/>
  <c r="B11" i="31"/>
  <c r="O10" i="31"/>
  <c r="O21" i="31" s="1"/>
  <c r="N10" i="31"/>
  <c r="N21" i="31" s="1"/>
  <c r="J10" i="31"/>
  <c r="J21" i="31" s="1"/>
  <c r="J22" i="31" s="1"/>
  <c r="G10" i="31"/>
  <c r="G21" i="31" s="1"/>
  <c r="F10" i="31"/>
  <c r="F21" i="31" s="1"/>
  <c r="F22" i="31" s="1"/>
  <c r="O8" i="31"/>
  <c r="N8" i="31"/>
  <c r="M8" i="31"/>
  <c r="L8" i="31"/>
  <c r="K8" i="31"/>
  <c r="J8" i="31"/>
  <c r="I8" i="31"/>
  <c r="H8" i="31"/>
  <c r="G8" i="31"/>
  <c r="F8" i="31"/>
  <c r="E8" i="31"/>
  <c r="D8" i="31"/>
  <c r="B39" i="30"/>
  <c r="B38" i="30"/>
  <c r="G34" i="30"/>
  <c r="E34" i="30"/>
  <c r="D34" i="30"/>
  <c r="G33" i="30"/>
  <c r="E33" i="30"/>
  <c r="D33" i="30"/>
  <c r="G28" i="30"/>
  <c r="E28" i="30"/>
  <c r="D28" i="30"/>
  <c r="G23" i="30"/>
  <c r="E23" i="30"/>
  <c r="D23" i="30"/>
  <c r="G21" i="30"/>
  <c r="E21" i="30"/>
  <c r="D21" i="30"/>
  <c r="B21" i="30"/>
  <c r="G20" i="30"/>
  <c r="E20" i="30"/>
  <c r="D20" i="30"/>
  <c r="B20" i="30"/>
  <c r="G19" i="30"/>
  <c r="E19" i="30"/>
  <c r="D19" i="30"/>
  <c r="G14" i="30"/>
  <c r="E14" i="30"/>
  <c r="D14" i="30"/>
  <c r="B14" i="30"/>
  <c r="G13" i="30"/>
  <c r="E13" i="30"/>
  <c r="D13" i="30"/>
  <c r="G11" i="30"/>
  <c r="E11" i="30"/>
  <c r="D11" i="30"/>
  <c r="B11" i="30"/>
  <c r="G10" i="30"/>
  <c r="E10" i="30"/>
  <c r="D10" i="30"/>
  <c r="D16" i="30" s="1"/>
  <c r="E8" i="30"/>
  <c r="D8" i="30"/>
  <c r="B39" i="29"/>
  <c r="B38" i="29"/>
  <c r="G34" i="29"/>
  <c r="E34" i="29"/>
  <c r="D34" i="29"/>
  <c r="G33" i="29"/>
  <c r="E33" i="29"/>
  <c r="D33" i="29"/>
  <c r="G28" i="29"/>
  <c r="E28" i="29"/>
  <c r="D28" i="29"/>
  <c r="G23" i="29"/>
  <c r="E23" i="29"/>
  <c r="D23" i="29"/>
  <c r="G21" i="29"/>
  <c r="E21" i="29"/>
  <c r="D21" i="29"/>
  <c r="B21" i="29"/>
  <c r="G20" i="29"/>
  <c r="E20" i="29"/>
  <c r="D20" i="29"/>
  <c r="B20" i="29"/>
  <c r="G19" i="29"/>
  <c r="E19" i="29"/>
  <c r="D19" i="29"/>
  <c r="G14" i="29"/>
  <c r="E14" i="29"/>
  <c r="D14" i="29"/>
  <c r="B14" i="29"/>
  <c r="G13" i="29"/>
  <c r="E13" i="29"/>
  <c r="D13" i="29"/>
  <c r="G11" i="29"/>
  <c r="E11" i="29"/>
  <c r="D11" i="29"/>
  <c r="B11" i="29"/>
  <c r="G10" i="29"/>
  <c r="E10" i="29"/>
  <c r="E16" i="29" s="1"/>
  <c r="D10" i="29"/>
  <c r="E8" i="29"/>
  <c r="D8" i="29"/>
  <c r="Q122" i="28"/>
  <c r="M117" i="28"/>
  <c r="L117" i="28"/>
  <c r="K117" i="28"/>
  <c r="J117" i="28"/>
  <c r="I117" i="28"/>
  <c r="H117" i="28"/>
  <c r="G117" i="28"/>
  <c r="F117" i="28"/>
  <c r="Q117" i="28" s="1"/>
  <c r="E117" i="28"/>
  <c r="D117" i="28"/>
  <c r="Q115" i="28"/>
  <c r="B115" i="28"/>
  <c r="O114" i="28"/>
  <c r="N114" i="28"/>
  <c r="M114" i="28"/>
  <c r="L114" i="28"/>
  <c r="K114" i="28"/>
  <c r="J114" i="28"/>
  <c r="I114" i="28"/>
  <c r="H114" i="28"/>
  <c r="G114" i="28"/>
  <c r="F114" i="28"/>
  <c r="E114" i="28"/>
  <c r="D114" i="28"/>
  <c r="B114" i="28"/>
  <c r="Q113" i="28"/>
  <c r="B113" i="28"/>
  <c r="Q112" i="28"/>
  <c r="B112" i="28"/>
  <c r="O111" i="28"/>
  <c r="N111" i="28"/>
  <c r="M111" i="28"/>
  <c r="L111" i="28"/>
  <c r="K111" i="28"/>
  <c r="J111" i="28"/>
  <c r="I111" i="28"/>
  <c r="H111" i="28"/>
  <c r="G111" i="28"/>
  <c r="Q111" i="28" s="1"/>
  <c r="F111" i="28"/>
  <c r="E111" i="28"/>
  <c r="D111" i="28"/>
  <c r="B111" i="28"/>
  <c r="Q110" i="28"/>
  <c r="B110" i="28"/>
  <c r="O109" i="28"/>
  <c r="N109" i="28"/>
  <c r="M109" i="28"/>
  <c r="L109" i="28"/>
  <c r="K109" i="28"/>
  <c r="J109" i="28"/>
  <c r="I109" i="28"/>
  <c r="H109" i="28"/>
  <c r="G109" i="28"/>
  <c r="Q109" i="28" s="1"/>
  <c r="F109" i="28"/>
  <c r="E109" i="28"/>
  <c r="D109" i="28"/>
  <c r="B109" i="28"/>
  <c r="Q108" i="28"/>
  <c r="B108" i="28"/>
  <c r="O107" i="28"/>
  <c r="N107" i="28"/>
  <c r="M107" i="28"/>
  <c r="L107" i="28"/>
  <c r="K107" i="28"/>
  <c r="J107" i="28"/>
  <c r="I107" i="28"/>
  <c r="H107" i="28"/>
  <c r="G107" i="28"/>
  <c r="Q107" i="28" s="1"/>
  <c r="F107" i="28"/>
  <c r="E107" i="28"/>
  <c r="D107" i="28"/>
  <c r="B107" i="28"/>
  <c r="Q106" i="28"/>
  <c r="B106" i="28"/>
  <c r="Q105" i="28"/>
  <c r="B105" i="28"/>
  <c r="Q104" i="28"/>
  <c r="B104" i="28"/>
  <c r="Q103" i="28"/>
  <c r="B103" i="28"/>
  <c r="Q102" i="28"/>
  <c r="B102" i="28"/>
  <c r="O101" i="28"/>
  <c r="N101" i="28"/>
  <c r="M101" i="28"/>
  <c r="L101" i="28"/>
  <c r="K101" i="28"/>
  <c r="J101" i="28"/>
  <c r="I101" i="28"/>
  <c r="H101" i="28"/>
  <c r="G101" i="28"/>
  <c r="Q101" i="28" s="1"/>
  <c r="F101" i="28"/>
  <c r="E101" i="28"/>
  <c r="D101" i="28"/>
  <c r="B101" i="28"/>
  <c r="Q100" i="28"/>
  <c r="B100" i="28"/>
  <c r="Q99" i="28"/>
  <c r="B99" i="28"/>
  <c r="O98" i="28"/>
  <c r="N98" i="28"/>
  <c r="M98" i="28"/>
  <c r="L98" i="28"/>
  <c r="K98" i="28"/>
  <c r="J98" i="28"/>
  <c r="I98" i="28"/>
  <c r="H98" i="28"/>
  <c r="G98" i="28"/>
  <c r="F98" i="28"/>
  <c r="E98" i="28"/>
  <c r="D98" i="28"/>
  <c r="B98" i="28"/>
  <c r="Q97" i="28"/>
  <c r="B97" i="28"/>
  <c r="Q96" i="28"/>
  <c r="B96" i="28"/>
  <c r="O95" i="28"/>
  <c r="N95" i="28"/>
  <c r="M95" i="28"/>
  <c r="L95" i="28"/>
  <c r="K95" i="28"/>
  <c r="J95" i="28"/>
  <c r="I95" i="28"/>
  <c r="H95" i="28"/>
  <c r="G95" i="28"/>
  <c r="F95" i="28"/>
  <c r="E95" i="28"/>
  <c r="D95" i="28"/>
  <c r="B95" i="28"/>
  <c r="Q94" i="28"/>
  <c r="B94" i="28"/>
  <c r="Q93" i="28"/>
  <c r="B93" i="28"/>
  <c r="Q92" i="28"/>
  <c r="B92" i="28"/>
  <c r="O91" i="28"/>
  <c r="N91" i="28"/>
  <c r="M91" i="28"/>
  <c r="L91" i="28"/>
  <c r="K91" i="28"/>
  <c r="J91" i="28"/>
  <c r="I91" i="28"/>
  <c r="H91" i="28"/>
  <c r="G91" i="28"/>
  <c r="Q91" i="28" s="1"/>
  <c r="F91" i="28"/>
  <c r="E91" i="28"/>
  <c r="D91" i="28"/>
  <c r="B91" i="28"/>
  <c r="Q90" i="28"/>
  <c r="B90" i="28"/>
  <c r="Q89" i="28"/>
  <c r="B89" i="28"/>
  <c r="O88" i="28"/>
  <c r="N88" i="28"/>
  <c r="M88" i="28"/>
  <c r="L88" i="28"/>
  <c r="K88" i="28"/>
  <c r="J88" i="28"/>
  <c r="I88" i="28"/>
  <c r="H88" i="28"/>
  <c r="Q88" i="28" s="1"/>
  <c r="G88" i="28"/>
  <c r="F88" i="28"/>
  <c r="E88" i="28"/>
  <c r="D88" i="28"/>
  <c r="B88" i="28"/>
  <c r="Q87" i="28"/>
  <c r="B87" i="28"/>
  <c r="O86" i="28"/>
  <c r="N86" i="28"/>
  <c r="M86" i="28"/>
  <c r="L86" i="28"/>
  <c r="K86" i="28"/>
  <c r="J86" i="28"/>
  <c r="I86" i="28"/>
  <c r="H86" i="28"/>
  <c r="Q86" i="28" s="1"/>
  <c r="G86" i="28"/>
  <c r="F86" i="28"/>
  <c r="E86" i="28"/>
  <c r="D86" i="28"/>
  <c r="B86" i="28"/>
  <c r="Q85" i="28"/>
  <c r="B85" i="28"/>
  <c r="O84" i="28"/>
  <c r="N84" i="28"/>
  <c r="M84" i="28"/>
  <c r="L84" i="28"/>
  <c r="K84" i="28"/>
  <c r="J84" i="28"/>
  <c r="J41" i="28" s="1" a="1"/>
  <c r="J41" i="28" s="1"/>
  <c r="I84" i="28"/>
  <c r="H84" i="28"/>
  <c r="G84" i="28"/>
  <c r="F84" i="28"/>
  <c r="E84" i="28"/>
  <c r="D84" i="28"/>
  <c r="B84" i="28"/>
  <c r="Q83" i="28"/>
  <c r="B83" i="28"/>
  <c r="O82" i="28"/>
  <c r="N82" i="28"/>
  <c r="M82" i="28"/>
  <c r="L82" i="28"/>
  <c r="K82" i="28"/>
  <c r="J82" i="28"/>
  <c r="I82" i="28"/>
  <c r="H82" i="28"/>
  <c r="G82" i="28"/>
  <c r="F82" i="28"/>
  <c r="E82" i="28"/>
  <c r="D82" i="28"/>
  <c r="B82" i="28"/>
  <c r="Q81" i="28"/>
  <c r="B81" i="28"/>
  <c r="O80" i="28"/>
  <c r="N80" i="28"/>
  <c r="M80" i="28"/>
  <c r="L80" i="28"/>
  <c r="K80" i="28"/>
  <c r="J80" i="28"/>
  <c r="I80" i="28"/>
  <c r="H80" i="28"/>
  <c r="Q80" i="28" s="1"/>
  <c r="G80" i="28"/>
  <c r="F80" i="28"/>
  <c r="E80" i="28"/>
  <c r="D80" i="28"/>
  <c r="B80" i="28"/>
  <c r="Q79" i="28"/>
  <c r="B79" i="28"/>
  <c r="O78" i="28"/>
  <c r="N78" i="28"/>
  <c r="M78" i="28"/>
  <c r="L78" i="28"/>
  <c r="K78" i="28"/>
  <c r="J78" i="28"/>
  <c r="I78" i="28"/>
  <c r="H78" i="28"/>
  <c r="G78" i="28"/>
  <c r="F78" i="28"/>
  <c r="E78" i="28"/>
  <c r="D78" i="28"/>
  <c r="B78" i="28"/>
  <c r="Q77" i="28"/>
  <c r="B77" i="28"/>
  <c r="Q76" i="28"/>
  <c r="B76" i="28"/>
  <c r="O75" i="28"/>
  <c r="N75" i="28"/>
  <c r="M75" i="28"/>
  <c r="L75" i="28"/>
  <c r="K75" i="28"/>
  <c r="J75" i="28"/>
  <c r="I75" i="28"/>
  <c r="H75" i="28"/>
  <c r="G75" i="28"/>
  <c r="F75" i="28"/>
  <c r="E75" i="28"/>
  <c r="D75" i="28"/>
  <c r="Q75" i="28" s="1"/>
  <c r="B75" i="28"/>
  <c r="Q74" i="28"/>
  <c r="B74" i="28"/>
  <c r="O73" i="28"/>
  <c r="N73" i="28"/>
  <c r="M73" i="28"/>
  <c r="L73" i="28"/>
  <c r="K73" i="28"/>
  <c r="J73" i="28"/>
  <c r="I73" i="28"/>
  <c r="H73" i="28"/>
  <c r="G73" i="28"/>
  <c r="F73" i="28"/>
  <c r="E73" i="28"/>
  <c r="D73" i="28"/>
  <c r="B73" i="28"/>
  <c r="Q72" i="28"/>
  <c r="B72" i="28"/>
  <c r="O71" i="28"/>
  <c r="N71" i="28"/>
  <c r="M71" i="28"/>
  <c r="L71" i="28"/>
  <c r="K71" i="28"/>
  <c r="J71" i="28"/>
  <c r="I71" i="28"/>
  <c r="H71" i="28"/>
  <c r="G71" i="28"/>
  <c r="F71" i="28"/>
  <c r="E71" i="28"/>
  <c r="D71" i="28"/>
  <c r="B71" i="28"/>
  <c r="Q70" i="28"/>
  <c r="B70" i="28"/>
  <c r="O69" i="28"/>
  <c r="N69" i="28"/>
  <c r="M69" i="28"/>
  <c r="L69" i="28"/>
  <c r="K69" i="28"/>
  <c r="J69" i="28"/>
  <c r="I69" i="28"/>
  <c r="H69" i="28"/>
  <c r="G69" i="28"/>
  <c r="F69" i="28"/>
  <c r="E69" i="28"/>
  <c r="D69" i="28"/>
  <c r="B69" i="28"/>
  <c r="Q68" i="28"/>
  <c r="B68" i="28"/>
  <c r="O67" i="28"/>
  <c r="N67" i="28"/>
  <c r="M67" i="28"/>
  <c r="L67" i="28"/>
  <c r="K67" i="28"/>
  <c r="J67" i="28"/>
  <c r="I67" i="28"/>
  <c r="H67" i="28"/>
  <c r="G67" i="28"/>
  <c r="F67" i="28"/>
  <c r="E67" i="28"/>
  <c r="D67" i="28"/>
  <c r="Q67" i="28" s="1"/>
  <c r="B67" i="28"/>
  <c r="Q66" i="28"/>
  <c r="B66" i="28"/>
  <c r="O65" i="28"/>
  <c r="N65" i="28"/>
  <c r="M65" i="28"/>
  <c r="L65" i="28"/>
  <c r="K65" i="28"/>
  <c r="J65" i="28"/>
  <c r="I65" i="28"/>
  <c r="H65" i="28"/>
  <c r="G65" i="28"/>
  <c r="F65" i="28"/>
  <c r="E65" i="28"/>
  <c r="D65" i="28"/>
  <c r="B65" i="28"/>
  <c r="Q64" i="28"/>
  <c r="B64" i="28"/>
  <c r="O63" i="28"/>
  <c r="N63" i="28"/>
  <c r="M63" i="28"/>
  <c r="L63" i="28"/>
  <c r="K63" i="28"/>
  <c r="J63" i="28"/>
  <c r="I63" i="28"/>
  <c r="H63" i="28"/>
  <c r="G63" i="28"/>
  <c r="F63" i="28"/>
  <c r="E63" i="28"/>
  <c r="D63" i="28"/>
  <c r="Q63" i="28" s="1"/>
  <c r="B63" i="28"/>
  <c r="Q62" i="28"/>
  <c r="B62" i="28"/>
  <c r="Q61" i="28"/>
  <c r="B61" i="28"/>
  <c r="Q60" i="28"/>
  <c r="B60" i="28"/>
  <c r="Q59" i="28"/>
  <c r="B59" i="28"/>
  <c r="Q58" i="28"/>
  <c r="B58" i="28"/>
  <c r="Q57" i="28"/>
  <c r="B57" i="28"/>
  <c r="Q56" i="28"/>
  <c r="B56" i="28"/>
  <c r="Q55" i="28"/>
  <c r="B55" i="28"/>
  <c r="Q54" i="28"/>
  <c r="B54" i="28"/>
  <c r="Q53" i="28"/>
  <c r="B53" i="28"/>
  <c r="O52" i="28"/>
  <c r="N52" i="28"/>
  <c r="M52" i="28"/>
  <c r="L52" i="28"/>
  <c r="K52" i="28"/>
  <c r="J52" i="28"/>
  <c r="I52" i="28"/>
  <c r="H52" i="28"/>
  <c r="G52" i="28"/>
  <c r="F52" i="28"/>
  <c r="E52" i="28"/>
  <c r="D52" i="28"/>
  <c r="B52" i="28"/>
  <c r="Q51" i="28"/>
  <c r="B51" i="28"/>
  <c r="Q50" i="28"/>
  <c r="B50" i="28"/>
  <c r="Q49" i="28"/>
  <c r="B49" i="28"/>
  <c r="Q48" i="28"/>
  <c r="B48" i="28"/>
  <c r="Q47" i="28"/>
  <c r="B47" i="28"/>
  <c r="Q46" i="28"/>
  <c r="B46" i="28"/>
  <c r="Q45" i="28"/>
  <c r="B45" i="28"/>
  <c r="Q44" i="28"/>
  <c r="B44" i="28"/>
  <c r="Q43" i="28"/>
  <c r="B43" i="28"/>
  <c r="O42" i="28"/>
  <c r="N42" i="28"/>
  <c r="M42" i="28"/>
  <c r="L42" i="28"/>
  <c r="K42" i="28"/>
  <c r="J42" i="28"/>
  <c r="I42" i="28"/>
  <c r="H42" i="28"/>
  <c r="G42" i="28"/>
  <c r="F42" i="28"/>
  <c r="E42" i="28"/>
  <c r="E41" i="28" s="1" a="1"/>
  <c r="E41" i="28" s="1"/>
  <c r="D42" i="28"/>
  <c r="B42" i="28"/>
  <c r="N41" i="28" a="1"/>
  <c r="N41" i="28" s="1"/>
  <c r="F41" i="28" a="1"/>
  <c r="F41" i="28" s="1"/>
  <c r="J38" i="28"/>
  <c r="Q36" i="28"/>
  <c r="B36" i="28"/>
  <c r="Q35" i="28"/>
  <c r="B35" i="28"/>
  <c r="Q34" i="28"/>
  <c r="B34" i="28"/>
  <c r="Q33" i="28"/>
  <c r="B33" i="28"/>
  <c r="Q32" i="28"/>
  <c r="B32" i="28"/>
  <c r="Q31" i="28"/>
  <c r="B31" i="28"/>
  <c r="Q30" i="28"/>
  <c r="B30" i="28"/>
  <c r="Q29" i="28"/>
  <c r="B29" i="28"/>
  <c r="Q28" i="28"/>
  <c r="B28" i="28"/>
  <c r="Q27" i="28"/>
  <c r="B27" i="28"/>
  <c r="Q26" i="28"/>
  <c r="B26" i="28"/>
  <c r="Q25" i="28"/>
  <c r="B25" i="28"/>
  <c r="Q24" i="28"/>
  <c r="B24" i="28"/>
  <c r="Q23" i="28"/>
  <c r="B23" i="28"/>
  <c r="Q22" i="28"/>
  <c r="B22" i="28"/>
  <c r="Q21" i="28"/>
  <c r="B21" i="28"/>
  <c r="Q20" i="28"/>
  <c r="B20" i="28"/>
  <c r="Q19" i="28"/>
  <c r="B19" i="28"/>
  <c r="Q18" i="28"/>
  <c r="B18" i="28"/>
  <c r="O17" i="28"/>
  <c r="N17" i="28"/>
  <c r="M17" i="28"/>
  <c r="L17" i="28"/>
  <c r="K17" i="28"/>
  <c r="J17" i="28"/>
  <c r="I17" i="28"/>
  <c r="H17" i="28"/>
  <c r="G17" i="28"/>
  <c r="F17" i="28"/>
  <c r="E17" i="28"/>
  <c r="D17" i="28"/>
  <c r="M15" i="28"/>
  <c r="L15" i="28"/>
  <c r="K15" i="28"/>
  <c r="J15" i="28"/>
  <c r="I15" i="28"/>
  <c r="H15" i="28"/>
  <c r="G15" i="28"/>
  <c r="F15" i="28"/>
  <c r="E15" i="28"/>
  <c r="D15" i="28"/>
  <c r="B15" i="28"/>
  <c r="M14" i="28"/>
  <c r="M10" i="28" s="1"/>
  <c r="M38" i="28" s="1"/>
  <c r="L14" i="28"/>
  <c r="K14" i="28"/>
  <c r="J14" i="28"/>
  <c r="I14" i="28"/>
  <c r="H14" i="28"/>
  <c r="G14" i="28"/>
  <c r="F14" i="28"/>
  <c r="E14" i="28"/>
  <c r="E10" i="28" s="1"/>
  <c r="E38" i="28" s="1"/>
  <c r="D14" i="28"/>
  <c r="B14" i="28"/>
  <c r="M13" i="28"/>
  <c r="L13" i="28"/>
  <c r="K13" i="28"/>
  <c r="J13" i="28"/>
  <c r="I13" i="28"/>
  <c r="H13" i="28"/>
  <c r="G13" i="28"/>
  <c r="F13" i="28"/>
  <c r="E13" i="28"/>
  <c r="D13" i="28"/>
  <c r="Q13" i="28" s="1"/>
  <c r="B13" i="28"/>
  <c r="M12" i="28"/>
  <c r="L12" i="28"/>
  <c r="K12" i="28"/>
  <c r="J12" i="28"/>
  <c r="I12" i="28"/>
  <c r="H12" i="28"/>
  <c r="G12" i="28"/>
  <c r="F12" i="28"/>
  <c r="E12" i="28"/>
  <c r="D12" i="28"/>
  <c r="B12" i="28"/>
  <c r="M11" i="28"/>
  <c r="L11" i="28"/>
  <c r="K11" i="28"/>
  <c r="J11" i="28"/>
  <c r="I11" i="28"/>
  <c r="H11" i="28"/>
  <c r="G11" i="28"/>
  <c r="F11" i="28"/>
  <c r="E11" i="28"/>
  <c r="D11" i="28"/>
  <c r="B11" i="28"/>
  <c r="O10" i="28"/>
  <c r="O38" i="28" s="1"/>
  <c r="N10" i="28"/>
  <c r="J10" i="28"/>
  <c r="G10" i="28"/>
  <c r="G38" i="28" s="1"/>
  <c r="F10" i="28"/>
  <c r="O8" i="28"/>
  <c r="N8" i="28"/>
  <c r="M8" i="28"/>
  <c r="L8" i="28"/>
  <c r="K8" i="28"/>
  <c r="J8" i="28"/>
  <c r="I8" i="28"/>
  <c r="H8" i="28"/>
  <c r="G8" i="28"/>
  <c r="F8" i="28"/>
  <c r="E8" i="28"/>
  <c r="D8" i="28"/>
  <c r="B39" i="27"/>
  <c r="B38" i="27"/>
  <c r="G34" i="27"/>
  <c r="E34" i="27"/>
  <c r="D34" i="27"/>
  <c r="G33" i="27"/>
  <c r="E33" i="27"/>
  <c r="D33" i="27"/>
  <c r="G28" i="27"/>
  <c r="E28" i="27"/>
  <c r="D28" i="27"/>
  <c r="G23" i="27"/>
  <c r="E23" i="27"/>
  <c r="D23" i="27"/>
  <c r="G21" i="27"/>
  <c r="E21" i="27"/>
  <c r="D21" i="27"/>
  <c r="B21" i="27"/>
  <c r="G20" i="27"/>
  <c r="E20" i="27"/>
  <c r="D20" i="27"/>
  <c r="B20" i="27"/>
  <c r="G19" i="27"/>
  <c r="E19" i="27"/>
  <c r="D19" i="27"/>
  <c r="G14" i="27"/>
  <c r="E14" i="27"/>
  <c r="D14" i="27"/>
  <c r="B14" i="27"/>
  <c r="G13" i="27"/>
  <c r="E13" i="27"/>
  <c r="D13" i="27"/>
  <c r="G11" i="27"/>
  <c r="E11" i="27"/>
  <c r="D11" i="27"/>
  <c r="B11" i="27"/>
  <c r="G10" i="27"/>
  <c r="E10" i="27"/>
  <c r="D10" i="27"/>
  <c r="E8" i="27"/>
  <c r="D8" i="27"/>
  <c r="B39" i="26"/>
  <c r="B38" i="26"/>
  <c r="G34" i="26"/>
  <c r="E34" i="26"/>
  <c r="D34" i="26"/>
  <c r="G33" i="26"/>
  <c r="E33" i="26"/>
  <c r="D33" i="26"/>
  <c r="G28" i="26"/>
  <c r="E28" i="26"/>
  <c r="D28" i="26"/>
  <c r="G23" i="26"/>
  <c r="E23" i="26"/>
  <c r="D23" i="26"/>
  <c r="G21" i="26"/>
  <c r="E21" i="26"/>
  <c r="D21" i="26"/>
  <c r="B21" i="26"/>
  <c r="G20" i="26"/>
  <c r="E20" i="26"/>
  <c r="D20" i="26"/>
  <c r="B20" i="26"/>
  <c r="G19" i="26"/>
  <c r="E19" i="26"/>
  <c r="D19" i="26"/>
  <c r="G14" i="26"/>
  <c r="E14" i="26"/>
  <c r="D14" i="26"/>
  <c r="B14" i="26"/>
  <c r="G13" i="26"/>
  <c r="E13" i="26"/>
  <c r="D13" i="26"/>
  <c r="G11" i="26"/>
  <c r="E11" i="26"/>
  <c r="D11" i="26"/>
  <c r="B11" i="26"/>
  <c r="G10" i="26"/>
  <c r="E10" i="26"/>
  <c r="D10" i="26"/>
  <c r="E8" i="26"/>
  <c r="D8" i="26"/>
  <c r="Q91" i="25"/>
  <c r="M86" i="25"/>
  <c r="L86" i="25"/>
  <c r="K86" i="25"/>
  <c r="J86" i="25"/>
  <c r="I86" i="25"/>
  <c r="H86" i="25"/>
  <c r="G86" i="25"/>
  <c r="F86" i="25"/>
  <c r="Q86" i="25" s="1"/>
  <c r="E86" i="25"/>
  <c r="D86" i="25"/>
  <c r="Q84" i="25"/>
  <c r="B84" i="25"/>
  <c r="O83" i="25"/>
  <c r="N83" i="25"/>
  <c r="M83" i="25"/>
  <c r="L83" i="25"/>
  <c r="K83" i="25"/>
  <c r="J83" i="25"/>
  <c r="I83" i="25"/>
  <c r="H83" i="25"/>
  <c r="G83" i="25"/>
  <c r="F83" i="25"/>
  <c r="E83" i="25"/>
  <c r="D83" i="25"/>
  <c r="Q83" i="25" s="1"/>
  <c r="B83" i="25"/>
  <c r="Q82" i="25"/>
  <c r="B82" i="25"/>
  <c r="Q81" i="25"/>
  <c r="B81" i="25"/>
  <c r="O80" i="25"/>
  <c r="N80" i="25"/>
  <c r="N32" i="25" s="1" a="1"/>
  <c r="M80" i="25"/>
  <c r="L80" i="25"/>
  <c r="K80" i="25"/>
  <c r="J80" i="25"/>
  <c r="I80" i="25"/>
  <c r="H80" i="25"/>
  <c r="G80" i="25"/>
  <c r="F80" i="25"/>
  <c r="Q80" i="25" s="1"/>
  <c r="E80" i="25"/>
  <c r="D80" i="25"/>
  <c r="B80" i="25"/>
  <c r="Q79" i="25"/>
  <c r="B79" i="25"/>
  <c r="Q78" i="25"/>
  <c r="B78" i="25"/>
  <c r="O77" i="25"/>
  <c r="N77" i="25"/>
  <c r="M77" i="25"/>
  <c r="L77" i="25"/>
  <c r="K77" i="25"/>
  <c r="J77" i="25"/>
  <c r="I77" i="25"/>
  <c r="H77" i="25"/>
  <c r="Q77" i="25" s="1"/>
  <c r="G77" i="25"/>
  <c r="F77" i="25"/>
  <c r="E77" i="25"/>
  <c r="D77" i="25"/>
  <c r="B77" i="25"/>
  <c r="Q76" i="25"/>
  <c r="B76" i="25"/>
  <c r="Q75" i="25"/>
  <c r="B75" i="25"/>
  <c r="O74" i="25"/>
  <c r="N74" i="25"/>
  <c r="M74" i="25"/>
  <c r="L74" i="25"/>
  <c r="K74" i="25"/>
  <c r="J74" i="25"/>
  <c r="J32" i="25" s="1" a="1"/>
  <c r="J32" i="25" s="1"/>
  <c r="I74" i="25"/>
  <c r="H74" i="25"/>
  <c r="G74" i="25"/>
  <c r="F74" i="25"/>
  <c r="E74" i="25"/>
  <c r="D74" i="25"/>
  <c r="B74" i="25"/>
  <c r="Q73" i="25"/>
  <c r="B73" i="25"/>
  <c r="Q72" i="25"/>
  <c r="B72" i="25"/>
  <c r="Q71" i="25"/>
  <c r="B71" i="25"/>
  <c r="O70" i="25"/>
  <c r="N70" i="25"/>
  <c r="M70" i="25"/>
  <c r="L70" i="25"/>
  <c r="K70" i="25"/>
  <c r="J70" i="25"/>
  <c r="I70" i="25"/>
  <c r="H70" i="25"/>
  <c r="G70" i="25"/>
  <c r="F70" i="25"/>
  <c r="Q70" i="25" s="1"/>
  <c r="E70" i="25"/>
  <c r="D70" i="25"/>
  <c r="B70" i="25"/>
  <c r="Q69" i="25"/>
  <c r="B69" i="25"/>
  <c r="O68" i="25"/>
  <c r="N68" i="25"/>
  <c r="M68" i="25"/>
  <c r="L68" i="25"/>
  <c r="K68" i="25"/>
  <c r="J68" i="25"/>
  <c r="I68" i="25"/>
  <c r="H68" i="25"/>
  <c r="G68" i="25"/>
  <c r="F68" i="25"/>
  <c r="Q68" i="25" s="1"/>
  <c r="E68" i="25"/>
  <c r="D68" i="25"/>
  <c r="B68" i="25"/>
  <c r="Q67" i="25"/>
  <c r="B67" i="25"/>
  <c r="O66" i="25"/>
  <c r="N66" i="25"/>
  <c r="M66" i="25"/>
  <c r="L66" i="25"/>
  <c r="K66" i="25"/>
  <c r="J66" i="25"/>
  <c r="I66" i="25"/>
  <c r="H66" i="25"/>
  <c r="G66" i="25"/>
  <c r="F66" i="25"/>
  <c r="Q66" i="25" s="1"/>
  <c r="E66" i="25"/>
  <c r="D66" i="25"/>
  <c r="B66" i="25"/>
  <c r="Q65" i="25"/>
  <c r="B65" i="25"/>
  <c r="Q64" i="25"/>
  <c r="B64" i="25"/>
  <c r="O63" i="25"/>
  <c r="N63" i="25"/>
  <c r="M63" i="25"/>
  <c r="L63" i="25"/>
  <c r="K63" i="25"/>
  <c r="J63" i="25"/>
  <c r="I63" i="25"/>
  <c r="H63" i="25"/>
  <c r="Q63" i="25" s="1"/>
  <c r="G63" i="25"/>
  <c r="F63" i="25"/>
  <c r="E63" i="25"/>
  <c r="D63" i="25"/>
  <c r="B63" i="25"/>
  <c r="Q62" i="25"/>
  <c r="B62" i="25"/>
  <c r="O61" i="25"/>
  <c r="N61" i="25"/>
  <c r="M61" i="25"/>
  <c r="L61" i="25"/>
  <c r="K61" i="25"/>
  <c r="J61" i="25"/>
  <c r="I61" i="25"/>
  <c r="H61" i="25"/>
  <c r="Q61" i="25" s="1"/>
  <c r="G61" i="25"/>
  <c r="F61" i="25"/>
  <c r="E61" i="25"/>
  <c r="D61" i="25"/>
  <c r="B61" i="25"/>
  <c r="Q60" i="25"/>
  <c r="B60" i="25"/>
  <c r="O59" i="25"/>
  <c r="N59" i="25"/>
  <c r="M59" i="25"/>
  <c r="L59" i="25"/>
  <c r="K59" i="25"/>
  <c r="J59" i="25"/>
  <c r="I59" i="25"/>
  <c r="H59" i="25"/>
  <c r="Q59" i="25" s="1"/>
  <c r="G59" i="25"/>
  <c r="F59" i="25"/>
  <c r="E59" i="25"/>
  <c r="D59" i="25"/>
  <c r="B59" i="25"/>
  <c r="Q58" i="25"/>
  <c r="B58" i="25"/>
  <c r="O57" i="25"/>
  <c r="N57" i="25"/>
  <c r="M57" i="25"/>
  <c r="L57" i="25"/>
  <c r="K57" i="25"/>
  <c r="J57" i="25"/>
  <c r="I57" i="25"/>
  <c r="H57" i="25"/>
  <c r="Q57" i="25" s="1"/>
  <c r="G57" i="25"/>
  <c r="F57" i="25"/>
  <c r="E57" i="25"/>
  <c r="D57" i="25"/>
  <c r="B57" i="25"/>
  <c r="Q56" i="25"/>
  <c r="B56" i="25"/>
  <c r="O55" i="25"/>
  <c r="N55" i="25"/>
  <c r="M55" i="25"/>
  <c r="L55" i="25"/>
  <c r="K55" i="25"/>
  <c r="J55" i="25"/>
  <c r="I55" i="25"/>
  <c r="H55" i="25"/>
  <c r="Q55" i="25" s="1"/>
  <c r="G55" i="25"/>
  <c r="F55" i="25"/>
  <c r="E55" i="25"/>
  <c r="D55" i="25"/>
  <c r="B55" i="25"/>
  <c r="Q54" i="25"/>
  <c r="B54" i="25"/>
  <c r="Q53" i="25"/>
  <c r="B53" i="25"/>
  <c r="Q52" i="25"/>
  <c r="B52" i="25"/>
  <c r="Q51" i="25"/>
  <c r="B51" i="25"/>
  <c r="Q50" i="25"/>
  <c r="B50" i="25"/>
  <c r="Q49" i="25"/>
  <c r="B49" i="25"/>
  <c r="Q48" i="25"/>
  <c r="B48" i="25"/>
  <c r="Q47" i="25"/>
  <c r="B47" i="25"/>
  <c r="Q46" i="25"/>
  <c r="B46" i="25"/>
  <c r="Q45" i="25"/>
  <c r="B45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Q44" i="25" s="1"/>
  <c r="B44" i="25"/>
  <c r="Q43" i="25"/>
  <c r="B43" i="25"/>
  <c r="Q42" i="25"/>
  <c r="B42" i="25"/>
  <c r="Q41" i="25"/>
  <c r="B41" i="25"/>
  <c r="Q40" i="25"/>
  <c r="B40" i="25"/>
  <c r="Q39" i="25"/>
  <c r="B39" i="25"/>
  <c r="Q38" i="25"/>
  <c r="B38" i="25"/>
  <c r="Q37" i="25"/>
  <c r="B37" i="25"/>
  <c r="Q36" i="25"/>
  <c r="B36" i="25"/>
  <c r="Q35" i="25"/>
  <c r="B35" i="25"/>
  <c r="Q34" i="25"/>
  <c r="B34" i="25"/>
  <c r="O33" i="25"/>
  <c r="N33" i="25"/>
  <c r="M33" i="25"/>
  <c r="M32" i="25" s="1" a="1"/>
  <c r="M32" i="25" s="1"/>
  <c r="L33" i="25"/>
  <c r="K33" i="25"/>
  <c r="J33" i="25"/>
  <c r="I33" i="25"/>
  <c r="H33" i="25"/>
  <c r="G33" i="25"/>
  <c r="F33" i="25"/>
  <c r="E33" i="25"/>
  <c r="E32" i="25" s="1" a="1"/>
  <c r="E32" i="25" s="1"/>
  <c r="D33" i="25"/>
  <c r="B33" i="25"/>
  <c r="N32" i="25"/>
  <c r="I32" i="25" a="1"/>
  <c r="I32" i="25" s="1"/>
  <c r="N30" i="25"/>
  <c r="E30" i="25"/>
  <c r="N29" i="25"/>
  <c r="Q27" i="25"/>
  <c r="B27" i="25"/>
  <c r="Q26" i="25"/>
  <c r="B26" i="25"/>
  <c r="Q25" i="25"/>
  <c r="B25" i="25"/>
  <c r="Q24" i="25"/>
  <c r="B24" i="25"/>
  <c r="Q23" i="25"/>
  <c r="B23" i="25"/>
  <c r="Q22" i="25"/>
  <c r="B22" i="25"/>
  <c r="Q21" i="25"/>
  <c r="B21" i="25"/>
  <c r="Q20" i="25"/>
  <c r="B20" i="25"/>
  <c r="Q19" i="25"/>
  <c r="B19" i="25"/>
  <c r="Q18" i="25"/>
  <c r="Q17" i="25" s="1"/>
  <c r="B18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M15" i="25"/>
  <c r="L15" i="25"/>
  <c r="K15" i="25"/>
  <c r="J15" i="25"/>
  <c r="I15" i="25"/>
  <c r="H15" i="25"/>
  <c r="G15" i="25"/>
  <c r="F15" i="25"/>
  <c r="Q15" i="25" s="1"/>
  <c r="E15" i="25"/>
  <c r="D15" i="25"/>
  <c r="B15" i="25"/>
  <c r="M14" i="25"/>
  <c r="L14" i="25"/>
  <c r="K14" i="25"/>
  <c r="K10" i="25" s="1"/>
  <c r="K29" i="25" s="1"/>
  <c r="J14" i="25"/>
  <c r="I14" i="25"/>
  <c r="H14" i="25"/>
  <c r="G14" i="25"/>
  <c r="F14" i="25"/>
  <c r="E14" i="25"/>
  <c r="D14" i="25"/>
  <c r="B14" i="25"/>
  <c r="M13" i="25"/>
  <c r="L13" i="25"/>
  <c r="K13" i="25"/>
  <c r="J13" i="25"/>
  <c r="I13" i="25"/>
  <c r="H13" i="25"/>
  <c r="G13" i="25"/>
  <c r="F13" i="25"/>
  <c r="E13" i="25"/>
  <c r="Q13" i="25" s="1"/>
  <c r="D13" i="25"/>
  <c r="B13" i="25"/>
  <c r="M12" i="25"/>
  <c r="L12" i="25"/>
  <c r="K12" i="25"/>
  <c r="J12" i="25"/>
  <c r="I12" i="25"/>
  <c r="H12" i="25"/>
  <c r="G12" i="25"/>
  <c r="F12" i="25"/>
  <c r="E12" i="25"/>
  <c r="D12" i="25"/>
  <c r="B12" i="25"/>
  <c r="M11" i="25"/>
  <c r="M10" i="25" s="1"/>
  <c r="M29" i="25" s="1"/>
  <c r="L11" i="25"/>
  <c r="K11" i="25"/>
  <c r="J11" i="25"/>
  <c r="I11" i="25"/>
  <c r="H11" i="25"/>
  <c r="G11" i="25"/>
  <c r="F11" i="25"/>
  <c r="F10" i="25" s="1"/>
  <c r="F29" i="25" s="1"/>
  <c r="E11" i="25"/>
  <c r="D11" i="25"/>
  <c r="B11" i="25"/>
  <c r="O10" i="25"/>
  <c r="O29" i="25" s="1"/>
  <c r="N10" i="25"/>
  <c r="L10" i="25"/>
  <c r="L29" i="25" s="1"/>
  <c r="L30" i="25" s="1"/>
  <c r="H10" i="25"/>
  <c r="H29" i="25" s="1"/>
  <c r="E10" i="25"/>
  <c r="E29" i="25" s="1"/>
  <c r="D10" i="25"/>
  <c r="O8" i="25"/>
  <c r="N8" i="25"/>
  <c r="M8" i="25"/>
  <c r="L8" i="25"/>
  <c r="K8" i="25"/>
  <c r="J8" i="25"/>
  <c r="I8" i="25"/>
  <c r="H8" i="25"/>
  <c r="G8" i="25"/>
  <c r="F8" i="25"/>
  <c r="E8" i="25"/>
  <c r="D8" i="25"/>
  <c r="B39" i="24"/>
  <c r="B38" i="24"/>
  <c r="G34" i="24"/>
  <c r="E34" i="24"/>
  <c r="D34" i="24"/>
  <c r="G33" i="24"/>
  <c r="E33" i="24"/>
  <c r="D33" i="24"/>
  <c r="G28" i="24"/>
  <c r="E28" i="24"/>
  <c r="D28" i="24"/>
  <c r="G23" i="24"/>
  <c r="E23" i="24"/>
  <c r="D23" i="24"/>
  <c r="G21" i="24"/>
  <c r="E21" i="24"/>
  <c r="D21" i="24"/>
  <c r="B21" i="24"/>
  <c r="G20" i="24"/>
  <c r="E20" i="24"/>
  <c r="D20" i="24"/>
  <c r="B20" i="24"/>
  <c r="G19" i="24"/>
  <c r="E19" i="24"/>
  <c r="D19" i="24"/>
  <c r="G14" i="24"/>
  <c r="E14" i="24"/>
  <c r="D14" i="24"/>
  <c r="B14" i="24"/>
  <c r="G13" i="24"/>
  <c r="E13" i="24"/>
  <c r="D13" i="24"/>
  <c r="G11" i="24"/>
  <c r="E11" i="24"/>
  <c r="D11" i="24"/>
  <c r="B11" i="24"/>
  <c r="G10" i="24"/>
  <c r="E10" i="24"/>
  <c r="D10" i="24"/>
  <c r="E8" i="24"/>
  <c r="D8" i="24"/>
  <c r="B39" i="23"/>
  <c r="B38" i="23"/>
  <c r="G34" i="23"/>
  <c r="E34" i="23"/>
  <c r="D34" i="23"/>
  <c r="G33" i="23"/>
  <c r="E33" i="23"/>
  <c r="D33" i="23"/>
  <c r="G28" i="23"/>
  <c r="E28" i="23"/>
  <c r="D28" i="23"/>
  <c r="G23" i="23"/>
  <c r="E23" i="23"/>
  <c r="D23" i="23"/>
  <c r="G21" i="23"/>
  <c r="E21" i="23"/>
  <c r="D21" i="23"/>
  <c r="B21" i="23"/>
  <c r="G20" i="23"/>
  <c r="E20" i="23"/>
  <c r="D20" i="23"/>
  <c r="B20" i="23"/>
  <c r="G19" i="23"/>
  <c r="E19" i="23"/>
  <c r="D19" i="23"/>
  <c r="G14" i="23"/>
  <c r="E14" i="23"/>
  <c r="D14" i="23"/>
  <c r="B14" i="23"/>
  <c r="G13" i="23"/>
  <c r="E13" i="23"/>
  <c r="D13" i="23"/>
  <c r="G11" i="23"/>
  <c r="E11" i="23"/>
  <c r="D11" i="23"/>
  <c r="B11" i="23"/>
  <c r="G10" i="23"/>
  <c r="E10" i="23"/>
  <c r="D10" i="23"/>
  <c r="E8" i="23"/>
  <c r="D8" i="23"/>
  <c r="B39" i="22"/>
  <c r="B38" i="22"/>
  <c r="G34" i="22"/>
  <c r="E34" i="22"/>
  <c r="D34" i="22"/>
  <c r="G33" i="22"/>
  <c r="E33" i="22"/>
  <c r="D33" i="22"/>
  <c r="G28" i="22"/>
  <c r="E28" i="22"/>
  <c r="D28" i="22"/>
  <c r="G23" i="22"/>
  <c r="E23" i="22"/>
  <c r="D23" i="22"/>
  <c r="G21" i="22"/>
  <c r="E21" i="22"/>
  <c r="D21" i="22"/>
  <c r="B21" i="22"/>
  <c r="G20" i="22"/>
  <c r="E20" i="22"/>
  <c r="D20" i="22"/>
  <c r="B20" i="22"/>
  <c r="G19" i="22"/>
  <c r="E19" i="22"/>
  <c r="D19" i="22"/>
  <c r="G14" i="22"/>
  <c r="E14" i="22"/>
  <c r="D14" i="22"/>
  <c r="B14" i="22"/>
  <c r="G13" i="22"/>
  <c r="E13" i="22"/>
  <c r="D13" i="22"/>
  <c r="G11" i="22"/>
  <c r="E11" i="22"/>
  <c r="D11" i="22"/>
  <c r="B11" i="22"/>
  <c r="G10" i="22"/>
  <c r="E10" i="22"/>
  <c r="D10" i="22"/>
  <c r="E8" i="22"/>
  <c r="D8" i="22"/>
  <c r="Q98" i="21"/>
  <c r="M93" i="21"/>
  <c r="L93" i="21"/>
  <c r="K93" i="21"/>
  <c r="J93" i="21"/>
  <c r="I93" i="21"/>
  <c r="H93" i="21"/>
  <c r="G93" i="21"/>
  <c r="F93" i="21"/>
  <c r="E93" i="21"/>
  <c r="D93" i="21"/>
  <c r="Q93" i="21" s="1"/>
  <c r="Q91" i="21"/>
  <c r="B91" i="21"/>
  <c r="O90" i="21"/>
  <c r="N90" i="21"/>
  <c r="M90" i="21"/>
  <c r="L90" i="21"/>
  <c r="K90" i="21"/>
  <c r="J90" i="21"/>
  <c r="I90" i="21"/>
  <c r="H90" i="21"/>
  <c r="G90" i="21"/>
  <c r="F90" i="21"/>
  <c r="E90" i="21"/>
  <c r="D90" i="21"/>
  <c r="B90" i="21"/>
  <c r="Q89" i="21"/>
  <c r="B89" i="21"/>
  <c r="O88" i="21"/>
  <c r="N88" i="21"/>
  <c r="M88" i="21"/>
  <c r="L88" i="21"/>
  <c r="K88" i="21"/>
  <c r="J88" i="21"/>
  <c r="I88" i="21"/>
  <c r="H88" i="21"/>
  <c r="G88" i="21"/>
  <c r="F88" i="21"/>
  <c r="E88" i="21"/>
  <c r="D88" i="21"/>
  <c r="B88" i="21"/>
  <c r="Q87" i="21"/>
  <c r="B87" i="21"/>
  <c r="Q86" i="21"/>
  <c r="B86" i="21"/>
  <c r="O85" i="21"/>
  <c r="N85" i="21"/>
  <c r="M85" i="21"/>
  <c r="L85" i="21"/>
  <c r="K85" i="21"/>
  <c r="J85" i="21"/>
  <c r="I85" i="21"/>
  <c r="H85" i="21"/>
  <c r="G85" i="21"/>
  <c r="F85" i="21"/>
  <c r="E85" i="21"/>
  <c r="D85" i="21"/>
  <c r="B85" i="21"/>
  <c r="Q84" i="21"/>
  <c r="B84" i="21"/>
  <c r="Q83" i="21"/>
  <c r="B83" i="21"/>
  <c r="Q82" i="21"/>
  <c r="B82" i="21"/>
  <c r="Q81" i="21"/>
  <c r="B81" i="21"/>
  <c r="Q80" i="21"/>
  <c r="B80" i="21"/>
  <c r="Q79" i="21"/>
  <c r="B79" i="21"/>
  <c r="O78" i="21"/>
  <c r="N78" i="21"/>
  <c r="M78" i="21"/>
  <c r="L78" i="21"/>
  <c r="K78" i="21"/>
  <c r="J78" i="21"/>
  <c r="I78" i="21"/>
  <c r="H78" i="21"/>
  <c r="Q78" i="21" s="1"/>
  <c r="G78" i="21"/>
  <c r="F78" i="21"/>
  <c r="E78" i="21"/>
  <c r="D78" i="21"/>
  <c r="B78" i="21"/>
  <c r="Q77" i="21"/>
  <c r="B77" i="21"/>
  <c r="Q76" i="21"/>
  <c r="B76" i="21"/>
  <c r="Q75" i="21"/>
  <c r="B75" i="21"/>
  <c r="O74" i="21"/>
  <c r="N74" i="21"/>
  <c r="M74" i="21"/>
  <c r="L74" i="21"/>
  <c r="K74" i="21"/>
  <c r="J74" i="21"/>
  <c r="I74" i="21"/>
  <c r="H74" i="21"/>
  <c r="G74" i="21"/>
  <c r="F74" i="21"/>
  <c r="E74" i="21"/>
  <c r="D74" i="21"/>
  <c r="B74" i="21"/>
  <c r="Q73" i="21"/>
  <c r="B73" i="21"/>
  <c r="Q72" i="21"/>
  <c r="B72" i="21"/>
  <c r="O71" i="21"/>
  <c r="N71" i="21"/>
  <c r="M71" i="21"/>
  <c r="L71" i="21"/>
  <c r="K71" i="21"/>
  <c r="J71" i="21"/>
  <c r="I71" i="21"/>
  <c r="H71" i="21"/>
  <c r="G71" i="21"/>
  <c r="F71" i="21"/>
  <c r="E71" i="21"/>
  <c r="D71" i="21"/>
  <c r="Q71" i="21" s="1"/>
  <c r="B71" i="21"/>
  <c r="Q70" i="21"/>
  <c r="B70" i="21"/>
  <c r="Q69" i="21"/>
  <c r="B69" i="21"/>
  <c r="O68" i="21"/>
  <c r="N68" i="21"/>
  <c r="M68" i="21"/>
  <c r="L68" i="21"/>
  <c r="K68" i="21"/>
  <c r="J68" i="21"/>
  <c r="I68" i="21"/>
  <c r="H68" i="21"/>
  <c r="Q68" i="21" s="1"/>
  <c r="G68" i="21"/>
  <c r="F68" i="21"/>
  <c r="E68" i="21"/>
  <c r="D68" i="21"/>
  <c r="B68" i="21"/>
  <c r="Q67" i="21"/>
  <c r="B67" i="21"/>
  <c r="O66" i="21"/>
  <c r="N66" i="21"/>
  <c r="M66" i="21"/>
  <c r="L66" i="21"/>
  <c r="K66" i="21"/>
  <c r="J66" i="21"/>
  <c r="I66" i="21"/>
  <c r="H66" i="21"/>
  <c r="Q66" i="21" s="1"/>
  <c r="G66" i="21"/>
  <c r="F66" i="21"/>
  <c r="E66" i="21"/>
  <c r="D66" i="21"/>
  <c r="B66" i="21"/>
  <c r="Q65" i="21"/>
  <c r="B65" i="21"/>
  <c r="O64" i="21"/>
  <c r="N64" i="21"/>
  <c r="M64" i="21"/>
  <c r="L64" i="21"/>
  <c r="K64" i="21"/>
  <c r="J64" i="21"/>
  <c r="I64" i="21"/>
  <c r="H64" i="21"/>
  <c r="Q64" i="21" s="1"/>
  <c r="G64" i="21"/>
  <c r="F64" i="21"/>
  <c r="E64" i="21"/>
  <c r="D64" i="21"/>
  <c r="B64" i="21"/>
  <c r="Q63" i="21"/>
  <c r="B63" i="21"/>
  <c r="O62" i="21"/>
  <c r="N62" i="21"/>
  <c r="M62" i="21"/>
  <c r="L62" i="21"/>
  <c r="K62" i="21"/>
  <c r="J62" i="21"/>
  <c r="I62" i="21"/>
  <c r="H62" i="21"/>
  <c r="Q62" i="21" s="1"/>
  <c r="G62" i="21"/>
  <c r="F62" i="21"/>
  <c r="E62" i="21"/>
  <c r="D62" i="21"/>
  <c r="B62" i="21"/>
  <c r="Q61" i="21"/>
  <c r="B61" i="21"/>
  <c r="O60" i="21"/>
  <c r="N60" i="21"/>
  <c r="M60" i="21"/>
  <c r="L60" i="21"/>
  <c r="K60" i="21"/>
  <c r="J60" i="21"/>
  <c r="I60" i="21"/>
  <c r="H60" i="21"/>
  <c r="Q60" i="21" s="1"/>
  <c r="G60" i="21"/>
  <c r="F60" i="21"/>
  <c r="E60" i="21"/>
  <c r="D60" i="21"/>
  <c r="B60" i="21"/>
  <c r="Q59" i="21"/>
  <c r="B59" i="21"/>
  <c r="O58" i="21"/>
  <c r="N58" i="21"/>
  <c r="M58" i="21"/>
  <c r="L58" i="21"/>
  <c r="K58" i="21"/>
  <c r="J58" i="21"/>
  <c r="I58" i="21"/>
  <c r="H58" i="21"/>
  <c r="G58" i="21"/>
  <c r="F58" i="21"/>
  <c r="E58" i="21"/>
  <c r="D58" i="21"/>
  <c r="B58" i="21"/>
  <c r="Q57" i="21"/>
  <c r="B57" i="21"/>
  <c r="Q56" i="21"/>
  <c r="B56" i="21"/>
  <c r="O55" i="21"/>
  <c r="N55" i="21"/>
  <c r="M55" i="21"/>
  <c r="L55" i="21"/>
  <c r="K55" i="21"/>
  <c r="J55" i="21"/>
  <c r="I55" i="21"/>
  <c r="H55" i="21"/>
  <c r="G55" i="21"/>
  <c r="F55" i="21"/>
  <c r="E55" i="21"/>
  <c r="D55" i="21"/>
  <c r="B55" i="21"/>
  <c r="Q54" i="21"/>
  <c r="B54" i="21"/>
  <c r="O53" i="21"/>
  <c r="N53" i="21"/>
  <c r="M53" i="21"/>
  <c r="L53" i="21"/>
  <c r="K53" i="21"/>
  <c r="J53" i="21"/>
  <c r="I53" i="21"/>
  <c r="H53" i="21"/>
  <c r="G53" i="21"/>
  <c r="F53" i="21"/>
  <c r="Q53" i="21" s="1"/>
  <c r="E53" i="21"/>
  <c r="D53" i="21"/>
  <c r="B53" i="21"/>
  <c r="Q52" i="21"/>
  <c r="B52" i="21"/>
  <c r="O51" i="21"/>
  <c r="N51" i="21"/>
  <c r="M51" i="21"/>
  <c r="L51" i="21"/>
  <c r="K51" i="21"/>
  <c r="J51" i="21"/>
  <c r="I51" i="21"/>
  <c r="H51" i="21"/>
  <c r="G51" i="21"/>
  <c r="F51" i="21"/>
  <c r="E51" i="21"/>
  <c r="D51" i="21"/>
  <c r="B51" i="21"/>
  <c r="Q50" i="21"/>
  <c r="B50" i="21"/>
  <c r="O49" i="21"/>
  <c r="N49" i="21"/>
  <c r="M49" i="21"/>
  <c r="L49" i="21"/>
  <c r="K49" i="21"/>
  <c r="J49" i="21"/>
  <c r="I49" i="21"/>
  <c r="H49" i="21"/>
  <c r="G49" i="21"/>
  <c r="F49" i="21"/>
  <c r="E49" i="21"/>
  <c r="D49" i="21"/>
  <c r="B49" i="21"/>
  <c r="Q48" i="21"/>
  <c r="B48" i="21"/>
  <c r="Q47" i="21"/>
  <c r="B47" i="21"/>
  <c r="Q46" i="21"/>
  <c r="B46" i="21"/>
  <c r="Q45" i="21"/>
  <c r="B45" i="21"/>
  <c r="Q44" i="21"/>
  <c r="B44" i="21"/>
  <c r="Q43" i="21"/>
  <c r="B43" i="21"/>
  <c r="Q42" i="21"/>
  <c r="B42" i="21"/>
  <c r="Q41" i="21"/>
  <c r="B41" i="21"/>
  <c r="Q40" i="21"/>
  <c r="B40" i="21"/>
  <c r="Q39" i="21"/>
  <c r="B39" i="21"/>
  <c r="O38" i="21"/>
  <c r="N38" i="21"/>
  <c r="M38" i="21"/>
  <c r="L38" i="21"/>
  <c r="L26" i="21" s="1" a="1"/>
  <c r="L26" i="21" s="1"/>
  <c r="K38" i="21"/>
  <c r="J38" i="21"/>
  <c r="I38" i="21"/>
  <c r="H38" i="21"/>
  <c r="G38" i="21"/>
  <c r="F38" i="21"/>
  <c r="E38" i="21"/>
  <c r="D38" i="21"/>
  <c r="B38" i="21"/>
  <c r="Q37" i="21"/>
  <c r="B37" i="21"/>
  <c r="Q36" i="21"/>
  <c r="B36" i="21"/>
  <c r="Q35" i="21"/>
  <c r="B35" i="21"/>
  <c r="Q34" i="21"/>
  <c r="B34" i="21"/>
  <c r="Q33" i="21"/>
  <c r="B33" i="21"/>
  <c r="Q32" i="21"/>
  <c r="B32" i="21"/>
  <c r="Q31" i="21"/>
  <c r="B31" i="21"/>
  <c r="Q30" i="21"/>
  <c r="B30" i="21"/>
  <c r="Q29" i="21"/>
  <c r="B29" i="21"/>
  <c r="Q28" i="21"/>
  <c r="B28" i="21"/>
  <c r="O27" i="21"/>
  <c r="N27" i="21"/>
  <c r="M27" i="21"/>
  <c r="L27" i="21"/>
  <c r="K27" i="21"/>
  <c r="J27" i="21"/>
  <c r="I27" i="21"/>
  <c r="H27" i="21"/>
  <c r="G27" i="21"/>
  <c r="F27" i="21"/>
  <c r="E27" i="21"/>
  <c r="D27" i="21"/>
  <c r="B27" i="21"/>
  <c r="J26" i="21" a="1"/>
  <c r="J26" i="21" s="1"/>
  <c r="G24" i="21"/>
  <c r="K23" i="21"/>
  <c r="Q21" i="21"/>
  <c r="B21" i="21"/>
  <c r="Q20" i="21"/>
  <c r="B20" i="21"/>
  <c r="Q19" i="21"/>
  <c r="Q18" i="21" s="1"/>
  <c r="B19" i="21"/>
  <c r="O18" i="21"/>
  <c r="N18" i="21"/>
  <c r="M18" i="21"/>
  <c r="L18" i="21"/>
  <c r="K18" i="21"/>
  <c r="J18" i="21"/>
  <c r="I18" i="21"/>
  <c r="H18" i="21"/>
  <c r="G18" i="21"/>
  <c r="F18" i="21"/>
  <c r="E18" i="21"/>
  <c r="D18" i="21"/>
  <c r="M16" i="21"/>
  <c r="L16" i="21"/>
  <c r="K16" i="21"/>
  <c r="J16" i="21"/>
  <c r="I16" i="21"/>
  <c r="H16" i="21"/>
  <c r="G16" i="21"/>
  <c r="F16" i="21"/>
  <c r="E16" i="21"/>
  <c r="D16" i="21"/>
  <c r="B16" i="21"/>
  <c r="M15" i="21"/>
  <c r="L15" i="21"/>
  <c r="K15" i="21"/>
  <c r="J15" i="21"/>
  <c r="I15" i="21"/>
  <c r="H15" i="21"/>
  <c r="G15" i="21"/>
  <c r="F15" i="21"/>
  <c r="Q15" i="21" s="1"/>
  <c r="E15" i="21"/>
  <c r="D15" i="21"/>
  <c r="B15" i="21"/>
  <c r="M14" i="21"/>
  <c r="L14" i="21"/>
  <c r="K14" i="21"/>
  <c r="J14" i="21"/>
  <c r="I14" i="21"/>
  <c r="H14" i="21"/>
  <c r="G14" i="21"/>
  <c r="F14" i="21"/>
  <c r="E14" i="21"/>
  <c r="D14" i="21"/>
  <c r="B14" i="21"/>
  <c r="M13" i="21"/>
  <c r="L13" i="21"/>
  <c r="K13" i="21"/>
  <c r="J13" i="21"/>
  <c r="I13" i="21"/>
  <c r="H13" i="21"/>
  <c r="G13" i="21"/>
  <c r="F13" i="21"/>
  <c r="E13" i="21"/>
  <c r="Q13" i="21" s="1"/>
  <c r="D13" i="21"/>
  <c r="B13" i="21"/>
  <c r="M12" i="21"/>
  <c r="L12" i="21"/>
  <c r="K12" i="21"/>
  <c r="J12" i="21"/>
  <c r="I12" i="21"/>
  <c r="H12" i="21"/>
  <c r="G12" i="21"/>
  <c r="F12" i="21"/>
  <c r="E12" i="21"/>
  <c r="D12" i="21"/>
  <c r="Q12" i="21" s="1"/>
  <c r="B12" i="21"/>
  <c r="M11" i="21"/>
  <c r="L11" i="21"/>
  <c r="K11" i="21"/>
  <c r="J11" i="21"/>
  <c r="I11" i="21"/>
  <c r="H11" i="21"/>
  <c r="H10" i="21" s="1"/>
  <c r="H23" i="21" s="1"/>
  <c r="G11" i="21"/>
  <c r="F11" i="21"/>
  <c r="E11" i="21"/>
  <c r="D11" i="21"/>
  <c r="Q11" i="21" s="1"/>
  <c r="B11" i="21"/>
  <c r="O10" i="21"/>
  <c r="O23" i="21" s="1"/>
  <c r="N10" i="21"/>
  <c r="L10" i="21"/>
  <c r="L23" i="21" s="1"/>
  <c r="K10" i="21"/>
  <c r="G10" i="21"/>
  <c r="G23" i="21" s="1"/>
  <c r="D10" i="21"/>
  <c r="D23" i="21" s="1"/>
  <c r="O8" i="21"/>
  <c r="N8" i="21"/>
  <c r="M8" i="21"/>
  <c r="L8" i="21"/>
  <c r="K8" i="21"/>
  <c r="J8" i="21"/>
  <c r="I8" i="21"/>
  <c r="H8" i="21"/>
  <c r="G8" i="21"/>
  <c r="F8" i="21"/>
  <c r="E8" i="21"/>
  <c r="D8" i="21"/>
  <c r="B39" i="20"/>
  <c r="B38" i="20"/>
  <c r="G34" i="20"/>
  <c r="E34" i="20"/>
  <c r="D34" i="20"/>
  <c r="G33" i="20"/>
  <c r="E33" i="20"/>
  <c r="D33" i="20"/>
  <c r="G28" i="20"/>
  <c r="E28" i="20"/>
  <c r="D28" i="20"/>
  <c r="G23" i="20"/>
  <c r="E23" i="20"/>
  <c r="D23" i="20"/>
  <c r="G21" i="20"/>
  <c r="E21" i="20"/>
  <c r="D21" i="20"/>
  <c r="B21" i="20"/>
  <c r="G20" i="20"/>
  <c r="E20" i="20"/>
  <c r="D20" i="20"/>
  <c r="B20" i="20"/>
  <c r="G19" i="20"/>
  <c r="E19" i="20"/>
  <c r="D19" i="20"/>
  <c r="G14" i="20"/>
  <c r="E14" i="20"/>
  <c r="D14" i="20"/>
  <c r="B14" i="20"/>
  <c r="G13" i="20"/>
  <c r="E13" i="20"/>
  <c r="D13" i="20"/>
  <c r="G11" i="20"/>
  <c r="E11" i="20"/>
  <c r="D11" i="20"/>
  <c r="B11" i="20"/>
  <c r="G10" i="20"/>
  <c r="E10" i="20"/>
  <c r="D10" i="20"/>
  <c r="E8" i="20"/>
  <c r="D8" i="20"/>
  <c r="B39" i="19"/>
  <c r="B38" i="19"/>
  <c r="G34" i="19"/>
  <c r="E34" i="19"/>
  <c r="D34" i="19"/>
  <c r="G33" i="19"/>
  <c r="E33" i="19"/>
  <c r="D33" i="19"/>
  <c r="G28" i="19"/>
  <c r="E28" i="19"/>
  <c r="D28" i="19"/>
  <c r="G23" i="19"/>
  <c r="E23" i="19"/>
  <c r="D23" i="19"/>
  <c r="G21" i="19"/>
  <c r="E21" i="19"/>
  <c r="D21" i="19"/>
  <c r="B21" i="19"/>
  <c r="G20" i="19"/>
  <c r="E20" i="19"/>
  <c r="D20" i="19"/>
  <c r="B20" i="19"/>
  <c r="G19" i="19"/>
  <c r="E19" i="19"/>
  <c r="D19" i="19"/>
  <c r="G14" i="19"/>
  <c r="E14" i="19"/>
  <c r="D14" i="19"/>
  <c r="B14" i="19"/>
  <c r="G13" i="19"/>
  <c r="E13" i="19"/>
  <c r="D13" i="19"/>
  <c r="G11" i="19"/>
  <c r="E11" i="19"/>
  <c r="D11" i="19"/>
  <c r="B11" i="19"/>
  <c r="G10" i="19"/>
  <c r="E10" i="19"/>
  <c r="D10" i="19"/>
  <c r="E8" i="19"/>
  <c r="D8" i="19"/>
  <c r="Q153" i="18"/>
  <c r="M148" i="18"/>
  <c r="L148" i="18"/>
  <c r="K148" i="18"/>
  <c r="J148" i="18"/>
  <c r="I148" i="18"/>
  <c r="H148" i="18"/>
  <c r="G148" i="18"/>
  <c r="F148" i="18"/>
  <c r="E148" i="18"/>
  <c r="D148" i="18"/>
  <c r="Q148" i="18" s="1"/>
  <c r="Q146" i="18"/>
  <c r="B146" i="18"/>
  <c r="O145" i="18"/>
  <c r="N145" i="18"/>
  <c r="M145" i="18"/>
  <c r="L145" i="18"/>
  <c r="K145" i="18"/>
  <c r="J145" i="18"/>
  <c r="I145" i="18"/>
  <c r="H145" i="18"/>
  <c r="G145" i="18"/>
  <c r="F145" i="18"/>
  <c r="E145" i="18"/>
  <c r="D145" i="18"/>
  <c r="B145" i="18"/>
  <c r="Q144" i="18"/>
  <c r="B144" i="18"/>
  <c r="Q143" i="18"/>
  <c r="B143" i="18"/>
  <c r="Q142" i="18"/>
  <c r="B142" i="18"/>
  <c r="O141" i="18"/>
  <c r="N141" i="18"/>
  <c r="M141" i="18"/>
  <c r="L141" i="18"/>
  <c r="K141" i="18"/>
  <c r="J141" i="18"/>
  <c r="I141" i="18"/>
  <c r="H141" i="18"/>
  <c r="G141" i="18"/>
  <c r="F141" i="18"/>
  <c r="E141" i="18"/>
  <c r="D141" i="18"/>
  <c r="B141" i="18"/>
  <c r="Q140" i="18"/>
  <c r="B140" i="18"/>
  <c r="O139" i="18"/>
  <c r="N139" i="18"/>
  <c r="M139" i="18"/>
  <c r="L139" i="18"/>
  <c r="K139" i="18"/>
  <c r="J139" i="18"/>
  <c r="I139" i="18"/>
  <c r="H139" i="18"/>
  <c r="G139" i="18"/>
  <c r="F139" i="18"/>
  <c r="E139" i="18"/>
  <c r="D139" i="18"/>
  <c r="Q139" i="18" s="1"/>
  <c r="B139" i="18"/>
  <c r="Q138" i="18"/>
  <c r="B138" i="18"/>
  <c r="Q137" i="18"/>
  <c r="B137" i="18"/>
  <c r="O136" i="18"/>
  <c r="N136" i="18"/>
  <c r="M136" i="18"/>
  <c r="L136" i="18"/>
  <c r="K136" i="18"/>
  <c r="J136" i="18"/>
  <c r="I136" i="18"/>
  <c r="H136" i="18"/>
  <c r="Q136" i="18" s="1"/>
  <c r="G136" i="18"/>
  <c r="F136" i="18"/>
  <c r="E136" i="18"/>
  <c r="D136" i="18"/>
  <c r="B136" i="18"/>
  <c r="Q135" i="18"/>
  <c r="B135" i="18"/>
  <c r="Q134" i="18"/>
  <c r="B134" i="18"/>
  <c r="Q133" i="18"/>
  <c r="B133" i="18"/>
  <c r="Q132" i="18"/>
  <c r="B132" i="18"/>
  <c r="Q131" i="18"/>
  <c r="B131" i="18"/>
  <c r="Q130" i="18"/>
  <c r="B130" i="18"/>
  <c r="Q129" i="18"/>
  <c r="B129" i="18"/>
  <c r="O128" i="18"/>
  <c r="N128" i="18"/>
  <c r="M128" i="18"/>
  <c r="L128" i="18"/>
  <c r="K128" i="18"/>
  <c r="J128" i="18"/>
  <c r="I128" i="18"/>
  <c r="H128" i="18"/>
  <c r="G128" i="18"/>
  <c r="F128" i="18"/>
  <c r="E128" i="18"/>
  <c r="D128" i="18"/>
  <c r="B128" i="18"/>
  <c r="Q127" i="18"/>
  <c r="B127" i="18"/>
  <c r="Q126" i="18"/>
  <c r="B126" i="18"/>
  <c r="O125" i="18"/>
  <c r="N125" i="18"/>
  <c r="M125" i="18"/>
  <c r="L125" i="18"/>
  <c r="K125" i="18"/>
  <c r="J125" i="18"/>
  <c r="I125" i="18"/>
  <c r="H125" i="18"/>
  <c r="G125" i="18"/>
  <c r="F125" i="18"/>
  <c r="E125" i="18"/>
  <c r="D125" i="18"/>
  <c r="B125" i="18"/>
  <c r="Q124" i="18"/>
  <c r="B124" i="18"/>
  <c r="Q123" i="18"/>
  <c r="B123" i="18"/>
  <c r="Q122" i="18"/>
  <c r="B122" i="18"/>
  <c r="O121" i="18"/>
  <c r="N121" i="18"/>
  <c r="M121" i="18"/>
  <c r="L121" i="18"/>
  <c r="K121" i="18"/>
  <c r="J121" i="18"/>
  <c r="I121" i="18"/>
  <c r="H121" i="18"/>
  <c r="G121" i="18"/>
  <c r="F121" i="18"/>
  <c r="E121" i="18"/>
  <c r="D121" i="18"/>
  <c r="B121" i="18"/>
  <c r="Q120" i="18"/>
  <c r="B120" i="18"/>
  <c r="Q119" i="18"/>
  <c r="B119" i="18"/>
  <c r="Q118" i="18"/>
  <c r="B118" i="18"/>
  <c r="Q117" i="18"/>
  <c r="B117" i="18"/>
  <c r="O116" i="18"/>
  <c r="N116" i="18"/>
  <c r="M116" i="18"/>
  <c r="L116" i="18"/>
  <c r="K116" i="18"/>
  <c r="J116" i="18"/>
  <c r="I116" i="18"/>
  <c r="H116" i="18"/>
  <c r="G116" i="18"/>
  <c r="Q116" i="18" s="1"/>
  <c r="F116" i="18"/>
  <c r="E116" i="18"/>
  <c r="D116" i="18"/>
  <c r="B116" i="18"/>
  <c r="Q115" i="18"/>
  <c r="B115" i="18"/>
  <c r="Q114" i="18"/>
  <c r="B114" i="18"/>
  <c r="Q113" i="18"/>
  <c r="B113" i="18"/>
  <c r="Q112" i="18"/>
  <c r="B112" i="18"/>
  <c r="O111" i="18"/>
  <c r="N111" i="18"/>
  <c r="M111" i="18"/>
  <c r="L111" i="18"/>
  <c r="K111" i="18"/>
  <c r="J111" i="18"/>
  <c r="I111" i="18"/>
  <c r="H111" i="18"/>
  <c r="G111" i="18"/>
  <c r="F111" i="18"/>
  <c r="E111" i="18"/>
  <c r="D111" i="18"/>
  <c r="Q111" i="18" s="1"/>
  <c r="B111" i="18"/>
  <c r="Q110" i="18"/>
  <c r="B110" i="18"/>
  <c r="O109" i="18"/>
  <c r="N109" i="18"/>
  <c r="M109" i="18"/>
  <c r="L109" i="18"/>
  <c r="K109" i="18"/>
  <c r="J109" i="18"/>
  <c r="I109" i="18"/>
  <c r="H109" i="18"/>
  <c r="G109" i="18"/>
  <c r="F109" i="18"/>
  <c r="E109" i="18"/>
  <c r="D109" i="18"/>
  <c r="B109" i="18"/>
  <c r="Q108" i="18"/>
  <c r="B108" i="18"/>
  <c r="O107" i="18"/>
  <c r="N107" i="18"/>
  <c r="M107" i="18"/>
  <c r="L107" i="18"/>
  <c r="K107" i="18"/>
  <c r="J107" i="18"/>
  <c r="I107" i="18"/>
  <c r="H107" i="18"/>
  <c r="G107" i="18"/>
  <c r="F107" i="18"/>
  <c r="E107" i="18"/>
  <c r="D107" i="18"/>
  <c r="B107" i="18"/>
  <c r="Q106" i="18"/>
  <c r="B106" i="18"/>
  <c r="O105" i="18"/>
  <c r="N105" i="18"/>
  <c r="M105" i="18"/>
  <c r="L105" i="18"/>
  <c r="K105" i="18"/>
  <c r="J105" i="18"/>
  <c r="I105" i="18"/>
  <c r="H105" i="18"/>
  <c r="G105" i="18"/>
  <c r="F105" i="18"/>
  <c r="E105" i="18"/>
  <c r="D105" i="18"/>
  <c r="B105" i="18"/>
  <c r="Q104" i="18"/>
  <c r="B104" i="18"/>
  <c r="O103" i="18"/>
  <c r="N103" i="18"/>
  <c r="M103" i="18"/>
  <c r="L103" i="18"/>
  <c r="K103" i="18"/>
  <c r="J103" i="18"/>
  <c r="I103" i="18"/>
  <c r="H103" i="18"/>
  <c r="G103" i="18"/>
  <c r="F103" i="18"/>
  <c r="E103" i="18"/>
  <c r="D103" i="18"/>
  <c r="Q103" i="18" s="1"/>
  <c r="B103" i="18"/>
  <c r="Q102" i="18"/>
  <c r="B102" i="18"/>
  <c r="O101" i="18"/>
  <c r="N101" i="18"/>
  <c r="M101" i="18"/>
  <c r="L101" i="18"/>
  <c r="K101" i="18"/>
  <c r="J101" i="18"/>
  <c r="I101" i="18"/>
  <c r="H101" i="18"/>
  <c r="G101" i="18"/>
  <c r="F101" i="18"/>
  <c r="E101" i="18"/>
  <c r="D101" i="18"/>
  <c r="B101" i="18"/>
  <c r="Q100" i="18"/>
  <c r="B100" i="18"/>
  <c r="Q99" i="18"/>
  <c r="B99" i="18"/>
  <c r="O98" i="18"/>
  <c r="N98" i="18"/>
  <c r="M98" i="18"/>
  <c r="L98" i="18"/>
  <c r="K98" i="18"/>
  <c r="J98" i="18"/>
  <c r="I98" i="18"/>
  <c r="H98" i="18"/>
  <c r="G98" i="18"/>
  <c r="F98" i="18"/>
  <c r="E98" i="18"/>
  <c r="D98" i="18"/>
  <c r="B98" i="18"/>
  <c r="Q97" i="18"/>
  <c r="B97" i="18"/>
  <c r="O96" i="18"/>
  <c r="N96" i="18"/>
  <c r="M96" i="18"/>
  <c r="L96" i="18"/>
  <c r="K96" i="18"/>
  <c r="J96" i="18"/>
  <c r="I96" i="18"/>
  <c r="H96" i="18"/>
  <c r="G96" i="18"/>
  <c r="Q96" i="18" s="1"/>
  <c r="F96" i="18"/>
  <c r="E96" i="18"/>
  <c r="D96" i="18"/>
  <c r="B96" i="18"/>
  <c r="Q95" i="18"/>
  <c r="B95" i="18"/>
  <c r="O94" i="18"/>
  <c r="N94" i="18"/>
  <c r="M94" i="18"/>
  <c r="L94" i="18"/>
  <c r="K94" i="18"/>
  <c r="J94" i="18"/>
  <c r="I94" i="18"/>
  <c r="H94" i="18"/>
  <c r="G94" i="18"/>
  <c r="Q94" i="18" s="1"/>
  <c r="F94" i="18"/>
  <c r="E94" i="18"/>
  <c r="D94" i="18"/>
  <c r="B94" i="18"/>
  <c r="Q93" i="18"/>
  <c r="B93" i="18"/>
  <c r="O92" i="18"/>
  <c r="N92" i="18"/>
  <c r="M92" i="18"/>
  <c r="L92" i="18"/>
  <c r="K92" i="18"/>
  <c r="J92" i="18"/>
  <c r="I92" i="18"/>
  <c r="H92" i="18"/>
  <c r="G92" i="18"/>
  <c r="Q92" i="18" s="1"/>
  <c r="F92" i="18"/>
  <c r="E92" i="18"/>
  <c r="D92" i="18"/>
  <c r="B92" i="18"/>
  <c r="Q91" i="18"/>
  <c r="B91" i="18"/>
  <c r="Q90" i="18"/>
  <c r="B90" i="18"/>
  <c r="O89" i="18"/>
  <c r="N89" i="18"/>
  <c r="M89" i="18"/>
  <c r="L89" i="18"/>
  <c r="K89" i="18"/>
  <c r="J89" i="18"/>
  <c r="I89" i="18"/>
  <c r="H89" i="18"/>
  <c r="G89" i="18"/>
  <c r="F89" i="18"/>
  <c r="Q89" i="18" s="1"/>
  <c r="E89" i="18"/>
  <c r="D89" i="18"/>
  <c r="B89" i="18"/>
  <c r="Q88" i="18"/>
  <c r="B88" i="18"/>
  <c r="Q87" i="18"/>
  <c r="B87" i="18"/>
  <c r="O86" i="18"/>
  <c r="N86" i="18"/>
  <c r="M86" i="18"/>
  <c r="L86" i="18"/>
  <c r="K86" i="18"/>
  <c r="J86" i="18"/>
  <c r="I86" i="18"/>
  <c r="H86" i="18"/>
  <c r="G86" i="18"/>
  <c r="F86" i="18"/>
  <c r="E86" i="18"/>
  <c r="D86" i="18"/>
  <c r="B86" i="18"/>
  <c r="Q85" i="18"/>
  <c r="B85" i="18"/>
  <c r="O84" i="18"/>
  <c r="N84" i="18"/>
  <c r="M84" i="18"/>
  <c r="L84" i="18"/>
  <c r="K84" i="18"/>
  <c r="K57" i="18" s="1" a="1"/>
  <c r="K57" i="18" s="1"/>
  <c r="J84" i="18"/>
  <c r="I84" i="18"/>
  <c r="H84" i="18"/>
  <c r="G84" i="18"/>
  <c r="F84" i="18"/>
  <c r="E84" i="18"/>
  <c r="D84" i="18"/>
  <c r="B84" i="18"/>
  <c r="Q83" i="18"/>
  <c r="B83" i="18"/>
  <c r="O82" i="18"/>
  <c r="N82" i="18"/>
  <c r="M82" i="18"/>
  <c r="L82" i="18"/>
  <c r="K82" i="18"/>
  <c r="J82" i="18"/>
  <c r="I82" i="18"/>
  <c r="H82" i="18"/>
  <c r="G82" i="18"/>
  <c r="F82" i="18"/>
  <c r="E82" i="18"/>
  <c r="D82" i="18"/>
  <c r="B82" i="18"/>
  <c r="Q81" i="18"/>
  <c r="B81" i="18"/>
  <c r="O80" i="18"/>
  <c r="N80" i="18"/>
  <c r="M80" i="18"/>
  <c r="L80" i="18"/>
  <c r="K80" i="18"/>
  <c r="J80" i="18"/>
  <c r="I80" i="18"/>
  <c r="H80" i="18"/>
  <c r="G80" i="18"/>
  <c r="F80" i="18"/>
  <c r="E80" i="18"/>
  <c r="D80" i="18"/>
  <c r="Q80" i="18" s="1"/>
  <c r="B80" i="18"/>
  <c r="Q79" i="18"/>
  <c r="B79" i="18"/>
  <c r="Q78" i="18"/>
  <c r="B78" i="18"/>
  <c r="Q77" i="18"/>
  <c r="B77" i="18"/>
  <c r="Q76" i="18"/>
  <c r="B76" i="18"/>
  <c r="Q75" i="18"/>
  <c r="B75" i="18"/>
  <c r="Q74" i="18"/>
  <c r="B74" i="18"/>
  <c r="Q73" i="18"/>
  <c r="B73" i="18"/>
  <c r="Q72" i="18"/>
  <c r="B72" i="18"/>
  <c r="Q71" i="18"/>
  <c r="B71" i="18"/>
  <c r="Q70" i="18"/>
  <c r="B70" i="18"/>
  <c r="O69" i="18"/>
  <c r="N69" i="18"/>
  <c r="M69" i="18"/>
  <c r="M57" i="18" s="1" a="1"/>
  <c r="M57" i="18" s="1"/>
  <c r="L69" i="18"/>
  <c r="K69" i="18"/>
  <c r="J69" i="18"/>
  <c r="I69" i="18"/>
  <c r="H69" i="18"/>
  <c r="G69" i="18"/>
  <c r="F69" i="18"/>
  <c r="E69" i="18"/>
  <c r="E57" i="18" s="1" a="1"/>
  <c r="E57" i="18" s="1"/>
  <c r="D69" i="18"/>
  <c r="B69" i="18"/>
  <c r="Q68" i="18"/>
  <c r="B68" i="18"/>
  <c r="Q67" i="18"/>
  <c r="B67" i="18"/>
  <c r="Q66" i="18"/>
  <c r="B66" i="18"/>
  <c r="Q65" i="18"/>
  <c r="B65" i="18"/>
  <c r="Q64" i="18"/>
  <c r="B64" i="18"/>
  <c r="Q63" i="18"/>
  <c r="B63" i="18"/>
  <c r="Q62" i="18"/>
  <c r="B62" i="18"/>
  <c r="Q61" i="18"/>
  <c r="B61" i="18"/>
  <c r="Q60" i="18"/>
  <c r="B60" i="18"/>
  <c r="Q59" i="18"/>
  <c r="B59" i="18"/>
  <c r="O58" i="18"/>
  <c r="N58" i="18"/>
  <c r="M58" i="18"/>
  <c r="L58" i="18"/>
  <c r="K58" i="18"/>
  <c r="J58" i="18"/>
  <c r="I58" i="18"/>
  <c r="H58" i="18"/>
  <c r="G58" i="18"/>
  <c r="Q58" i="18" s="1"/>
  <c r="F58" i="18"/>
  <c r="E58" i="18"/>
  <c r="D58" i="18"/>
  <c r="B58" i="18"/>
  <c r="O55" i="18"/>
  <c r="Q52" i="18"/>
  <c r="B52" i="18"/>
  <c r="Q51" i="18"/>
  <c r="B51" i="18"/>
  <c r="Q50" i="18"/>
  <c r="B50" i="18"/>
  <c r="Q49" i="18"/>
  <c r="B49" i="18"/>
  <c r="Q48" i="18"/>
  <c r="B48" i="18"/>
  <c r="Q47" i="18"/>
  <c r="B47" i="18"/>
  <c r="Q46" i="18"/>
  <c r="B46" i="18"/>
  <c r="Q45" i="18"/>
  <c r="B45" i="18"/>
  <c r="Q44" i="18"/>
  <c r="B44" i="18"/>
  <c r="Q43" i="18"/>
  <c r="B43" i="18"/>
  <c r="Q42" i="18"/>
  <c r="B42" i="18"/>
  <c r="Q41" i="18"/>
  <c r="B41" i="18"/>
  <c r="Q40" i="18"/>
  <c r="B40" i="18"/>
  <c r="Q39" i="18"/>
  <c r="B39" i="18"/>
  <c r="Q38" i="18"/>
  <c r="B38" i="18"/>
  <c r="Q37" i="18"/>
  <c r="B37" i="18"/>
  <c r="Q36" i="18"/>
  <c r="B36" i="18"/>
  <c r="Q35" i="18"/>
  <c r="B35" i="18"/>
  <c r="Q34" i="18"/>
  <c r="B34" i="18"/>
  <c r="Q33" i="18"/>
  <c r="B33" i="18"/>
  <c r="Q32" i="18"/>
  <c r="B32" i="18"/>
  <c r="Q31" i="18"/>
  <c r="B31" i="18"/>
  <c r="Q30" i="18"/>
  <c r="B30" i="18"/>
  <c r="Q29" i="18"/>
  <c r="B29" i="18"/>
  <c r="Q28" i="18"/>
  <c r="B28" i="18"/>
  <c r="Q27" i="18"/>
  <c r="B27" i="18"/>
  <c r="Q26" i="18"/>
  <c r="B26" i="18"/>
  <c r="Q25" i="18"/>
  <c r="B25" i="18"/>
  <c r="Q24" i="18"/>
  <c r="B24" i="18"/>
  <c r="Q23" i="18"/>
  <c r="B23" i="18"/>
  <c r="Q22" i="18"/>
  <c r="B22" i="18"/>
  <c r="Q21" i="18"/>
  <c r="Q19" i="18" s="1"/>
  <c r="B21" i="18"/>
  <c r="Q20" i="18"/>
  <c r="B20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Q17" i="18"/>
  <c r="M17" i="18"/>
  <c r="L17" i="18"/>
  <c r="K17" i="18"/>
  <c r="J17" i="18"/>
  <c r="I17" i="18"/>
  <c r="H17" i="18"/>
  <c r="G17" i="18"/>
  <c r="F17" i="18"/>
  <c r="E17" i="18"/>
  <c r="D17" i="18"/>
  <c r="B17" i="18"/>
  <c r="M16" i="18"/>
  <c r="L16" i="18"/>
  <c r="K16" i="18"/>
  <c r="J16" i="18"/>
  <c r="I16" i="18"/>
  <c r="H16" i="18"/>
  <c r="G16" i="18"/>
  <c r="F16" i="18"/>
  <c r="E16" i="18"/>
  <c r="D16" i="18"/>
  <c r="B16" i="18"/>
  <c r="M15" i="18"/>
  <c r="L15" i="18"/>
  <c r="K15" i="18"/>
  <c r="J15" i="18"/>
  <c r="I15" i="18"/>
  <c r="H15" i="18"/>
  <c r="G15" i="18"/>
  <c r="F15" i="18"/>
  <c r="E15" i="18"/>
  <c r="D15" i="18"/>
  <c r="B15" i="18"/>
  <c r="M14" i="18"/>
  <c r="L14" i="18"/>
  <c r="L10" i="18" s="1"/>
  <c r="L54" i="18" s="1"/>
  <c r="K14" i="18"/>
  <c r="J14" i="18"/>
  <c r="I14" i="18"/>
  <c r="H14" i="18"/>
  <c r="G14" i="18"/>
  <c r="F14" i="18"/>
  <c r="E14" i="18"/>
  <c r="D14" i="18"/>
  <c r="Q14" i="18" s="1"/>
  <c r="B14" i="18"/>
  <c r="M13" i="18"/>
  <c r="L13" i="18"/>
  <c r="K13" i="18"/>
  <c r="J13" i="18"/>
  <c r="I13" i="18"/>
  <c r="H13" i="18"/>
  <c r="G13" i="18"/>
  <c r="F13" i="18"/>
  <c r="Q13" i="18" s="1"/>
  <c r="E13" i="18"/>
  <c r="D13" i="18"/>
  <c r="B13" i="18"/>
  <c r="M12" i="18"/>
  <c r="L12" i="18"/>
  <c r="K12" i="18"/>
  <c r="J12" i="18"/>
  <c r="I12" i="18"/>
  <c r="H12" i="18"/>
  <c r="G12" i="18"/>
  <c r="F12" i="18"/>
  <c r="E12" i="18"/>
  <c r="D12" i="18"/>
  <c r="B12" i="18"/>
  <c r="M11" i="18"/>
  <c r="L11" i="18"/>
  <c r="K11" i="18"/>
  <c r="K10" i="18" s="1"/>
  <c r="J11" i="18"/>
  <c r="I11" i="18"/>
  <c r="H11" i="18"/>
  <c r="G11" i="18"/>
  <c r="F11" i="18"/>
  <c r="E11" i="18"/>
  <c r="D11" i="18"/>
  <c r="B11" i="18"/>
  <c r="O10" i="18"/>
  <c r="O54" i="18" s="1"/>
  <c r="N10" i="18"/>
  <c r="N54" i="18" s="1"/>
  <c r="M10" i="18"/>
  <c r="M54" i="18" s="1"/>
  <c r="I10" i="18"/>
  <c r="I54" i="18" s="1"/>
  <c r="I55" i="18" s="1"/>
  <c r="E10" i="18"/>
  <c r="E54" i="18" s="1"/>
  <c r="O8" i="18"/>
  <c r="N8" i="18"/>
  <c r="M8" i="18"/>
  <c r="L8" i="18"/>
  <c r="K8" i="18"/>
  <c r="J8" i="18"/>
  <c r="I8" i="18"/>
  <c r="H8" i="18"/>
  <c r="G8" i="18"/>
  <c r="F8" i="18"/>
  <c r="E8" i="18"/>
  <c r="D8" i="18"/>
  <c r="B39" i="17"/>
  <c r="B38" i="17"/>
  <c r="G34" i="17"/>
  <c r="E34" i="17"/>
  <c r="D34" i="17"/>
  <c r="G33" i="17"/>
  <c r="E33" i="17"/>
  <c r="D33" i="17"/>
  <c r="G28" i="17"/>
  <c r="E28" i="17"/>
  <c r="D28" i="17"/>
  <c r="G23" i="17"/>
  <c r="E23" i="17"/>
  <c r="D23" i="17"/>
  <c r="G21" i="17"/>
  <c r="E21" i="17"/>
  <c r="D21" i="17"/>
  <c r="B21" i="17"/>
  <c r="G20" i="17"/>
  <c r="E20" i="17"/>
  <c r="D20" i="17"/>
  <c r="B20" i="17"/>
  <c r="G19" i="17"/>
  <c r="E19" i="17"/>
  <c r="D19" i="17"/>
  <c r="G14" i="17"/>
  <c r="E14" i="17"/>
  <c r="D14" i="17"/>
  <c r="B14" i="17"/>
  <c r="G13" i="17"/>
  <c r="E13" i="17"/>
  <c r="D13" i="17"/>
  <c r="G11" i="17"/>
  <c r="E11" i="17"/>
  <c r="D11" i="17"/>
  <c r="B11" i="17"/>
  <c r="G10" i="17"/>
  <c r="E10" i="17"/>
  <c r="D10" i="17"/>
  <c r="E8" i="17"/>
  <c r="D8" i="17"/>
  <c r="B39" i="16"/>
  <c r="B38" i="16"/>
  <c r="G34" i="16"/>
  <c r="E34" i="16"/>
  <c r="D34" i="16"/>
  <c r="G33" i="16"/>
  <c r="E33" i="16"/>
  <c r="D33" i="16"/>
  <c r="G28" i="16"/>
  <c r="E28" i="16"/>
  <c r="D28" i="16"/>
  <c r="G23" i="16"/>
  <c r="E23" i="16"/>
  <c r="D23" i="16"/>
  <c r="G21" i="16"/>
  <c r="E21" i="16"/>
  <c r="D21" i="16"/>
  <c r="B21" i="16"/>
  <c r="G20" i="16"/>
  <c r="E20" i="16"/>
  <c r="D20" i="16"/>
  <c r="B20" i="16"/>
  <c r="G19" i="16"/>
  <c r="E19" i="16"/>
  <c r="D19" i="16"/>
  <c r="G14" i="16"/>
  <c r="E14" i="16"/>
  <c r="D14" i="16"/>
  <c r="B14" i="16"/>
  <c r="G13" i="16"/>
  <c r="E13" i="16"/>
  <c r="D13" i="16"/>
  <c r="G11" i="16"/>
  <c r="E11" i="16"/>
  <c r="D11" i="16"/>
  <c r="B11" i="16"/>
  <c r="G10" i="16"/>
  <c r="E10" i="16"/>
  <c r="D10" i="16"/>
  <c r="E8" i="16"/>
  <c r="D8" i="16"/>
  <c r="Q147" i="15"/>
  <c r="Q142" i="15"/>
  <c r="M142" i="15"/>
  <c r="L142" i="15"/>
  <c r="K142" i="15"/>
  <c r="J142" i="15"/>
  <c r="I142" i="15"/>
  <c r="H142" i="15"/>
  <c r="G142" i="15"/>
  <c r="F142" i="15"/>
  <c r="E142" i="15"/>
  <c r="D142" i="15"/>
  <c r="Q140" i="15"/>
  <c r="B140" i="15"/>
  <c r="O139" i="15"/>
  <c r="N139" i="15"/>
  <c r="M139" i="15"/>
  <c r="L139" i="15"/>
  <c r="K139" i="15"/>
  <c r="J139" i="15"/>
  <c r="I139" i="15"/>
  <c r="H139" i="15"/>
  <c r="G139" i="15"/>
  <c r="F139" i="15"/>
  <c r="E139" i="15"/>
  <c r="Q139" i="15" s="1"/>
  <c r="D139" i="15"/>
  <c r="B139" i="15"/>
  <c r="Q138" i="15"/>
  <c r="B138" i="15"/>
  <c r="Q137" i="15"/>
  <c r="B137" i="15"/>
  <c r="Q136" i="15"/>
  <c r="B136" i="15"/>
  <c r="O135" i="15"/>
  <c r="N135" i="15"/>
  <c r="M135" i="15"/>
  <c r="L135" i="15"/>
  <c r="K135" i="15"/>
  <c r="J135" i="15"/>
  <c r="I135" i="15"/>
  <c r="H135" i="15"/>
  <c r="G135" i="15"/>
  <c r="F135" i="15"/>
  <c r="E135" i="15"/>
  <c r="D135" i="15"/>
  <c r="B135" i="15"/>
  <c r="Q134" i="15"/>
  <c r="B134" i="15"/>
  <c r="O133" i="15"/>
  <c r="N133" i="15"/>
  <c r="M133" i="15"/>
  <c r="L133" i="15"/>
  <c r="K133" i="15"/>
  <c r="J133" i="15"/>
  <c r="I133" i="15"/>
  <c r="H133" i="15"/>
  <c r="G133" i="15"/>
  <c r="F133" i="15"/>
  <c r="E133" i="15"/>
  <c r="D133" i="15"/>
  <c r="Q133" i="15" s="1"/>
  <c r="B133" i="15"/>
  <c r="Q132" i="15"/>
  <c r="B132" i="15"/>
  <c r="Q131" i="15"/>
  <c r="B131" i="15"/>
  <c r="O130" i="15"/>
  <c r="N130" i="15"/>
  <c r="M130" i="15"/>
  <c r="L130" i="15"/>
  <c r="K130" i="15"/>
  <c r="J130" i="15"/>
  <c r="I130" i="15"/>
  <c r="H130" i="15"/>
  <c r="G130" i="15"/>
  <c r="F130" i="15"/>
  <c r="E130" i="15"/>
  <c r="D130" i="15"/>
  <c r="B130" i="15"/>
  <c r="Q129" i="15"/>
  <c r="B129" i="15"/>
  <c r="Q128" i="15"/>
  <c r="B128" i="15"/>
  <c r="Q127" i="15"/>
  <c r="B127" i="15"/>
  <c r="Q126" i="15"/>
  <c r="B126" i="15"/>
  <c r="Q125" i="15"/>
  <c r="B125" i="15"/>
  <c r="Q124" i="15"/>
  <c r="B124" i="15"/>
  <c r="Q123" i="15"/>
  <c r="B123" i="15"/>
  <c r="O122" i="15"/>
  <c r="N122" i="15"/>
  <c r="M122" i="15"/>
  <c r="L122" i="15"/>
  <c r="K122" i="15"/>
  <c r="J122" i="15"/>
  <c r="I122" i="15"/>
  <c r="H122" i="15"/>
  <c r="G122" i="15"/>
  <c r="F122" i="15"/>
  <c r="E122" i="15"/>
  <c r="D122" i="15"/>
  <c r="B122" i="15"/>
  <c r="Q121" i="15"/>
  <c r="B121" i="15"/>
  <c r="Q120" i="15"/>
  <c r="B120" i="15"/>
  <c r="O119" i="15"/>
  <c r="N119" i="15"/>
  <c r="M119" i="15"/>
  <c r="L119" i="15"/>
  <c r="K119" i="15"/>
  <c r="J119" i="15"/>
  <c r="I119" i="15"/>
  <c r="H119" i="15"/>
  <c r="G119" i="15"/>
  <c r="F119" i="15"/>
  <c r="E119" i="15"/>
  <c r="D119" i="15"/>
  <c r="Q119" i="15" s="1"/>
  <c r="B119" i="15"/>
  <c r="Q118" i="15"/>
  <c r="B118" i="15"/>
  <c r="Q117" i="15"/>
  <c r="B117" i="15"/>
  <c r="Q116" i="15"/>
  <c r="B116" i="15"/>
  <c r="O115" i="15"/>
  <c r="N115" i="15"/>
  <c r="M115" i="15"/>
  <c r="L115" i="15"/>
  <c r="K115" i="15"/>
  <c r="J115" i="15"/>
  <c r="I115" i="15"/>
  <c r="H115" i="15"/>
  <c r="H51" i="15" s="1" a="1"/>
  <c r="H51" i="15" s="1"/>
  <c r="G115" i="15"/>
  <c r="F115" i="15"/>
  <c r="E115" i="15"/>
  <c r="D115" i="15"/>
  <c r="B115" i="15"/>
  <c r="Q114" i="15"/>
  <c r="B114" i="15"/>
  <c r="Q113" i="15"/>
  <c r="B113" i="15"/>
  <c r="Q112" i="15"/>
  <c r="B112" i="15"/>
  <c r="Q111" i="15"/>
  <c r="B111" i="15"/>
  <c r="O110" i="15"/>
  <c r="N110" i="15"/>
  <c r="M110" i="15"/>
  <c r="L110" i="15"/>
  <c r="K110" i="15"/>
  <c r="J110" i="15"/>
  <c r="I110" i="15"/>
  <c r="H110" i="15"/>
  <c r="G110" i="15"/>
  <c r="F110" i="15"/>
  <c r="E110" i="15"/>
  <c r="D110" i="15"/>
  <c r="B110" i="15"/>
  <c r="Q109" i="15"/>
  <c r="B109" i="15"/>
  <c r="Q108" i="15"/>
  <c r="B108" i="15"/>
  <c r="Q107" i="15"/>
  <c r="B107" i="15"/>
  <c r="Q106" i="15"/>
  <c r="B106" i="15"/>
  <c r="O105" i="15"/>
  <c r="N105" i="15"/>
  <c r="M105" i="15"/>
  <c r="L105" i="15"/>
  <c r="K105" i="15"/>
  <c r="J105" i="15"/>
  <c r="I105" i="15"/>
  <c r="H105" i="15"/>
  <c r="Q105" i="15" s="1"/>
  <c r="G105" i="15"/>
  <c r="F105" i="15"/>
  <c r="E105" i="15"/>
  <c r="D105" i="15"/>
  <c r="B105" i="15"/>
  <c r="Q104" i="15"/>
  <c r="B104" i="15"/>
  <c r="O103" i="15"/>
  <c r="N103" i="15"/>
  <c r="M103" i="15"/>
  <c r="L103" i="15"/>
  <c r="K103" i="15"/>
  <c r="J103" i="15"/>
  <c r="I103" i="15"/>
  <c r="H103" i="15"/>
  <c r="Q103" i="15" s="1"/>
  <c r="G103" i="15"/>
  <c r="F103" i="15"/>
  <c r="E103" i="15"/>
  <c r="D103" i="15"/>
  <c r="B103" i="15"/>
  <c r="Q102" i="15"/>
  <c r="B102" i="15"/>
  <c r="O101" i="15"/>
  <c r="N101" i="15"/>
  <c r="M101" i="15"/>
  <c r="L101" i="15"/>
  <c r="K101" i="15"/>
  <c r="J101" i="15"/>
  <c r="I101" i="15"/>
  <c r="H101" i="15"/>
  <c r="Q101" i="15" s="1"/>
  <c r="G101" i="15"/>
  <c r="F101" i="15"/>
  <c r="E101" i="15"/>
  <c r="D101" i="15"/>
  <c r="B101" i="15"/>
  <c r="Q100" i="15"/>
  <c r="B100" i="15"/>
  <c r="O99" i="15"/>
  <c r="N99" i="15"/>
  <c r="M99" i="15"/>
  <c r="L99" i="15"/>
  <c r="K99" i="15"/>
  <c r="J99" i="15"/>
  <c r="I99" i="15"/>
  <c r="H99" i="15"/>
  <c r="Q99" i="15" s="1"/>
  <c r="G99" i="15"/>
  <c r="F99" i="15"/>
  <c r="E99" i="15"/>
  <c r="D99" i="15"/>
  <c r="B99" i="15"/>
  <c r="Q98" i="15"/>
  <c r="B98" i="15"/>
  <c r="O97" i="15"/>
  <c r="N97" i="15"/>
  <c r="M97" i="15"/>
  <c r="L97" i="15"/>
  <c r="K97" i="15"/>
  <c r="J97" i="15"/>
  <c r="I97" i="15"/>
  <c r="H97" i="15"/>
  <c r="Q97" i="15" s="1"/>
  <c r="G97" i="15"/>
  <c r="F97" i="15"/>
  <c r="E97" i="15"/>
  <c r="D97" i="15"/>
  <c r="B97" i="15"/>
  <c r="Q96" i="15"/>
  <c r="B96" i="15"/>
  <c r="O95" i="15"/>
  <c r="N95" i="15"/>
  <c r="M95" i="15"/>
  <c r="L95" i="15"/>
  <c r="K95" i="15"/>
  <c r="J95" i="15"/>
  <c r="I95" i="15"/>
  <c r="H95" i="15"/>
  <c r="Q95" i="15" s="1"/>
  <c r="G95" i="15"/>
  <c r="F95" i="15"/>
  <c r="E95" i="15"/>
  <c r="D95" i="15"/>
  <c r="B95" i="15"/>
  <c r="Q94" i="15"/>
  <c r="B94" i="15"/>
  <c r="Q93" i="15"/>
  <c r="B93" i="15"/>
  <c r="O92" i="15"/>
  <c r="N92" i="15"/>
  <c r="M92" i="15"/>
  <c r="L92" i="15"/>
  <c r="K92" i="15"/>
  <c r="J92" i="15"/>
  <c r="I92" i="15"/>
  <c r="H92" i="15"/>
  <c r="G92" i="15"/>
  <c r="F92" i="15"/>
  <c r="E92" i="15"/>
  <c r="D92" i="15"/>
  <c r="B92" i="15"/>
  <c r="Q91" i="15"/>
  <c r="B91" i="15"/>
  <c r="O90" i="15"/>
  <c r="N90" i="15"/>
  <c r="M90" i="15"/>
  <c r="L90" i="15"/>
  <c r="K90" i="15"/>
  <c r="J90" i="15"/>
  <c r="I90" i="15"/>
  <c r="H90" i="15"/>
  <c r="G90" i="15"/>
  <c r="F90" i="15"/>
  <c r="Q90" i="15" s="1"/>
  <c r="E90" i="15"/>
  <c r="D90" i="15"/>
  <c r="B90" i="15"/>
  <c r="Q89" i="15"/>
  <c r="B89" i="15"/>
  <c r="O88" i="15"/>
  <c r="N88" i="15"/>
  <c r="M88" i="15"/>
  <c r="L88" i="15"/>
  <c r="K88" i="15"/>
  <c r="J88" i="15"/>
  <c r="I88" i="15"/>
  <c r="H88" i="15"/>
  <c r="G88" i="15"/>
  <c r="F88" i="15"/>
  <c r="E88" i="15"/>
  <c r="D88" i="15"/>
  <c r="B88" i="15"/>
  <c r="Q87" i="15"/>
  <c r="B87" i="15"/>
  <c r="O86" i="15"/>
  <c r="N86" i="15"/>
  <c r="M86" i="15"/>
  <c r="L86" i="15"/>
  <c r="K86" i="15"/>
  <c r="J86" i="15"/>
  <c r="I86" i="15"/>
  <c r="H86" i="15"/>
  <c r="G86" i="15"/>
  <c r="F86" i="15"/>
  <c r="E86" i="15"/>
  <c r="D86" i="15"/>
  <c r="B86" i="15"/>
  <c r="Q85" i="15"/>
  <c r="B85" i="15"/>
  <c r="Q84" i="15"/>
  <c r="B84" i="15"/>
  <c r="O83" i="15"/>
  <c r="N83" i="15"/>
  <c r="M83" i="15"/>
  <c r="L83" i="15"/>
  <c r="K83" i="15"/>
  <c r="J83" i="15"/>
  <c r="I83" i="15"/>
  <c r="H83" i="15"/>
  <c r="Q83" i="15" s="1"/>
  <c r="G83" i="15"/>
  <c r="F83" i="15"/>
  <c r="E83" i="15"/>
  <c r="D83" i="15"/>
  <c r="B83" i="15"/>
  <c r="Q82" i="15"/>
  <c r="B82" i="15"/>
  <c r="Q81" i="15"/>
  <c r="B81" i="15"/>
  <c r="O80" i="15"/>
  <c r="N80" i="15"/>
  <c r="M80" i="15"/>
  <c r="L80" i="15"/>
  <c r="K80" i="15"/>
  <c r="J80" i="15"/>
  <c r="I80" i="15"/>
  <c r="H80" i="15"/>
  <c r="G80" i="15"/>
  <c r="F80" i="15"/>
  <c r="E80" i="15"/>
  <c r="D80" i="15"/>
  <c r="B80" i="15"/>
  <c r="Q79" i="15"/>
  <c r="B79" i="15"/>
  <c r="O78" i="15"/>
  <c r="N78" i="15"/>
  <c r="M78" i="15"/>
  <c r="L78" i="15"/>
  <c r="K78" i="15"/>
  <c r="J78" i="15"/>
  <c r="J51" i="15" s="1" a="1"/>
  <c r="J51" i="15" s="1"/>
  <c r="I78" i="15"/>
  <c r="H78" i="15"/>
  <c r="G78" i="15"/>
  <c r="F78" i="15"/>
  <c r="E78" i="15"/>
  <c r="D78" i="15"/>
  <c r="B78" i="15"/>
  <c r="Q77" i="15"/>
  <c r="B77" i="15"/>
  <c r="O76" i="15"/>
  <c r="N76" i="15"/>
  <c r="M76" i="15"/>
  <c r="L76" i="15"/>
  <c r="K76" i="15"/>
  <c r="J76" i="15"/>
  <c r="I76" i="15"/>
  <c r="H76" i="15"/>
  <c r="G76" i="15"/>
  <c r="F76" i="15"/>
  <c r="E76" i="15"/>
  <c r="D76" i="15"/>
  <c r="B76" i="15"/>
  <c r="Q75" i="15"/>
  <c r="B75" i="15"/>
  <c r="O74" i="15"/>
  <c r="N74" i="15"/>
  <c r="N51" i="15" s="1" a="1"/>
  <c r="N51" i="15" s="1"/>
  <c r="M74" i="15"/>
  <c r="L74" i="15"/>
  <c r="K74" i="15"/>
  <c r="J74" i="15"/>
  <c r="I74" i="15"/>
  <c r="H74" i="15"/>
  <c r="G74" i="15"/>
  <c r="F74" i="15"/>
  <c r="F51" i="15" s="1" a="1"/>
  <c r="F51" i="15" s="1"/>
  <c r="E74" i="15"/>
  <c r="D74" i="15"/>
  <c r="Q74" i="15" s="1"/>
  <c r="B74" i="15"/>
  <c r="Q73" i="15"/>
  <c r="B73" i="15"/>
  <c r="Q72" i="15"/>
  <c r="B72" i="15"/>
  <c r="Q71" i="15"/>
  <c r="B71" i="15"/>
  <c r="Q70" i="15"/>
  <c r="B70" i="15"/>
  <c r="Q69" i="15"/>
  <c r="B69" i="15"/>
  <c r="Q68" i="15"/>
  <c r="B68" i="15"/>
  <c r="Q67" i="15"/>
  <c r="B67" i="15"/>
  <c r="Q66" i="15"/>
  <c r="B66" i="15"/>
  <c r="Q65" i="15"/>
  <c r="B65" i="15"/>
  <c r="Q64" i="15"/>
  <c r="B64" i="15"/>
  <c r="O63" i="15"/>
  <c r="N63" i="15"/>
  <c r="M63" i="15"/>
  <c r="L63" i="15"/>
  <c r="L51" i="15" s="1" a="1"/>
  <c r="L51" i="15" s="1"/>
  <c r="K63" i="15"/>
  <c r="J63" i="15"/>
  <c r="I63" i="15"/>
  <c r="H63" i="15"/>
  <c r="Q63" i="15" s="1"/>
  <c r="G63" i="15"/>
  <c r="F63" i="15"/>
  <c r="E63" i="15"/>
  <c r="D63" i="15"/>
  <c r="D51" i="15" s="1" a="1"/>
  <c r="D51" i="15" s="1"/>
  <c r="B63" i="15"/>
  <c r="Q62" i="15"/>
  <c r="B62" i="15"/>
  <c r="Q61" i="15"/>
  <c r="B61" i="15"/>
  <c r="Q60" i="15"/>
  <c r="B60" i="15"/>
  <c r="Q59" i="15"/>
  <c r="B59" i="15"/>
  <c r="Q58" i="15"/>
  <c r="B58" i="15"/>
  <c r="Q57" i="15"/>
  <c r="B57" i="15"/>
  <c r="Q56" i="15"/>
  <c r="B56" i="15"/>
  <c r="Q55" i="15"/>
  <c r="B55" i="15"/>
  <c r="Q54" i="15"/>
  <c r="B54" i="15"/>
  <c r="Q53" i="15"/>
  <c r="B53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B52" i="15"/>
  <c r="K49" i="15"/>
  <c r="K48" i="15"/>
  <c r="Q46" i="15"/>
  <c r="B46" i="15"/>
  <c r="Q45" i="15"/>
  <c r="B45" i="15"/>
  <c r="Q44" i="15"/>
  <c r="B44" i="15"/>
  <c r="Q43" i="15"/>
  <c r="B43" i="15"/>
  <c r="Q42" i="15"/>
  <c r="B42" i="15"/>
  <c r="Q41" i="15"/>
  <c r="B41" i="15"/>
  <c r="Q40" i="15"/>
  <c r="B40" i="15"/>
  <c r="Q39" i="15"/>
  <c r="B39" i="15"/>
  <c r="Q38" i="15"/>
  <c r="B38" i="15"/>
  <c r="Q37" i="15"/>
  <c r="B37" i="15"/>
  <c r="Q36" i="15"/>
  <c r="B36" i="15"/>
  <c r="Q35" i="15"/>
  <c r="B35" i="15"/>
  <c r="Q34" i="15"/>
  <c r="B34" i="15"/>
  <c r="Q33" i="15"/>
  <c r="B33" i="15"/>
  <c r="Q32" i="15"/>
  <c r="B32" i="15"/>
  <c r="Q31" i="15"/>
  <c r="B31" i="15"/>
  <c r="Q30" i="15"/>
  <c r="B30" i="15"/>
  <c r="Q29" i="15"/>
  <c r="B29" i="15"/>
  <c r="Q28" i="15"/>
  <c r="B28" i="15"/>
  <c r="Q27" i="15"/>
  <c r="B27" i="15"/>
  <c r="Q26" i="15"/>
  <c r="B26" i="15"/>
  <c r="Q25" i="15"/>
  <c r="B25" i="15"/>
  <c r="Q24" i="15"/>
  <c r="B24" i="15"/>
  <c r="Q23" i="15"/>
  <c r="B23" i="15"/>
  <c r="Q22" i="15"/>
  <c r="B22" i="15"/>
  <c r="Q21" i="15"/>
  <c r="B21" i="15"/>
  <c r="Q20" i="15"/>
  <c r="Q19" i="15" s="1"/>
  <c r="B20" i="15"/>
  <c r="O19" i="15"/>
  <c r="N19" i="15"/>
  <c r="N48" i="15" s="1"/>
  <c r="M19" i="15"/>
  <c r="L19" i="15"/>
  <c r="K19" i="15"/>
  <c r="J19" i="15"/>
  <c r="I19" i="15"/>
  <c r="H19" i="15"/>
  <c r="G19" i="15"/>
  <c r="F19" i="15"/>
  <c r="E19" i="15"/>
  <c r="D19" i="15"/>
  <c r="M17" i="15"/>
  <c r="L17" i="15"/>
  <c r="K17" i="15"/>
  <c r="J17" i="15"/>
  <c r="I17" i="15"/>
  <c r="H17" i="15"/>
  <c r="G17" i="15"/>
  <c r="F17" i="15"/>
  <c r="E17" i="15"/>
  <c r="D17" i="15"/>
  <c r="Q17" i="15" s="1"/>
  <c r="B17" i="15"/>
  <c r="M16" i="15"/>
  <c r="L16" i="15"/>
  <c r="K16" i="15"/>
  <c r="J16" i="15"/>
  <c r="J10" i="15" s="1"/>
  <c r="J48" i="15" s="1"/>
  <c r="I16" i="15"/>
  <c r="H16" i="15"/>
  <c r="G16" i="15"/>
  <c r="F16" i="15"/>
  <c r="E16" i="15"/>
  <c r="D16" i="15"/>
  <c r="B16" i="15"/>
  <c r="M15" i="15"/>
  <c r="L15" i="15"/>
  <c r="K15" i="15"/>
  <c r="J15" i="15"/>
  <c r="I15" i="15"/>
  <c r="H15" i="15"/>
  <c r="G15" i="15"/>
  <c r="F15" i="15"/>
  <c r="Q15" i="15" s="1"/>
  <c r="E15" i="15"/>
  <c r="D15" i="15"/>
  <c r="B15" i="15"/>
  <c r="M14" i="15"/>
  <c r="L14" i="15"/>
  <c r="K14" i="15"/>
  <c r="J14" i="15"/>
  <c r="I14" i="15"/>
  <c r="H14" i="15"/>
  <c r="G14" i="15"/>
  <c r="F14" i="15"/>
  <c r="E14" i="15"/>
  <c r="D14" i="15"/>
  <c r="B14" i="15"/>
  <c r="M13" i="15"/>
  <c r="L13" i="15"/>
  <c r="K13" i="15"/>
  <c r="J13" i="15"/>
  <c r="I13" i="15"/>
  <c r="H13" i="15"/>
  <c r="G13" i="15"/>
  <c r="F13" i="15"/>
  <c r="E13" i="15"/>
  <c r="D13" i="15"/>
  <c r="B13" i="15"/>
  <c r="M12" i="15"/>
  <c r="L12" i="15"/>
  <c r="K12" i="15"/>
  <c r="J12" i="15"/>
  <c r="I12" i="15"/>
  <c r="H12" i="15"/>
  <c r="G12" i="15"/>
  <c r="F12" i="15"/>
  <c r="E12" i="15"/>
  <c r="D12" i="15"/>
  <c r="Q12" i="15" s="1"/>
  <c r="B12" i="15"/>
  <c r="M11" i="15"/>
  <c r="L11" i="15"/>
  <c r="L10" i="15" s="1"/>
  <c r="L48" i="15" s="1"/>
  <c r="K11" i="15"/>
  <c r="J11" i="15"/>
  <c r="I11" i="15"/>
  <c r="H11" i="15"/>
  <c r="H10" i="15" s="1"/>
  <c r="H48" i="15" s="1"/>
  <c r="G11" i="15"/>
  <c r="F11" i="15"/>
  <c r="E11" i="15"/>
  <c r="D11" i="15"/>
  <c r="Q11" i="15" s="1"/>
  <c r="B11" i="15"/>
  <c r="O10" i="15"/>
  <c r="O48" i="15" s="1"/>
  <c r="N10" i="15"/>
  <c r="K10" i="15"/>
  <c r="G10" i="15"/>
  <c r="G48" i="15" s="1"/>
  <c r="O8" i="15"/>
  <c r="N8" i="15"/>
  <c r="M8" i="15"/>
  <c r="L8" i="15"/>
  <c r="K8" i="15"/>
  <c r="J8" i="15"/>
  <c r="I8" i="15"/>
  <c r="H8" i="15"/>
  <c r="G8" i="15"/>
  <c r="F8" i="15"/>
  <c r="E8" i="15"/>
  <c r="D8" i="15"/>
  <c r="B39" i="14"/>
  <c r="B38" i="14"/>
  <c r="G34" i="14"/>
  <c r="E34" i="14"/>
  <c r="D34" i="14"/>
  <c r="G33" i="14"/>
  <c r="E33" i="14"/>
  <c r="D33" i="14"/>
  <c r="G28" i="14"/>
  <c r="E28" i="14"/>
  <c r="D28" i="14"/>
  <c r="G23" i="14"/>
  <c r="E23" i="14"/>
  <c r="D23" i="14"/>
  <c r="G21" i="14"/>
  <c r="E21" i="14"/>
  <c r="D21" i="14"/>
  <c r="B21" i="14"/>
  <c r="G20" i="14"/>
  <c r="E20" i="14"/>
  <c r="D20" i="14"/>
  <c r="B20" i="14"/>
  <c r="G19" i="14"/>
  <c r="E19" i="14"/>
  <c r="D19" i="14"/>
  <c r="G14" i="14"/>
  <c r="E14" i="14"/>
  <c r="D14" i="14"/>
  <c r="B14" i="14"/>
  <c r="G13" i="14"/>
  <c r="E13" i="14"/>
  <c r="D13" i="14"/>
  <c r="G11" i="14"/>
  <c r="E11" i="14"/>
  <c r="D11" i="14"/>
  <c r="B11" i="14"/>
  <c r="G10" i="14"/>
  <c r="E10" i="14"/>
  <c r="D10" i="14"/>
  <c r="E8" i="14"/>
  <c r="D8" i="14"/>
  <c r="B39" i="13"/>
  <c r="B38" i="13"/>
  <c r="G34" i="13"/>
  <c r="E34" i="13"/>
  <c r="D34" i="13"/>
  <c r="G33" i="13"/>
  <c r="E33" i="13"/>
  <c r="D33" i="13"/>
  <c r="G28" i="13"/>
  <c r="E28" i="13"/>
  <c r="D28" i="13"/>
  <c r="G23" i="13"/>
  <c r="E23" i="13"/>
  <c r="D23" i="13"/>
  <c r="G21" i="13"/>
  <c r="E21" i="13"/>
  <c r="D21" i="13"/>
  <c r="B21" i="13"/>
  <c r="G20" i="13"/>
  <c r="E20" i="13"/>
  <c r="D20" i="13"/>
  <c r="B20" i="13"/>
  <c r="G19" i="13"/>
  <c r="E19" i="13"/>
  <c r="D19" i="13"/>
  <c r="G14" i="13"/>
  <c r="E14" i="13"/>
  <c r="D14" i="13"/>
  <c r="B14" i="13"/>
  <c r="G13" i="13"/>
  <c r="E13" i="13"/>
  <c r="D13" i="13"/>
  <c r="G11" i="13"/>
  <c r="E11" i="13"/>
  <c r="D11" i="13"/>
  <c r="B11" i="13"/>
  <c r="G10" i="13"/>
  <c r="E10" i="13"/>
  <c r="D10" i="13"/>
  <c r="E8" i="13"/>
  <c r="D8" i="13"/>
  <c r="Q156" i="12"/>
  <c r="M151" i="12"/>
  <c r="L151" i="12"/>
  <c r="K151" i="12"/>
  <c r="J151" i="12"/>
  <c r="I151" i="12"/>
  <c r="H151" i="12"/>
  <c r="G151" i="12"/>
  <c r="F151" i="12"/>
  <c r="E151" i="12"/>
  <c r="D151" i="12"/>
  <c r="Q149" i="12"/>
  <c r="B149" i="12"/>
  <c r="O148" i="12"/>
  <c r="N148" i="12"/>
  <c r="M148" i="12"/>
  <c r="L148" i="12"/>
  <c r="K148" i="12"/>
  <c r="J148" i="12"/>
  <c r="I148" i="12"/>
  <c r="H148" i="12"/>
  <c r="G148" i="12"/>
  <c r="F148" i="12"/>
  <c r="E148" i="12"/>
  <c r="D148" i="12"/>
  <c r="B148" i="12"/>
  <c r="Q147" i="12"/>
  <c r="B147" i="12"/>
  <c r="Q146" i="12"/>
  <c r="B146" i="12"/>
  <c r="Q145" i="12"/>
  <c r="B145" i="12"/>
  <c r="O144" i="12"/>
  <c r="N144" i="12"/>
  <c r="M144" i="12"/>
  <c r="L144" i="12"/>
  <c r="K144" i="12"/>
  <c r="J144" i="12"/>
  <c r="I144" i="12"/>
  <c r="H144" i="12"/>
  <c r="G144" i="12"/>
  <c r="F144" i="12"/>
  <c r="E144" i="12"/>
  <c r="D144" i="12"/>
  <c r="Q144" i="12" s="1"/>
  <c r="B144" i="12"/>
  <c r="Q143" i="12"/>
  <c r="B143" i="12"/>
  <c r="O142" i="12"/>
  <c r="N142" i="12"/>
  <c r="M142" i="12"/>
  <c r="L142" i="12"/>
  <c r="K142" i="12"/>
  <c r="J142" i="12"/>
  <c r="I142" i="12"/>
  <c r="H142" i="12"/>
  <c r="G142" i="12"/>
  <c r="F142" i="12"/>
  <c r="E142" i="12"/>
  <c r="D142" i="12"/>
  <c r="B142" i="12"/>
  <c r="Q141" i="12"/>
  <c r="B141" i="12"/>
  <c r="Q140" i="12"/>
  <c r="B140" i="12"/>
  <c r="O139" i="12"/>
  <c r="N139" i="12"/>
  <c r="M139" i="12"/>
  <c r="L139" i="12"/>
  <c r="K139" i="12"/>
  <c r="J139" i="12"/>
  <c r="I139" i="12"/>
  <c r="H139" i="12"/>
  <c r="G139" i="12"/>
  <c r="F139" i="12"/>
  <c r="E139" i="12"/>
  <c r="D139" i="12"/>
  <c r="Q139" i="12" s="1"/>
  <c r="B139" i="12"/>
  <c r="Q138" i="12"/>
  <c r="B138" i="12"/>
  <c r="Q137" i="12"/>
  <c r="B137" i="12"/>
  <c r="Q136" i="12"/>
  <c r="B136" i="12"/>
  <c r="Q135" i="12"/>
  <c r="B135" i="12"/>
  <c r="Q134" i="12"/>
  <c r="B134" i="12"/>
  <c r="Q133" i="12"/>
  <c r="B133" i="12"/>
  <c r="Q132" i="12"/>
  <c r="B132" i="12"/>
  <c r="O131" i="12"/>
  <c r="N131" i="12"/>
  <c r="M131" i="12"/>
  <c r="L131" i="12"/>
  <c r="K131" i="12"/>
  <c r="J131" i="12"/>
  <c r="I131" i="12"/>
  <c r="H131" i="12"/>
  <c r="G131" i="12"/>
  <c r="F131" i="12"/>
  <c r="E131" i="12"/>
  <c r="Q131" i="12" s="1"/>
  <c r="D131" i="12"/>
  <c r="B131" i="12"/>
  <c r="Q130" i="12"/>
  <c r="B130" i="12"/>
  <c r="Q129" i="12"/>
  <c r="B129" i="12"/>
  <c r="O128" i="12"/>
  <c r="N128" i="12"/>
  <c r="M128" i="12"/>
  <c r="L128" i="12"/>
  <c r="K128" i="12"/>
  <c r="J128" i="12"/>
  <c r="I128" i="12"/>
  <c r="H128" i="12"/>
  <c r="G128" i="12"/>
  <c r="F128" i="12"/>
  <c r="E128" i="12"/>
  <c r="D128" i="12"/>
  <c r="B128" i="12"/>
  <c r="Q127" i="12"/>
  <c r="B127" i="12"/>
  <c r="Q126" i="12"/>
  <c r="B126" i="12"/>
  <c r="Q125" i="12"/>
  <c r="B125" i="12"/>
  <c r="Q124" i="12"/>
  <c r="B124" i="12"/>
  <c r="O123" i="12"/>
  <c r="N123" i="12"/>
  <c r="M123" i="12"/>
  <c r="L123" i="12"/>
  <c r="K123" i="12"/>
  <c r="J123" i="12"/>
  <c r="I123" i="12"/>
  <c r="H123" i="12"/>
  <c r="H57" i="12" s="1" a="1"/>
  <c r="H57" i="12" s="1"/>
  <c r="G123" i="12"/>
  <c r="F123" i="12"/>
  <c r="E123" i="12"/>
  <c r="D123" i="12"/>
  <c r="Q123" i="12" s="1"/>
  <c r="B123" i="12"/>
  <c r="Q122" i="12"/>
  <c r="B122" i="12"/>
  <c r="Q121" i="12"/>
  <c r="B121" i="12"/>
  <c r="Q120" i="12"/>
  <c r="B120" i="12"/>
  <c r="Q119" i="12"/>
  <c r="B119" i="12"/>
  <c r="O118" i="12"/>
  <c r="N118" i="12"/>
  <c r="M118" i="12"/>
  <c r="L118" i="12"/>
  <c r="K118" i="12"/>
  <c r="J118" i="12"/>
  <c r="I118" i="12"/>
  <c r="H118" i="12"/>
  <c r="G118" i="12"/>
  <c r="F118" i="12"/>
  <c r="E118" i="12"/>
  <c r="D118" i="12"/>
  <c r="B118" i="12"/>
  <c r="Q117" i="12"/>
  <c r="B117" i="12"/>
  <c r="Q116" i="12"/>
  <c r="B116" i="12"/>
  <c r="Q115" i="12"/>
  <c r="B115" i="12"/>
  <c r="Q114" i="12"/>
  <c r="B114" i="12"/>
  <c r="O113" i="12"/>
  <c r="N113" i="12"/>
  <c r="M113" i="12"/>
  <c r="L113" i="12"/>
  <c r="K113" i="12"/>
  <c r="J113" i="12"/>
  <c r="I113" i="12"/>
  <c r="H113" i="12"/>
  <c r="G113" i="12"/>
  <c r="F113" i="12"/>
  <c r="E113" i="12"/>
  <c r="D113" i="12"/>
  <c r="B113" i="12"/>
  <c r="Q112" i="12"/>
  <c r="B112" i="12"/>
  <c r="O111" i="12"/>
  <c r="N111" i="12"/>
  <c r="M111" i="12"/>
  <c r="L111" i="12"/>
  <c r="K111" i="12"/>
  <c r="J111" i="12"/>
  <c r="I111" i="12"/>
  <c r="H111" i="12"/>
  <c r="G111" i="12"/>
  <c r="F111" i="12"/>
  <c r="E111" i="12"/>
  <c r="D111" i="12"/>
  <c r="B111" i="12"/>
  <c r="Q110" i="12"/>
  <c r="B110" i="12"/>
  <c r="O109" i="12"/>
  <c r="N109" i="12"/>
  <c r="M109" i="12"/>
  <c r="L109" i="12"/>
  <c r="K109" i="12"/>
  <c r="J109" i="12"/>
  <c r="I109" i="12"/>
  <c r="H109" i="12"/>
  <c r="G109" i="12"/>
  <c r="F109" i="12"/>
  <c r="E109" i="12"/>
  <c r="D109" i="12"/>
  <c r="Q109" i="12" s="1"/>
  <c r="B109" i="12"/>
  <c r="Q108" i="12"/>
  <c r="B108" i="12"/>
  <c r="O107" i="12"/>
  <c r="N107" i="12"/>
  <c r="M107" i="12"/>
  <c r="L107" i="12"/>
  <c r="K107" i="12"/>
  <c r="J107" i="12"/>
  <c r="I107" i="12"/>
  <c r="H107" i="12"/>
  <c r="G107" i="12"/>
  <c r="F107" i="12"/>
  <c r="E107" i="12"/>
  <c r="D107" i="12"/>
  <c r="B107" i="12"/>
  <c r="Q106" i="12"/>
  <c r="B106" i="12"/>
  <c r="O105" i="12"/>
  <c r="N105" i="12"/>
  <c r="M105" i="12"/>
  <c r="L105" i="12"/>
  <c r="K105" i="12"/>
  <c r="J105" i="12"/>
  <c r="I105" i="12"/>
  <c r="H105" i="12"/>
  <c r="G105" i="12"/>
  <c r="F105" i="12"/>
  <c r="E105" i="12"/>
  <c r="D105" i="12"/>
  <c r="Q105" i="12" s="1"/>
  <c r="B105" i="12"/>
  <c r="Q104" i="12"/>
  <c r="B104" i="12"/>
  <c r="O103" i="12"/>
  <c r="N103" i="12"/>
  <c r="M103" i="12"/>
  <c r="L103" i="12"/>
  <c r="K103" i="12"/>
  <c r="J103" i="12"/>
  <c r="I103" i="12"/>
  <c r="H103" i="12"/>
  <c r="G103" i="12"/>
  <c r="F103" i="12"/>
  <c r="E103" i="12"/>
  <c r="D103" i="12"/>
  <c r="Q103" i="12" s="1"/>
  <c r="B103" i="12"/>
  <c r="Q102" i="12"/>
  <c r="B102" i="12"/>
  <c r="O101" i="12"/>
  <c r="N101" i="12"/>
  <c r="M101" i="12"/>
  <c r="L101" i="12"/>
  <c r="K101" i="12"/>
  <c r="J101" i="12"/>
  <c r="I101" i="12"/>
  <c r="H101" i="12"/>
  <c r="G101" i="12"/>
  <c r="F101" i="12"/>
  <c r="E101" i="12"/>
  <c r="D101" i="12"/>
  <c r="Q101" i="12" s="1"/>
  <c r="B101" i="12"/>
  <c r="Q100" i="12"/>
  <c r="B100" i="12"/>
  <c r="Q99" i="12"/>
  <c r="B99" i="12"/>
  <c r="O98" i="12"/>
  <c r="N98" i="12"/>
  <c r="M98" i="12"/>
  <c r="L98" i="12"/>
  <c r="K98" i="12"/>
  <c r="J98" i="12"/>
  <c r="I98" i="12"/>
  <c r="H98" i="12"/>
  <c r="G98" i="12"/>
  <c r="F98" i="12"/>
  <c r="E98" i="12"/>
  <c r="D98" i="12"/>
  <c r="B98" i="12"/>
  <c r="Q97" i="12"/>
  <c r="B97" i="12"/>
  <c r="O96" i="12"/>
  <c r="N96" i="12"/>
  <c r="M96" i="12"/>
  <c r="L96" i="12"/>
  <c r="K96" i="12"/>
  <c r="J96" i="12"/>
  <c r="I96" i="12"/>
  <c r="H96" i="12"/>
  <c r="G96" i="12"/>
  <c r="F96" i="12"/>
  <c r="E96" i="12"/>
  <c r="D96" i="12"/>
  <c r="B96" i="12"/>
  <c r="Q95" i="12"/>
  <c r="B95" i="12"/>
  <c r="O94" i="12"/>
  <c r="N94" i="12"/>
  <c r="M94" i="12"/>
  <c r="L94" i="12"/>
  <c r="K94" i="12"/>
  <c r="J94" i="12"/>
  <c r="I94" i="12"/>
  <c r="H94" i="12"/>
  <c r="G94" i="12"/>
  <c r="F94" i="12"/>
  <c r="E94" i="12"/>
  <c r="D94" i="12"/>
  <c r="B94" i="12"/>
  <c r="Q93" i="12"/>
  <c r="B93" i="12"/>
  <c r="O92" i="12"/>
  <c r="N92" i="12"/>
  <c r="M92" i="12"/>
  <c r="L92" i="12"/>
  <c r="K92" i="12"/>
  <c r="J92" i="12"/>
  <c r="I92" i="12"/>
  <c r="H92" i="12"/>
  <c r="G92" i="12"/>
  <c r="F92" i="12"/>
  <c r="E92" i="12"/>
  <c r="D92" i="12"/>
  <c r="B92" i="12"/>
  <c r="Q91" i="12"/>
  <c r="B91" i="12"/>
  <c r="Q90" i="12"/>
  <c r="B90" i="12"/>
  <c r="O89" i="12"/>
  <c r="N89" i="12"/>
  <c r="M89" i="12"/>
  <c r="L89" i="12"/>
  <c r="K89" i="12"/>
  <c r="J89" i="12"/>
  <c r="I89" i="12"/>
  <c r="H89" i="12"/>
  <c r="G89" i="12"/>
  <c r="F89" i="12"/>
  <c r="E89" i="12"/>
  <c r="D89" i="12"/>
  <c r="B89" i="12"/>
  <c r="Q88" i="12"/>
  <c r="B88" i="12"/>
  <c r="Q87" i="12"/>
  <c r="B87" i="12"/>
  <c r="O86" i="12"/>
  <c r="N86" i="12"/>
  <c r="M86" i="12"/>
  <c r="L86" i="12"/>
  <c r="K86" i="12"/>
  <c r="J86" i="12"/>
  <c r="I86" i="12"/>
  <c r="H86" i="12"/>
  <c r="G86" i="12"/>
  <c r="F86" i="12"/>
  <c r="E86" i="12"/>
  <c r="D86" i="12"/>
  <c r="Q86" i="12" s="1"/>
  <c r="B86" i="12"/>
  <c r="Q85" i="12"/>
  <c r="B85" i="12"/>
  <c r="O84" i="12"/>
  <c r="N84" i="12"/>
  <c r="M84" i="12"/>
  <c r="L84" i="12"/>
  <c r="K84" i="12"/>
  <c r="J84" i="12"/>
  <c r="I84" i="12"/>
  <c r="H84" i="12"/>
  <c r="G84" i="12"/>
  <c r="F84" i="12"/>
  <c r="E84" i="12"/>
  <c r="D84" i="12"/>
  <c r="B84" i="12"/>
  <c r="Q83" i="12"/>
  <c r="B83" i="12"/>
  <c r="O82" i="12"/>
  <c r="N82" i="12"/>
  <c r="N57" i="12" s="1" a="1"/>
  <c r="N57" i="12" s="1"/>
  <c r="M82" i="12"/>
  <c r="L82" i="12"/>
  <c r="K82" i="12"/>
  <c r="J82" i="12"/>
  <c r="I82" i="12"/>
  <c r="H82" i="12"/>
  <c r="G82" i="12"/>
  <c r="F82" i="12"/>
  <c r="F57" i="12" s="1" a="1"/>
  <c r="F57" i="12" s="1"/>
  <c r="E82" i="12"/>
  <c r="D82" i="12"/>
  <c r="B82" i="12"/>
  <c r="Q81" i="12"/>
  <c r="B81" i="12"/>
  <c r="O80" i="12"/>
  <c r="N80" i="12"/>
  <c r="M80" i="12"/>
  <c r="M57" i="12" s="1" a="1"/>
  <c r="M57" i="12" s="1"/>
  <c r="L80" i="12"/>
  <c r="K80" i="12"/>
  <c r="J80" i="12"/>
  <c r="I80" i="12"/>
  <c r="H80" i="12"/>
  <c r="G80" i="12"/>
  <c r="F80" i="12"/>
  <c r="E80" i="12"/>
  <c r="E57" i="12" s="1" a="1"/>
  <c r="E57" i="12" s="1"/>
  <c r="D80" i="12"/>
  <c r="B80" i="12"/>
  <c r="Q79" i="12"/>
  <c r="B79" i="12"/>
  <c r="Q78" i="12"/>
  <c r="B78" i="12"/>
  <c r="Q77" i="12"/>
  <c r="B77" i="12"/>
  <c r="Q76" i="12"/>
  <c r="B76" i="12"/>
  <c r="Q75" i="12"/>
  <c r="B75" i="12"/>
  <c r="Q74" i="12"/>
  <c r="B74" i="12"/>
  <c r="Q73" i="12"/>
  <c r="B73" i="12"/>
  <c r="Q72" i="12"/>
  <c r="B72" i="12"/>
  <c r="Q71" i="12"/>
  <c r="B71" i="12"/>
  <c r="Q70" i="12"/>
  <c r="B70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B69" i="12"/>
  <c r="Q68" i="12"/>
  <c r="B68" i="12"/>
  <c r="Q67" i="12"/>
  <c r="B67" i="12"/>
  <c r="Q66" i="12"/>
  <c r="B66" i="12"/>
  <c r="Q65" i="12"/>
  <c r="B65" i="12"/>
  <c r="Q64" i="12"/>
  <c r="B64" i="12"/>
  <c r="Q63" i="12"/>
  <c r="B63" i="12"/>
  <c r="Q62" i="12"/>
  <c r="B62" i="12"/>
  <c r="Q61" i="12"/>
  <c r="B61" i="12"/>
  <c r="Q60" i="12"/>
  <c r="B60" i="12"/>
  <c r="Q59" i="12"/>
  <c r="B59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B58" i="12"/>
  <c r="J57" i="12" a="1"/>
  <c r="J57" i="12" s="1"/>
  <c r="N55" i="12"/>
  <c r="Q52" i="12"/>
  <c r="B52" i="12"/>
  <c r="Q51" i="12"/>
  <c r="B51" i="12"/>
  <c r="Q50" i="12"/>
  <c r="B50" i="12"/>
  <c r="Q49" i="12"/>
  <c r="B49" i="12"/>
  <c r="Q48" i="12"/>
  <c r="B48" i="12"/>
  <c r="Q47" i="12"/>
  <c r="B47" i="12"/>
  <c r="Q46" i="12"/>
  <c r="B46" i="12"/>
  <c r="Q45" i="12"/>
  <c r="B45" i="12"/>
  <c r="Q44" i="12"/>
  <c r="B44" i="12"/>
  <c r="Q43" i="12"/>
  <c r="B43" i="12"/>
  <c r="Q42" i="12"/>
  <c r="B42" i="12"/>
  <c r="Q41" i="12"/>
  <c r="B41" i="12"/>
  <c r="Q40" i="12"/>
  <c r="B40" i="12"/>
  <c r="Q39" i="12"/>
  <c r="B39" i="12"/>
  <c r="Q38" i="12"/>
  <c r="B38" i="12"/>
  <c r="Q37" i="12"/>
  <c r="B37" i="12"/>
  <c r="Q36" i="12"/>
  <c r="B36" i="12"/>
  <c r="Q35" i="12"/>
  <c r="B35" i="12"/>
  <c r="Q34" i="12"/>
  <c r="B34" i="12"/>
  <c r="Q33" i="12"/>
  <c r="B33" i="12"/>
  <c r="Q32" i="12"/>
  <c r="B32" i="12"/>
  <c r="Q31" i="12"/>
  <c r="B31" i="12"/>
  <c r="Q30" i="12"/>
  <c r="B30" i="12"/>
  <c r="Q29" i="12"/>
  <c r="B29" i="12"/>
  <c r="Q28" i="12"/>
  <c r="B28" i="12"/>
  <c r="Q27" i="12"/>
  <c r="B27" i="12"/>
  <c r="Q26" i="12"/>
  <c r="B26" i="12"/>
  <c r="Q25" i="12"/>
  <c r="B25" i="12"/>
  <c r="Q24" i="12"/>
  <c r="B24" i="12"/>
  <c r="O23" i="12"/>
  <c r="N23" i="12"/>
  <c r="N54" i="12" s="1"/>
  <c r="M23" i="12"/>
  <c r="L23" i="12"/>
  <c r="K23" i="12"/>
  <c r="J23" i="12"/>
  <c r="I23" i="12"/>
  <c r="H23" i="12"/>
  <c r="G23" i="12"/>
  <c r="F23" i="12"/>
  <c r="E23" i="12"/>
  <c r="D23" i="12"/>
  <c r="M21" i="12"/>
  <c r="L21" i="12"/>
  <c r="K21" i="12"/>
  <c r="J21" i="12"/>
  <c r="I21" i="12"/>
  <c r="H21" i="12"/>
  <c r="G21" i="12"/>
  <c r="F21" i="12"/>
  <c r="E21" i="12"/>
  <c r="D21" i="12"/>
  <c r="B21" i="12"/>
  <c r="M20" i="12"/>
  <c r="L20" i="12"/>
  <c r="K20" i="12"/>
  <c r="J20" i="12"/>
  <c r="I20" i="12"/>
  <c r="H20" i="12"/>
  <c r="G20" i="12"/>
  <c r="F20" i="12"/>
  <c r="E20" i="12"/>
  <c r="D20" i="12"/>
  <c r="Q20" i="12" s="1"/>
  <c r="B20" i="12"/>
  <c r="M19" i="12"/>
  <c r="L19" i="12"/>
  <c r="K19" i="12"/>
  <c r="J19" i="12"/>
  <c r="I19" i="12"/>
  <c r="H19" i="12"/>
  <c r="G19" i="12"/>
  <c r="F19" i="12"/>
  <c r="E19" i="12"/>
  <c r="D19" i="12"/>
  <c r="B19" i="12"/>
  <c r="M18" i="12"/>
  <c r="L18" i="12"/>
  <c r="K18" i="12"/>
  <c r="J18" i="12"/>
  <c r="I18" i="12"/>
  <c r="H18" i="12"/>
  <c r="G18" i="12"/>
  <c r="F18" i="12"/>
  <c r="F10" i="12" s="1"/>
  <c r="F54" i="12" s="1"/>
  <c r="E18" i="12"/>
  <c r="D18" i="12"/>
  <c r="B18" i="12"/>
  <c r="M17" i="12"/>
  <c r="L17" i="12"/>
  <c r="K17" i="12"/>
  <c r="J17" i="12"/>
  <c r="I17" i="12"/>
  <c r="H17" i="12"/>
  <c r="G17" i="12"/>
  <c r="F17" i="12"/>
  <c r="E17" i="12"/>
  <c r="Q17" i="12" s="1"/>
  <c r="D17" i="12"/>
  <c r="B17" i="12"/>
  <c r="M16" i="12"/>
  <c r="L16" i="12"/>
  <c r="K16" i="12"/>
  <c r="J16" i="12"/>
  <c r="I16" i="12"/>
  <c r="H16" i="12"/>
  <c r="G16" i="12"/>
  <c r="F16" i="12"/>
  <c r="E16" i="12"/>
  <c r="D16" i="12"/>
  <c r="B16" i="12"/>
  <c r="M15" i="12"/>
  <c r="L15" i="12"/>
  <c r="K15" i="12"/>
  <c r="J15" i="12"/>
  <c r="I15" i="12"/>
  <c r="H15" i="12"/>
  <c r="G15" i="12"/>
  <c r="F15" i="12"/>
  <c r="E15" i="12"/>
  <c r="D15" i="12"/>
  <c r="B15" i="12"/>
  <c r="M14" i="12"/>
  <c r="L14" i="12"/>
  <c r="K14" i="12"/>
  <c r="J14" i="12"/>
  <c r="I14" i="12"/>
  <c r="H14" i="12"/>
  <c r="G14" i="12"/>
  <c r="F14" i="12"/>
  <c r="E14" i="12"/>
  <c r="D14" i="12"/>
  <c r="Q14" i="12" s="1"/>
  <c r="B14" i="12"/>
  <c r="M13" i="12"/>
  <c r="L13" i="12"/>
  <c r="K13" i="12"/>
  <c r="J13" i="12"/>
  <c r="I13" i="12"/>
  <c r="H13" i="12"/>
  <c r="G13" i="12"/>
  <c r="F13" i="12"/>
  <c r="E13" i="12"/>
  <c r="D13" i="12"/>
  <c r="B13" i="12"/>
  <c r="M12" i="12"/>
  <c r="L12" i="12"/>
  <c r="K12" i="12"/>
  <c r="J12" i="12"/>
  <c r="I12" i="12"/>
  <c r="H12" i="12"/>
  <c r="G12" i="12"/>
  <c r="F12" i="12"/>
  <c r="E12" i="12"/>
  <c r="D12" i="12"/>
  <c r="B12" i="12"/>
  <c r="M11" i="12"/>
  <c r="L11" i="12"/>
  <c r="K11" i="12"/>
  <c r="J11" i="12"/>
  <c r="J10" i="12" s="1"/>
  <c r="J54" i="12" s="1"/>
  <c r="I11" i="12"/>
  <c r="H11" i="12"/>
  <c r="H10" i="12" s="1"/>
  <c r="H54" i="12" s="1"/>
  <c r="G11" i="12"/>
  <c r="F11" i="12"/>
  <c r="E11" i="12"/>
  <c r="D11" i="12"/>
  <c r="B11" i="12"/>
  <c r="O10" i="12"/>
  <c r="O54" i="12" s="1"/>
  <c r="O55" i="12" s="1"/>
  <c r="N10" i="12"/>
  <c r="K10" i="12"/>
  <c r="K54" i="12" s="1"/>
  <c r="O8" i="12"/>
  <c r="N8" i="12"/>
  <c r="M8" i="12"/>
  <c r="L8" i="12"/>
  <c r="K8" i="12"/>
  <c r="J8" i="12"/>
  <c r="I8" i="12"/>
  <c r="H8" i="12"/>
  <c r="G8" i="12"/>
  <c r="F8" i="12"/>
  <c r="E8" i="12"/>
  <c r="D8" i="12"/>
  <c r="B39" i="11"/>
  <c r="B38" i="11"/>
  <c r="G34" i="11"/>
  <c r="E34" i="11"/>
  <c r="D34" i="11"/>
  <c r="G33" i="11"/>
  <c r="E33" i="11"/>
  <c r="D33" i="11"/>
  <c r="G28" i="11"/>
  <c r="E28" i="11"/>
  <c r="D28" i="11"/>
  <c r="G23" i="11"/>
  <c r="E23" i="11"/>
  <c r="D23" i="11"/>
  <c r="G21" i="11"/>
  <c r="E21" i="11"/>
  <c r="D21" i="11"/>
  <c r="B21" i="11"/>
  <c r="G20" i="11"/>
  <c r="E20" i="11"/>
  <c r="D20" i="11"/>
  <c r="B20" i="11"/>
  <c r="G19" i="11"/>
  <c r="E19" i="11"/>
  <c r="D19" i="11"/>
  <c r="G14" i="11"/>
  <c r="E14" i="11"/>
  <c r="D14" i="11"/>
  <c r="B14" i="11"/>
  <c r="G13" i="11"/>
  <c r="E13" i="11"/>
  <c r="D13" i="11"/>
  <c r="G11" i="11"/>
  <c r="E11" i="11"/>
  <c r="D11" i="11"/>
  <c r="B11" i="11"/>
  <c r="G10" i="11"/>
  <c r="E10" i="11"/>
  <c r="D10" i="11"/>
  <c r="D16" i="11" s="1"/>
  <c r="E8" i="11"/>
  <c r="D8" i="11"/>
  <c r="B39" i="10"/>
  <c r="B38" i="10"/>
  <c r="G34" i="10"/>
  <c r="E34" i="10"/>
  <c r="D34" i="10"/>
  <c r="G33" i="10"/>
  <c r="E33" i="10"/>
  <c r="D33" i="10"/>
  <c r="G28" i="10"/>
  <c r="E28" i="10"/>
  <c r="D28" i="10"/>
  <c r="G23" i="10"/>
  <c r="E23" i="10"/>
  <c r="D23" i="10"/>
  <c r="G21" i="10"/>
  <c r="E21" i="10"/>
  <c r="D21" i="10"/>
  <c r="B21" i="10"/>
  <c r="G20" i="10"/>
  <c r="E20" i="10"/>
  <c r="D20" i="10"/>
  <c r="B20" i="10"/>
  <c r="G19" i="10"/>
  <c r="E19" i="10"/>
  <c r="D19" i="10"/>
  <c r="G14" i="10"/>
  <c r="E14" i="10"/>
  <c r="D14" i="10"/>
  <c r="B14" i="10"/>
  <c r="G13" i="10"/>
  <c r="E13" i="10"/>
  <c r="D13" i="10"/>
  <c r="G11" i="10"/>
  <c r="E11" i="10"/>
  <c r="D11" i="10"/>
  <c r="B11" i="10"/>
  <c r="G10" i="10"/>
  <c r="E10" i="10"/>
  <c r="E16" i="10" s="1"/>
  <c r="D10" i="10"/>
  <c r="E8" i="10"/>
  <c r="D8" i="10"/>
  <c r="M93" i="9"/>
  <c r="L93" i="9"/>
  <c r="K93" i="9"/>
  <c r="J93" i="9"/>
  <c r="I93" i="9"/>
  <c r="H93" i="9"/>
  <c r="G93" i="9"/>
  <c r="F93" i="9"/>
  <c r="E93" i="9"/>
  <c r="D93" i="9"/>
  <c r="Q93" i="9" s="1"/>
  <c r="Q91" i="9"/>
  <c r="B91" i="9"/>
  <c r="Q90" i="9"/>
  <c r="B90" i="9"/>
  <c r="O89" i="9"/>
  <c r="N89" i="9"/>
  <c r="M89" i="9"/>
  <c r="L89" i="9"/>
  <c r="K89" i="9"/>
  <c r="J89" i="9"/>
  <c r="I89" i="9"/>
  <c r="H89" i="9"/>
  <c r="G89" i="9"/>
  <c r="F89" i="9"/>
  <c r="E89" i="9"/>
  <c r="Q89" i="9" s="1"/>
  <c r="D89" i="9"/>
  <c r="B89" i="9"/>
  <c r="Q88" i="9"/>
  <c r="B88" i="9"/>
  <c r="O87" i="9"/>
  <c r="N87" i="9"/>
  <c r="M87" i="9"/>
  <c r="L87" i="9"/>
  <c r="K87" i="9"/>
  <c r="J87" i="9"/>
  <c r="I87" i="9"/>
  <c r="H87" i="9"/>
  <c r="G87" i="9"/>
  <c r="F87" i="9"/>
  <c r="E87" i="9"/>
  <c r="D87" i="9"/>
  <c r="B87" i="9"/>
  <c r="Q86" i="9"/>
  <c r="B86" i="9"/>
  <c r="Q85" i="9"/>
  <c r="B85" i="9"/>
  <c r="O84" i="9"/>
  <c r="N84" i="9"/>
  <c r="M84" i="9"/>
  <c r="L84" i="9"/>
  <c r="K84" i="9"/>
  <c r="J84" i="9"/>
  <c r="I84" i="9"/>
  <c r="H84" i="9"/>
  <c r="G84" i="9"/>
  <c r="Q84" i="9" s="1"/>
  <c r="F84" i="9"/>
  <c r="E84" i="9"/>
  <c r="D84" i="9"/>
  <c r="B84" i="9"/>
  <c r="Q83" i="9"/>
  <c r="B83" i="9"/>
  <c r="Q82" i="9"/>
  <c r="B82" i="9"/>
  <c r="Q81" i="9"/>
  <c r="B81" i="9"/>
  <c r="Q80" i="9"/>
  <c r="B80" i="9"/>
  <c r="Q79" i="9"/>
  <c r="B79" i="9"/>
  <c r="O78" i="9"/>
  <c r="N78" i="9"/>
  <c r="M78" i="9"/>
  <c r="L78" i="9"/>
  <c r="K78" i="9"/>
  <c r="J78" i="9"/>
  <c r="I78" i="9"/>
  <c r="H78" i="9"/>
  <c r="G78" i="9"/>
  <c r="Q78" i="9" s="1"/>
  <c r="F78" i="9"/>
  <c r="E78" i="9"/>
  <c r="D78" i="9"/>
  <c r="B78" i="9"/>
  <c r="Q77" i="9"/>
  <c r="B77" i="9"/>
  <c r="Q76" i="9"/>
  <c r="B76" i="9"/>
  <c r="O75" i="9"/>
  <c r="N75" i="9"/>
  <c r="M75" i="9"/>
  <c r="L75" i="9"/>
  <c r="K75" i="9"/>
  <c r="J75" i="9"/>
  <c r="I75" i="9"/>
  <c r="H75" i="9"/>
  <c r="G75" i="9"/>
  <c r="F75" i="9"/>
  <c r="E75" i="9"/>
  <c r="D75" i="9"/>
  <c r="Q75" i="9" s="1"/>
  <c r="B75" i="9"/>
  <c r="Q74" i="9"/>
  <c r="B74" i="9"/>
  <c r="Q73" i="9"/>
  <c r="B73" i="9"/>
  <c r="O72" i="9"/>
  <c r="N72" i="9"/>
  <c r="M72" i="9"/>
  <c r="L72" i="9"/>
  <c r="K72" i="9"/>
  <c r="J72" i="9"/>
  <c r="I72" i="9"/>
  <c r="H72" i="9"/>
  <c r="G72" i="9"/>
  <c r="F72" i="9"/>
  <c r="E72" i="9"/>
  <c r="D72" i="9"/>
  <c r="B72" i="9"/>
  <c r="Q71" i="9"/>
  <c r="B71" i="9"/>
  <c r="Q70" i="9"/>
  <c r="B70" i="9"/>
  <c r="Q69" i="9"/>
  <c r="B69" i="9"/>
  <c r="Q68" i="9"/>
  <c r="B68" i="9"/>
  <c r="O67" i="9"/>
  <c r="N67" i="9"/>
  <c r="M67" i="9"/>
  <c r="L67" i="9"/>
  <c r="K67" i="9"/>
  <c r="J67" i="9"/>
  <c r="I67" i="9"/>
  <c r="H67" i="9"/>
  <c r="G67" i="9"/>
  <c r="F67" i="9"/>
  <c r="E67" i="9"/>
  <c r="D67" i="9"/>
  <c r="B67" i="9"/>
  <c r="Q66" i="9"/>
  <c r="B66" i="9"/>
  <c r="Q65" i="9"/>
  <c r="B65" i="9"/>
  <c r="Q64" i="9"/>
  <c r="B64" i="9"/>
  <c r="Q63" i="9"/>
  <c r="B63" i="9"/>
  <c r="O62" i="9"/>
  <c r="N62" i="9"/>
  <c r="M62" i="9"/>
  <c r="L62" i="9"/>
  <c r="K62" i="9"/>
  <c r="J62" i="9"/>
  <c r="I62" i="9"/>
  <c r="H62" i="9"/>
  <c r="Q62" i="9" s="1"/>
  <c r="G62" i="9"/>
  <c r="F62" i="9"/>
  <c r="E62" i="9"/>
  <c r="D62" i="9"/>
  <c r="B62" i="9"/>
  <c r="Q61" i="9"/>
  <c r="B61" i="9"/>
  <c r="O60" i="9"/>
  <c r="N60" i="9"/>
  <c r="M60" i="9"/>
  <c r="L60" i="9"/>
  <c r="K60" i="9"/>
  <c r="J60" i="9"/>
  <c r="I60" i="9"/>
  <c r="H60" i="9"/>
  <c r="Q60" i="9" s="1"/>
  <c r="G60" i="9"/>
  <c r="F60" i="9"/>
  <c r="E60" i="9"/>
  <c r="D60" i="9"/>
  <c r="B60" i="9"/>
  <c r="Q59" i="9"/>
  <c r="B59" i="9"/>
  <c r="O58" i="9"/>
  <c r="N58" i="9"/>
  <c r="M58" i="9"/>
  <c r="L58" i="9"/>
  <c r="K58" i="9"/>
  <c r="J58" i="9"/>
  <c r="I58" i="9"/>
  <c r="H58" i="9"/>
  <c r="Q58" i="9" s="1"/>
  <c r="G58" i="9"/>
  <c r="F58" i="9"/>
  <c r="E58" i="9"/>
  <c r="D58" i="9"/>
  <c r="B58" i="9"/>
  <c r="Q57" i="9"/>
  <c r="B57" i="9"/>
  <c r="O56" i="9"/>
  <c r="N56" i="9"/>
  <c r="M56" i="9"/>
  <c r="L56" i="9"/>
  <c r="K56" i="9"/>
  <c r="J56" i="9"/>
  <c r="I56" i="9"/>
  <c r="H56" i="9"/>
  <c r="Q56" i="9" s="1"/>
  <c r="G56" i="9"/>
  <c r="F56" i="9"/>
  <c r="E56" i="9"/>
  <c r="D56" i="9"/>
  <c r="B56" i="9"/>
  <c r="Q55" i="9"/>
  <c r="B55" i="9"/>
  <c r="O54" i="9"/>
  <c r="N54" i="9"/>
  <c r="M54" i="9"/>
  <c r="L54" i="9"/>
  <c r="K54" i="9"/>
  <c r="J54" i="9"/>
  <c r="I54" i="9"/>
  <c r="H54" i="9"/>
  <c r="Q54" i="9" s="1"/>
  <c r="G54" i="9"/>
  <c r="F54" i="9"/>
  <c r="E54" i="9"/>
  <c r="D54" i="9"/>
  <c r="B54" i="9"/>
  <c r="Q53" i="9"/>
  <c r="B53" i="9"/>
  <c r="O52" i="9"/>
  <c r="N52" i="9"/>
  <c r="M52" i="9"/>
  <c r="L52" i="9"/>
  <c r="K52" i="9"/>
  <c r="J52" i="9"/>
  <c r="I52" i="9"/>
  <c r="H52" i="9"/>
  <c r="Q52" i="9" s="1"/>
  <c r="G52" i="9"/>
  <c r="F52" i="9"/>
  <c r="E52" i="9"/>
  <c r="D52" i="9"/>
  <c r="B52" i="9"/>
  <c r="Q51" i="9"/>
  <c r="B51" i="9"/>
  <c r="O50" i="9"/>
  <c r="N50" i="9"/>
  <c r="M50" i="9"/>
  <c r="L50" i="9"/>
  <c r="K50" i="9"/>
  <c r="J50" i="9"/>
  <c r="I50" i="9"/>
  <c r="H50" i="9"/>
  <c r="H17" i="9" s="1" a="1"/>
  <c r="H17" i="9" s="1"/>
  <c r="G50" i="9"/>
  <c r="F50" i="9"/>
  <c r="E50" i="9"/>
  <c r="D50" i="9"/>
  <c r="B50" i="9"/>
  <c r="Q49" i="9"/>
  <c r="B49" i="9"/>
  <c r="Q48" i="9"/>
  <c r="B48" i="9"/>
  <c r="O47" i="9"/>
  <c r="N47" i="9"/>
  <c r="M47" i="9"/>
  <c r="L47" i="9"/>
  <c r="K47" i="9"/>
  <c r="J47" i="9"/>
  <c r="I47" i="9"/>
  <c r="H47" i="9"/>
  <c r="G47" i="9"/>
  <c r="F47" i="9"/>
  <c r="E47" i="9"/>
  <c r="D47" i="9"/>
  <c r="B47" i="9"/>
  <c r="Q46" i="9"/>
  <c r="B46" i="9"/>
  <c r="O45" i="9"/>
  <c r="N45" i="9"/>
  <c r="M45" i="9"/>
  <c r="L45" i="9"/>
  <c r="K45" i="9"/>
  <c r="J45" i="9"/>
  <c r="I45" i="9"/>
  <c r="H45" i="9"/>
  <c r="G45" i="9"/>
  <c r="F45" i="9"/>
  <c r="E45" i="9"/>
  <c r="D45" i="9"/>
  <c r="Q45" i="9" s="1"/>
  <c r="B45" i="9"/>
  <c r="Q44" i="9"/>
  <c r="B44" i="9"/>
  <c r="O43" i="9"/>
  <c r="N43" i="9"/>
  <c r="M43" i="9"/>
  <c r="L43" i="9"/>
  <c r="K43" i="9"/>
  <c r="J43" i="9"/>
  <c r="I43" i="9"/>
  <c r="H43" i="9"/>
  <c r="G43" i="9"/>
  <c r="F43" i="9"/>
  <c r="E43" i="9"/>
  <c r="D43" i="9"/>
  <c r="B43" i="9"/>
  <c r="Q42" i="9"/>
  <c r="B42" i="9"/>
  <c r="O41" i="9"/>
  <c r="N41" i="9"/>
  <c r="M41" i="9"/>
  <c r="L41" i="9"/>
  <c r="K41" i="9"/>
  <c r="J41" i="9"/>
  <c r="I41" i="9"/>
  <c r="H41" i="9"/>
  <c r="G41" i="9"/>
  <c r="F41" i="9"/>
  <c r="E41" i="9"/>
  <c r="D41" i="9"/>
  <c r="B41" i="9"/>
  <c r="Q40" i="9"/>
  <c r="B40" i="9"/>
  <c r="Q39" i="9"/>
  <c r="B39" i="9"/>
  <c r="Q38" i="9"/>
  <c r="B38" i="9"/>
  <c r="Q37" i="9"/>
  <c r="B37" i="9"/>
  <c r="Q36" i="9"/>
  <c r="B36" i="9"/>
  <c r="Q35" i="9"/>
  <c r="B35" i="9"/>
  <c r="Q34" i="9"/>
  <c r="B34" i="9"/>
  <c r="Q33" i="9"/>
  <c r="B33" i="9"/>
  <c r="Q32" i="9"/>
  <c r="B32" i="9"/>
  <c r="Q31" i="9"/>
  <c r="B31" i="9"/>
  <c r="O30" i="9"/>
  <c r="N30" i="9"/>
  <c r="M30" i="9"/>
  <c r="L30" i="9"/>
  <c r="K30" i="9"/>
  <c r="K17" i="9" s="1" a="1"/>
  <c r="K17" i="9" s="1"/>
  <c r="J30" i="9"/>
  <c r="I30" i="9"/>
  <c r="H30" i="9"/>
  <c r="G30" i="9"/>
  <c r="F30" i="9"/>
  <c r="E30" i="9"/>
  <c r="D30" i="9"/>
  <c r="B30" i="9"/>
  <c r="Q29" i="9"/>
  <c r="B29" i="9"/>
  <c r="Q28" i="9"/>
  <c r="B28" i="9"/>
  <c r="Q27" i="9"/>
  <c r="B27" i="9"/>
  <c r="Q26" i="9"/>
  <c r="B26" i="9"/>
  <c r="Q25" i="9"/>
  <c r="B25" i="9"/>
  <c r="Q24" i="9"/>
  <c r="B24" i="9"/>
  <c r="Q23" i="9"/>
  <c r="B23" i="9"/>
  <c r="Q22" i="9"/>
  <c r="B22" i="9"/>
  <c r="Q21" i="9"/>
  <c r="B21" i="9"/>
  <c r="Q20" i="9"/>
  <c r="B20" i="9"/>
  <c r="Q19" i="9"/>
  <c r="B19" i="9"/>
  <c r="O18" i="9"/>
  <c r="N18" i="9"/>
  <c r="M18" i="9"/>
  <c r="L18" i="9"/>
  <c r="K18" i="9"/>
  <c r="J18" i="9"/>
  <c r="I18" i="9"/>
  <c r="H18" i="9"/>
  <c r="G18" i="9"/>
  <c r="F18" i="9"/>
  <c r="E18" i="9"/>
  <c r="D18" i="9"/>
  <c r="B18" i="9"/>
  <c r="I15" i="9"/>
  <c r="G15" i="9"/>
  <c r="N14" i="9"/>
  <c r="M14" i="9"/>
  <c r="J14" i="9"/>
  <c r="J15" i="9" s="1"/>
  <c r="F14" i="9"/>
  <c r="E14" i="9"/>
  <c r="Q12" i="9"/>
  <c r="O12" i="9"/>
  <c r="O14" i="9" s="1"/>
  <c r="N12" i="9"/>
  <c r="M12" i="9"/>
  <c r="L12" i="9"/>
  <c r="K12" i="9"/>
  <c r="K14" i="9" s="1"/>
  <c r="J12" i="9"/>
  <c r="I12" i="9"/>
  <c r="H12" i="9"/>
  <c r="G12" i="9"/>
  <c r="G14" i="9" s="1"/>
  <c r="F12" i="9"/>
  <c r="E12" i="9"/>
  <c r="D12" i="9"/>
  <c r="Q10" i="9"/>
  <c r="Q14" i="9" s="1"/>
  <c r="O10" i="9"/>
  <c r="N10" i="9"/>
  <c r="M10" i="9"/>
  <c r="L10" i="9"/>
  <c r="L14" i="9" s="1"/>
  <c r="L15" i="9" s="1"/>
  <c r="K10" i="9"/>
  <c r="J10" i="9"/>
  <c r="I10" i="9"/>
  <c r="I14" i="9" s="1"/>
  <c r="H10" i="9"/>
  <c r="H14" i="9" s="1"/>
  <c r="G10" i="9"/>
  <c r="F10" i="9"/>
  <c r="E10" i="9"/>
  <c r="D10" i="9"/>
  <c r="D14" i="9" s="1"/>
  <c r="O8" i="9"/>
  <c r="N8" i="9"/>
  <c r="M8" i="9"/>
  <c r="L8" i="9"/>
  <c r="K8" i="9"/>
  <c r="J8" i="9"/>
  <c r="I8" i="9"/>
  <c r="H8" i="9"/>
  <c r="G8" i="9"/>
  <c r="F8" i="9"/>
  <c r="E8" i="9"/>
  <c r="D8" i="9"/>
  <c r="B39" i="8"/>
  <c r="B38" i="8"/>
  <c r="G34" i="8"/>
  <c r="E34" i="8"/>
  <c r="D34" i="8"/>
  <c r="G33" i="8"/>
  <c r="E33" i="8"/>
  <c r="D33" i="8"/>
  <c r="G28" i="8"/>
  <c r="E28" i="8"/>
  <c r="D28" i="8"/>
  <c r="G23" i="8"/>
  <c r="E23" i="8"/>
  <c r="D23" i="8"/>
  <c r="G21" i="8"/>
  <c r="E21" i="8"/>
  <c r="D21" i="8"/>
  <c r="B21" i="8"/>
  <c r="G20" i="8"/>
  <c r="E20" i="8"/>
  <c r="D20" i="8"/>
  <c r="B20" i="8"/>
  <c r="G19" i="8"/>
  <c r="E19" i="8"/>
  <c r="D19" i="8"/>
  <c r="G14" i="8"/>
  <c r="E14" i="8"/>
  <c r="D14" i="8"/>
  <c r="B14" i="8"/>
  <c r="G13" i="8"/>
  <c r="E13" i="8"/>
  <c r="D13" i="8"/>
  <c r="G11" i="8"/>
  <c r="E11" i="8"/>
  <c r="D11" i="8"/>
  <c r="B11" i="8"/>
  <c r="G10" i="8"/>
  <c r="E10" i="8"/>
  <c r="D10" i="8"/>
  <c r="E8" i="8"/>
  <c r="D8" i="8"/>
  <c r="B39" i="7"/>
  <c r="B38" i="7"/>
  <c r="G34" i="7"/>
  <c r="E34" i="7"/>
  <c r="D34" i="7"/>
  <c r="G33" i="7"/>
  <c r="E33" i="7"/>
  <c r="D33" i="7"/>
  <c r="G28" i="7"/>
  <c r="E28" i="7"/>
  <c r="D28" i="7"/>
  <c r="G23" i="7"/>
  <c r="E23" i="7"/>
  <c r="D23" i="7"/>
  <c r="G21" i="7"/>
  <c r="E21" i="7"/>
  <c r="D21" i="7"/>
  <c r="B21" i="7"/>
  <c r="G20" i="7"/>
  <c r="E20" i="7"/>
  <c r="D20" i="7"/>
  <c r="B20" i="7"/>
  <c r="G19" i="7"/>
  <c r="E19" i="7"/>
  <c r="D19" i="7"/>
  <c r="G14" i="7"/>
  <c r="E14" i="7"/>
  <c r="D14" i="7"/>
  <c r="B14" i="7"/>
  <c r="G13" i="7"/>
  <c r="E13" i="7"/>
  <c r="D13" i="7"/>
  <c r="G11" i="7"/>
  <c r="E11" i="7"/>
  <c r="D11" i="7"/>
  <c r="B11" i="7"/>
  <c r="G10" i="7"/>
  <c r="E10" i="7"/>
  <c r="D10" i="7"/>
  <c r="E8" i="7"/>
  <c r="D8" i="7"/>
  <c r="O29" i="6"/>
  <c r="N29" i="6"/>
  <c r="M29" i="6"/>
  <c r="L29" i="6"/>
  <c r="K29" i="6"/>
  <c r="J29" i="6"/>
  <c r="I29" i="6"/>
  <c r="H29" i="6"/>
  <c r="G29" i="6"/>
  <c r="F29" i="6"/>
  <c r="E29" i="6"/>
  <c r="D29" i="6"/>
  <c r="O28" i="6"/>
  <c r="N28" i="6"/>
  <c r="M28" i="6"/>
  <c r="L28" i="6"/>
  <c r="K28" i="6"/>
  <c r="J28" i="6"/>
  <c r="I28" i="6"/>
  <c r="H28" i="6"/>
  <c r="G28" i="6"/>
  <c r="F28" i="6"/>
  <c r="Q28" i="6" s="1"/>
  <c r="E28" i="6"/>
  <c r="D28" i="6"/>
  <c r="O21" i="6"/>
  <c r="M19" i="6"/>
  <c r="L19" i="6"/>
  <c r="K19" i="6"/>
  <c r="J19" i="6"/>
  <c r="J21" i="6" s="1"/>
  <c r="I19" i="6"/>
  <c r="H19" i="6"/>
  <c r="G19" i="6"/>
  <c r="F19" i="6"/>
  <c r="E19" i="6"/>
  <c r="D19" i="6"/>
  <c r="Q17" i="6"/>
  <c r="O17" i="6"/>
  <c r="N17" i="6"/>
  <c r="M17" i="6"/>
  <c r="L17" i="6"/>
  <c r="K17" i="6"/>
  <c r="J17" i="6"/>
  <c r="I17" i="6"/>
  <c r="H17" i="6"/>
  <c r="G17" i="6"/>
  <c r="F17" i="6"/>
  <c r="E17" i="6"/>
  <c r="D17" i="6"/>
  <c r="Q14" i="6"/>
  <c r="O14" i="6"/>
  <c r="O15" i="6" s="1"/>
  <c r="H14" i="6"/>
  <c r="G14" i="6"/>
  <c r="Q12" i="6"/>
  <c r="O12" i="6"/>
  <c r="N12" i="6"/>
  <c r="M12" i="6"/>
  <c r="L12" i="6"/>
  <c r="L14" i="6" s="1"/>
  <c r="K12" i="6"/>
  <c r="J12" i="6"/>
  <c r="I12" i="6"/>
  <c r="H12" i="6"/>
  <c r="G12" i="6"/>
  <c r="F12" i="6"/>
  <c r="E12" i="6"/>
  <c r="D12" i="6"/>
  <c r="D14" i="6" s="1"/>
  <c r="D15" i="6" s="1"/>
  <c r="Q10" i="6"/>
  <c r="O10" i="6"/>
  <c r="N10" i="6"/>
  <c r="N14" i="6" s="1"/>
  <c r="M10" i="6"/>
  <c r="M14" i="6" s="1"/>
  <c r="L10" i="6"/>
  <c r="K10" i="6"/>
  <c r="K14" i="6" s="1"/>
  <c r="K21" i="6" s="1"/>
  <c r="K22" i="6" s="1"/>
  <c r="J10" i="6"/>
  <c r="J14" i="6" s="1"/>
  <c r="J15" i="6" s="1"/>
  <c r="I10" i="6"/>
  <c r="I14" i="6" s="1"/>
  <c r="I21" i="6" s="1"/>
  <c r="I25" i="6" s="1"/>
  <c r="H10" i="6"/>
  <c r="G10" i="6"/>
  <c r="F10" i="6"/>
  <c r="F14" i="6" s="1"/>
  <c r="E10" i="6"/>
  <c r="E14" i="6" s="1"/>
  <c r="D10" i="6"/>
  <c r="O8" i="6"/>
  <c r="N8" i="6"/>
  <c r="M8" i="6"/>
  <c r="L8" i="6"/>
  <c r="K8" i="6"/>
  <c r="J8" i="6"/>
  <c r="I8" i="6"/>
  <c r="H8" i="6"/>
  <c r="G8" i="6"/>
  <c r="F8" i="6"/>
  <c r="E8" i="6"/>
  <c r="D8" i="6"/>
  <c r="B39" i="5"/>
  <c r="B38" i="5"/>
  <c r="G34" i="5"/>
  <c r="E34" i="5"/>
  <c r="D34" i="5"/>
  <c r="G33" i="5"/>
  <c r="E33" i="5"/>
  <c r="D33" i="5"/>
  <c r="G28" i="5"/>
  <c r="E28" i="5"/>
  <c r="D28" i="5"/>
  <c r="G23" i="5"/>
  <c r="E23" i="5"/>
  <c r="D23" i="5"/>
  <c r="G21" i="5"/>
  <c r="E21" i="5"/>
  <c r="D21" i="5"/>
  <c r="B21" i="5"/>
  <c r="G20" i="5"/>
  <c r="E20" i="5"/>
  <c r="D20" i="5"/>
  <c r="B20" i="5"/>
  <c r="G19" i="5"/>
  <c r="E19" i="5"/>
  <c r="D19" i="5"/>
  <c r="G14" i="5"/>
  <c r="E14" i="5"/>
  <c r="D14" i="5"/>
  <c r="B14" i="5"/>
  <c r="G13" i="5"/>
  <c r="E13" i="5"/>
  <c r="D13" i="5"/>
  <c r="G11" i="5"/>
  <c r="E11" i="5"/>
  <c r="D11" i="5"/>
  <c r="B11" i="5"/>
  <c r="G10" i="5"/>
  <c r="E10" i="5"/>
  <c r="D10" i="5"/>
  <c r="E8" i="5"/>
  <c r="D8" i="5"/>
  <c r="B39" i="4"/>
  <c r="B38" i="4"/>
  <c r="G34" i="4"/>
  <c r="E34" i="4"/>
  <c r="D34" i="4"/>
  <c r="G33" i="4"/>
  <c r="E33" i="4"/>
  <c r="D33" i="4"/>
  <c r="G28" i="4"/>
  <c r="E28" i="4"/>
  <c r="D28" i="4"/>
  <c r="G23" i="4"/>
  <c r="E23" i="4"/>
  <c r="D23" i="4"/>
  <c r="G21" i="4"/>
  <c r="E21" i="4"/>
  <c r="D21" i="4"/>
  <c r="B21" i="4"/>
  <c r="G20" i="4"/>
  <c r="E20" i="4"/>
  <c r="D20" i="4"/>
  <c r="B20" i="4"/>
  <c r="G19" i="4"/>
  <c r="E19" i="4"/>
  <c r="D19" i="4"/>
  <c r="G14" i="4"/>
  <c r="E14" i="4"/>
  <c r="D14" i="4"/>
  <c r="B14" i="4"/>
  <c r="G13" i="4"/>
  <c r="E13" i="4"/>
  <c r="D13" i="4"/>
  <c r="G11" i="4"/>
  <c r="E11" i="4"/>
  <c r="D11" i="4"/>
  <c r="B11" i="4"/>
  <c r="G10" i="4"/>
  <c r="G16" i="4" s="1"/>
  <c r="E10" i="4"/>
  <c r="D10" i="4"/>
  <c r="E8" i="4"/>
  <c r="D8" i="4"/>
  <c r="O176" i="3"/>
  <c r="N176" i="3"/>
  <c r="M176" i="3"/>
  <c r="L176" i="3"/>
  <c r="K176" i="3"/>
  <c r="J176" i="3"/>
  <c r="I176" i="3"/>
  <c r="H176" i="3"/>
  <c r="Q176" i="3" s="1"/>
  <c r="G176" i="3"/>
  <c r="F176" i="3"/>
  <c r="E176" i="3"/>
  <c r="D176" i="3"/>
  <c r="O175" i="3"/>
  <c r="N175" i="3"/>
  <c r="M175" i="3"/>
  <c r="L175" i="3"/>
  <c r="K175" i="3"/>
  <c r="J175" i="3"/>
  <c r="I175" i="3"/>
  <c r="H175" i="3"/>
  <c r="G175" i="3"/>
  <c r="F175" i="3"/>
  <c r="E175" i="3"/>
  <c r="D175" i="3"/>
  <c r="Q175" i="3" s="1"/>
  <c r="Q170" i="3"/>
  <c r="M165" i="3"/>
  <c r="L165" i="3"/>
  <c r="K165" i="3"/>
  <c r="J165" i="3"/>
  <c r="I165" i="3"/>
  <c r="H165" i="3"/>
  <c r="G165" i="3"/>
  <c r="F165" i="3"/>
  <c r="E165" i="3"/>
  <c r="D165" i="3"/>
  <c r="Q163" i="3"/>
  <c r="B163" i="3"/>
  <c r="O162" i="3"/>
  <c r="N162" i="3"/>
  <c r="M162" i="3"/>
  <c r="L162" i="3"/>
  <c r="K162" i="3"/>
  <c r="J162" i="3"/>
  <c r="I162" i="3"/>
  <c r="H162" i="3"/>
  <c r="G162" i="3"/>
  <c r="F162" i="3"/>
  <c r="E162" i="3"/>
  <c r="D162" i="3"/>
  <c r="B162" i="3"/>
  <c r="Q161" i="3"/>
  <c r="B161" i="3"/>
  <c r="Q160" i="3"/>
  <c r="B160" i="3"/>
  <c r="Q159" i="3"/>
  <c r="B159" i="3"/>
  <c r="O158" i="3"/>
  <c r="N158" i="3"/>
  <c r="M158" i="3"/>
  <c r="L158" i="3"/>
  <c r="K158" i="3"/>
  <c r="J158" i="3"/>
  <c r="I158" i="3"/>
  <c r="H158" i="3"/>
  <c r="G158" i="3"/>
  <c r="F158" i="3"/>
  <c r="E158" i="3"/>
  <c r="D158" i="3"/>
  <c r="B158" i="3"/>
  <c r="Q157" i="3"/>
  <c r="B157" i="3"/>
  <c r="O156" i="3"/>
  <c r="N156" i="3"/>
  <c r="M156" i="3"/>
  <c r="L156" i="3"/>
  <c r="K156" i="3"/>
  <c r="J156" i="3"/>
  <c r="I156" i="3"/>
  <c r="H156" i="3"/>
  <c r="G156" i="3"/>
  <c r="F156" i="3"/>
  <c r="E156" i="3"/>
  <c r="D156" i="3"/>
  <c r="B156" i="3"/>
  <c r="Q155" i="3"/>
  <c r="B155" i="3"/>
  <c r="Q154" i="3"/>
  <c r="B154" i="3"/>
  <c r="O153" i="3"/>
  <c r="N153" i="3"/>
  <c r="M153" i="3"/>
  <c r="L153" i="3"/>
  <c r="K153" i="3"/>
  <c r="J153" i="3"/>
  <c r="I153" i="3"/>
  <c r="H153" i="3"/>
  <c r="G153" i="3"/>
  <c r="F153" i="3"/>
  <c r="E153" i="3"/>
  <c r="D153" i="3"/>
  <c r="B153" i="3"/>
  <c r="Q152" i="3"/>
  <c r="B152" i="3"/>
  <c r="Q151" i="3"/>
  <c r="B151" i="3"/>
  <c r="Q150" i="3"/>
  <c r="B150" i="3"/>
  <c r="Q149" i="3"/>
  <c r="B149" i="3"/>
  <c r="Q148" i="3"/>
  <c r="B148" i="3"/>
  <c r="Q147" i="3"/>
  <c r="B147" i="3"/>
  <c r="Q146" i="3"/>
  <c r="B146" i="3"/>
  <c r="Q145" i="3"/>
  <c r="B145" i="3"/>
  <c r="Q144" i="3"/>
  <c r="B144" i="3"/>
  <c r="Q143" i="3"/>
  <c r="B143" i="3"/>
  <c r="O142" i="3"/>
  <c r="N142" i="3"/>
  <c r="M142" i="3"/>
  <c r="L142" i="3"/>
  <c r="K142" i="3"/>
  <c r="J142" i="3"/>
  <c r="I142" i="3"/>
  <c r="H142" i="3"/>
  <c r="G142" i="3"/>
  <c r="F142" i="3"/>
  <c r="E142" i="3"/>
  <c r="D142" i="3"/>
  <c r="B142" i="3"/>
  <c r="Q141" i="3"/>
  <c r="B141" i="3"/>
  <c r="Q140" i="3"/>
  <c r="B140" i="3"/>
  <c r="O139" i="3"/>
  <c r="N139" i="3"/>
  <c r="M139" i="3"/>
  <c r="L139" i="3"/>
  <c r="K139" i="3"/>
  <c r="J139" i="3"/>
  <c r="I139" i="3"/>
  <c r="H139" i="3"/>
  <c r="G139" i="3"/>
  <c r="F139" i="3"/>
  <c r="E139" i="3"/>
  <c r="D139" i="3"/>
  <c r="B139" i="3"/>
  <c r="Q138" i="3"/>
  <c r="B138" i="3"/>
  <c r="Q137" i="3"/>
  <c r="B137" i="3"/>
  <c r="Q136" i="3"/>
  <c r="B136" i="3"/>
  <c r="Q135" i="3"/>
  <c r="B135" i="3"/>
  <c r="Q134" i="3"/>
  <c r="B134" i="3"/>
  <c r="O133" i="3"/>
  <c r="N133" i="3"/>
  <c r="M133" i="3"/>
  <c r="L133" i="3"/>
  <c r="K133" i="3"/>
  <c r="J133" i="3"/>
  <c r="I133" i="3"/>
  <c r="H133" i="3"/>
  <c r="G133" i="3"/>
  <c r="F133" i="3"/>
  <c r="E133" i="3"/>
  <c r="D133" i="3"/>
  <c r="B133" i="3"/>
  <c r="Q132" i="3"/>
  <c r="B132" i="3"/>
  <c r="Q131" i="3"/>
  <c r="B131" i="3"/>
  <c r="Q130" i="3"/>
  <c r="B130" i="3"/>
  <c r="Q129" i="3"/>
  <c r="B129" i="3"/>
  <c r="O128" i="3"/>
  <c r="N128" i="3"/>
  <c r="M128" i="3"/>
  <c r="L128" i="3"/>
  <c r="K128" i="3"/>
  <c r="J128" i="3"/>
  <c r="I128" i="3"/>
  <c r="H128" i="3"/>
  <c r="G128" i="3"/>
  <c r="F128" i="3"/>
  <c r="E128" i="3"/>
  <c r="D128" i="3"/>
  <c r="B128" i="3"/>
  <c r="Q127" i="3"/>
  <c r="B127" i="3"/>
  <c r="Q126" i="3"/>
  <c r="B126" i="3"/>
  <c r="Q125" i="3"/>
  <c r="B125" i="3"/>
  <c r="Q124" i="3"/>
  <c r="B124" i="3"/>
  <c r="O123" i="3"/>
  <c r="N123" i="3"/>
  <c r="M123" i="3"/>
  <c r="L123" i="3"/>
  <c r="K123" i="3"/>
  <c r="J123" i="3"/>
  <c r="I123" i="3"/>
  <c r="H123" i="3"/>
  <c r="G123" i="3"/>
  <c r="F123" i="3"/>
  <c r="E123" i="3"/>
  <c r="D123" i="3"/>
  <c r="B123" i="3"/>
  <c r="Q122" i="3"/>
  <c r="B122" i="3"/>
  <c r="O121" i="3"/>
  <c r="N121" i="3"/>
  <c r="M121" i="3"/>
  <c r="L121" i="3"/>
  <c r="K121" i="3"/>
  <c r="J121" i="3"/>
  <c r="I121" i="3"/>
  <c r="H121" i="3"/>
  <c r="G121" i="3"/>
  <c r="F121" i="3"/>
  <c r="E121" i="3"/>
  <c r="D121" i="3"/>
  <c r="B121" i="3"/>
  <c r="Q120" i="3"/>
  <c r="B120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Q119" i="3" s="1"/>
  <c r="B119" i="3"/>
  <c r="Q118" i="3"/>
  <c r="B118" i="3"/>
  <c r="O117" i="3"/>
  <c r="N117" i="3"/>
  <c r="M117" i="3"/>
  <c r="L117" i="3"/>
  <c r="K117" i="3"/>
  <c r="J117" i="3"/>
  <c r="I117" i="3"/>
  <c r="H117" i="3"/>
  <c r="G117" i="3"/>
  <c r="F117" i="3"/>
  <c r="E117" i="3"/>
  <c r="D117" i="3"/>
  <c r="B117" i="3"/>
  <c r="Q116" i="3"/>
  <c r="B116" i="3"/>
  <c r="O115" i="3"/>
  <c r="N115" i="3"/>
  <c r="M115" i="3"/>
  <c r="L115" i="3"/>
  <c r="K115" i="3"/>
  <c r="J115" i="3"/>
  <c r="I115" i="3"/>
  <c r="H115" i="3"/>
  <c r="G115" i="3"/>
  <c r="F115" i="3"/>
  <c r="E115" i="3"/>
  <c r="D115" i="3"/>
  <c r="Q115" i="3" s="1"/>
  <c r="B115" i="3"/>
  <c r="Q114" i="3"/>
  <c r="B114" i="3"/>
  <c r="O113" i="3"/>
  <c r="N113" i="3"/>
  <c r="M113" i="3"/>
  <c r="L113" i="3"/>
  <c r="K113" i="3"/>
  <c r="J113" i="3"/>
  <c r="I113" i="3"/>
  <c r="H113" i="3"/>
  <c r="G113" i="3"/>
  <c r="F113" i="3"/>
  <c r="E113" i="3"/>
  <c r="D113" i="3"/>
  <c r="B113" i="3"/>
  <c r="Q112" i="3"/>
  <c r="B112" i="3"/>
  <c r="O111" i="3"/>
  <c r="N111" i="3"/>
  <c r="M111" i="3"/>
  <c r="L111" i="3"/>
  <c r="K111" i="3"/>
  <c r="J111" i="3"/>
  <c r="I111" i="3"/>
  <c r="H111" i="3"/>
  <c r="G111" i="3"/>
  <c r="F111" i="3"/>
  <c r="E111" i="3"/>
  <c r="D111" i="3"/>
  <c r="Q111" i="3" s="1"/>
  <c r="B111" i="3"/>
  <c r="Q110" i="3"/>
  <c r="B110" i="3"/>
  <c r="O109" i="3"/>
  <c r="N109" i="3"/>
  <c r="M109" i="3"/>
  <c r="L109" i="3"/>
  <c r="K109" i="3"/>
  <c r="J109" i="3"/>
  <c r="I109" i="3"/>
  <c r="H109" i="3"/>
  <c r="G109" i="3"/>
  <c r="F109" i="3"/>
  <c r="E109" i="3"/>
  <c r="D109" i="3"/>
  <c r="B109" i="3"/>
  <c r="Q108" i="3"/>
  <c r="B108" i="3"/>
  <c r="Q107" i="3"/>
  <c r="B107" i="3"/>
  <c r="O106" i="3"/>
  <c r="N106" i="3"/>
  <c r="M106" i="3"/>
  <c r="L106" i="3"/>
  <c r="K106" i="3"/>
  <c r="J106" i="3"/>
  <c r="I106" i="3"/>
  <c r="H106" i="3"/>
  <c r="G106" i="3"/>
  <c r="F106" i="3"/>
  <c r="E106" i="3"/>
  <c r="D106" i="3"/>
  <c r="B106" i="3"/>
  <c r="Q105" i="3"/>
  <c r="B105" i="3"/>
  <c r="O104" i="3"/>
  <c r="N104" i="3"/>
  <c r="M104" i="3"/>
  <c r="L104" i="3"/>
  <c r="K104" i="3"/>
  <c r="J104" i="3"/>
  <c r="I104" i="3"/>
  <c r="H104" i="3"/>
  <c r="G104" i="3"/>
  <c r="Q104" i="3" s="1"/>
  <c r="F104" i="3"/>
  <c r="E104" i="3"/>
  <c r="D104" i="3"/>
  <c r="B104" i="3"/>
  <c r="Q103" i="3"/>
  <c r="B103" i="3"/>
  <c r="O102" i="3"/>
  <c r="N102" i="3"/>
  <c r="M102" i="3"/>
  <c r="L102" i="3"/>
  <c r="K102" i="3"/>
  <c r="J102" i="3"/>
  <c r="I102" i="3"/>
  <c r="H102" i="3"/>
  <c r="G102" i="3"/>
  <c r="Q102" i="3" s="1"/>
  <c r="F102" i="3"/>
  <c r="E102" i="3"/>
  <c r="D102" i="3"/>
  <c r="B102" i="3"/>
  <c r="Q101" i="3"/>
  <c r="B101" i="3"/>
  <c r="O100" i="3"/>
  <c r="N100" i="3"/>
  <c r="M100" i="3"/>
  <c r="L100" i="3"/>
  <c r="K100" i="3"/>
  <c r="J100" i="3"/>
  <c r="I100" i="3"/>
  <c r="H100" i="3"/>
  <c r="G100" i="3"/>
  <c r="Q100" i="3" s="1"/>
  <c r="F100" i="3"/>
  <c r="E100" i="3"/>
  <c r="D100" i="3"/>
  <c r="B100" i="3"/>
  <c r="Q99" i="3"/>
  <c r="B99" i="3"/>
  <c r="Q98" i="3"/>
  <c r="B98" i="3"/>
  <c r="O97" i="3"/>
  <c r="N97" i="3"/>
  <c r="M97" i="3"/>
  <c r="L97" i="3"/>
  <c r="K97" i="3"/>
  <c r="J97" i="3"/>
  <c r="J65" i="3" s="1" a="1"/>
  <c r="J65" i="3" s="1"/>
  <c r="I97" i="3"/>
  <c r="H97" i="3"/>
  <c r="G97" i="3"/>
  <c r="F97" i="3"/>
  <c r="E97" i="3"/>
  <c r="D97" i="3"/>
  <c r="B97" i="3"/>
  <c r="Q96" i="3"/>
  <c r="B96" i="3"/>
  <c r="Q95" i="3"/>
  <c r="B95" i="3"/>
  <c r="O94" i="3"/>
  <c r="N94" i="3"/>
  <c r="M94" i="3"/>
  <c r="L94" i="3"/>
  <c r="K94" i="3"/>
  <c r="J94" i="3"/>
  <c r="I94" i="3"/>
  <c r="H94" i="3"/>
  <c r="G94" i="3"/>
  <c r="F94" i="3"/>
  <c r="E94" i="3"/>
  <c r="D94" i="3"/>
  <c r="B94" i="3"/>
  <c r="Q93" i="3"/>
  <c r="B93" i="3"/>
  <c r="O92" i="3"/>
  <c r="N92" i="3"/>
  <c r="M92" i="3"/>
  <c r="L92" i="3"/>
  <c r="K92" i="3"/>
  <c r="J92" i="3"/>
  <c r="I92" i="3"/>
  <c r="H92" i="3"/>
  <c r="G92" i="3"/>
  <c r="F92" i="3"/>
  <c r="E92" i="3"/>
  <c r="D92" i="3"/>
  <c r="B92" i="3"/>
  <c r="Q91" i="3"/>
  <c r="B91" i="3"/>
  <c r="O90" i="3"/>
  <c r="N90" i="3"/>
  <c r="M90" i="3"/>
  <c r="L90" i="3"/>
  <c r="K90" i="3"/>
  <c r="J90" i="3"/>
  <c r="I90" i="3"/>
  <c r="H90" i="3"/>
  <c r="G90" i="3"/>
  <c r="F90" i="3"/>
  <c r="E90" i="3"/>
  <c r="D90" i="3"/>
  <c r="B90" i="3"/>
  <c r="Q89" i="3"/>
  <c r="B89" i="3"/>
  <c r="O88" i="3"/>
  <c r="N88" i="3"/>
  <c r="M88" i="3"/>
  <c r="L88" i="3"/>
  <c r="L65" i="3" s="1" a="1"/>
  <c r="L65" i="3" s="1"/>
  <c r="K88" i="3"/>
  <c r="J88" i="3"/>
  <c r="I88" i="3"/>
  <c r="H88" i="3"/>
  <c r="G88" i="3"/>
  <c r="F88" i="3"/>
  <c r="E88" i="3"/>
  <c r="D88" i="3"/>
  <c r="Q88" i="3" s="1"/>
  <c r="B88" i="3"/>
  <c r="Q87" i="3"/>
  <c r="B87" i="3"/>
  <c r="Q86" i="3"/>
  <c r="B86" i="3"/>
  <c r="Q85" i="3"/>
  <c r="B85" i="3"/>
  <c r="Q84" i="3"/>
  <c r="B84" i="3"/>
  <c r="Q83" i="3"/>
  <c r="B83" i="3"/>
  <c r="Q82" i="3"/>
  <c r="B82" i="3"/>
  <c r="Q81" i="3"/>
  <c r="B81" i="3"/>
  <c r="Q80" i="3"/>
  <c r="B80" i="3"/>
  <c r="Q79" i="3"/>
  <c r="B79" i="3"/>
  <c r="Q78" i="3"/>
  <c r="B78" i="3"/>
  <c r="O77" i="3"/>
  <c r="N77" i="3"/>
  <c r="M77" i="3"/>
  <c r="L77" i="3"/>
  <c r="K77" i="3"/>
  <c r="J77" i="3"/>
  <c r="I77" i="3"/>
  <c r="H77" i="3"/>
  <c r="G77" i="3"/>
  <c r="F77" i="3"/>
  <c r="E77" i="3"/>
  <c r="D77" i="3"/>
  <c r="B77" i="3"/>
  <c r="Q76" i="3"/>
  <c r="B76" i="3"/>
  <c r="Q75" i="3"/>
  <c r="B75" i="3"/>
  <c r="Q74" i="3"/>
  <c r="B74" i="3"/>
  <c r="Q73" i="3"/>
  <c r="B73" i="3"/>
  <c r="Q72" i="3"/>
  <c r="B72" i="3"/>
  <c r="Q71" i="3"/>
  <c r="B71" i="3"/>
  <c r="Q70" i="3"/>
  <c r="B70" i="3"/>
  <c r="Q69" i="3"/>
  <c r="B69" i="3"/>
  <c r="Q68" i="3"/>
  <c r="B68" i="3"/>
  <c r="Q67" i="3"/>
  <c r="B67" i="3"/>
  <c r="O66" i="3"/>
  <c r="N66" i="3"/>
  <c r="M66" i="3"/>
  <c r="L66" i="3"/>
  <c r="K66" i="3"/>
  <c r="J66" i="3"/>
  <c r="I66" i="3"/>
  <c r="H66" i="3"/>
  <c r="H65" i="3" s="1" a="1"/>
  <c r="H65" i="3" s="1"/>
  <c r="G66" i="3"/>
  <c r="F66" i="3"/>
  <c r="E66" i="3"/>
  <c r="D66" i="3"/>
  <c r="B66" i="3"/>
  <c r="G63" i="3"/>
  <c r="M62" i="3"/>
  <c r="E62" i="3"/>
  <c r="E63" i="3" s="1"/>
  <c r="Q60" i="3"/>
  <c r="B60" i="3"/>
  <c r="Q59" i="3"/>
  <c r="B59" i="3"/>
  <c r="Q58" i="3"/>
  <c r="B58" i="3"/>
  <c r="Q57" i="3"/>
  <c r="B57" i="3"/>
  <c r="Q56" i="3"/>
  <c r="B56" i="3"/>
  <c r="Q55" i="3"/>
  <c r="B55" i="3"/>
  <c r="Q54" i="3"/>
  <c r="B54" i="3"/>
  <c r="Q53" i="3"/>
  <c r="B53" i="3"/>
  <c r="Q52" i="3"/>
  <c r="B52" i="3"/>
  <c r="Q51" i="3"/>
  <c r="B51" i="3"/>
  <c r="Q50" i="3"/>
  <c r="B50" i="3"/>
  <c r="Q49" i="3"/>
  <c r="B49" i="3"/>
  <c r="Q48" i="3"/>
  <c r="B48" i="3"/>
  <c r="Q47" i="3"/>
  <c r="B47" i="3"/>
  <c r="Q46" i="3"/>
  <c r="B46" i="3"/>
  <c r="Q45" i="3"/>
  <c r="B45" i="3"/>
  <c r="Q44" i="3"/>
  <c r="B44" i="3"/>
  <c r="Q43" i="3"/>
  <c r="B43" i="3"/>
  <c r="Q42" i="3"/>
  <c r="B42" i="3"/>
  <c r="Q41" i="3"/>
  <c r="B41" i="3"/>
  <c r="Q40" i="3"/>
  <c r="B40" i="3"/>
  <c r="Q39" i="3"/>
  <c r="B39" i="3"/>
  <c r="Q38" i="3"/>
  <c r="B38" i="3"/>
  <c r="Q37" i="3"/>
  <c r="B37" i="3"/>
  <c r="Q36" i="3"/>
  <c r="B36" i="3"/>
  <c r="Q35" i="3"/>
  <c r="B35" i="3"/>
  <c r="Q34" i="3"/>
  <c r="B34" i="3"/>
  <c r="Q33" i="3"/>
  <c r="B33" i="3"/>
  <c r="Q32" i="3"/>
  <c r="B32" i="3"/>
  <c r="Q31" i="3"/>
  <c r="B31" i="3"/>
  <c r="Q30" i="3"/>
  <c r="B30" i="3"/>
  <c r="Q29" i="3"/>
  <c r="B29" i="3"/>
  <c r="Q28" i="3"/>
  <c r="B28" i="3"/>
  <c r="Q27" i="3"/>
  <c r="B27" i="3"/>
  <c r="Q26" i="3"/>
  <c r="B26" i="3"/>
  <c r="Q25" i="3"/>
  <c r="O25" i="3"/>
  <c r="N25" i="3"/>
  <c r="M25" i="3"/>
  <c r="L25" i="3"/>
  <c r="K25" i="3"/>
  <c r="J25" i="3"/>
  <c r="I25" i="3"/>
  <c r="H25" i="3"/>
  <c r="G25" i="3"/>
  <c r="F25" i="3"/>
  <c r="E25" i="3"/>
  <c r="D25" i="3"/>
  <c r="M23" i="3"/>
  <c r="L23" i="3"/>
  <c r="K23" i="3"/>
  <c r="J23" i="3"/>
  <c r="I23" i="3"/>
  <c r="H23" i="3"/>
  <c r="G23" i="3"/>
  <c r="F23" i="3"/>
  <c r="Q23" i="3" s="1"/>
  <c r="E23" i="3"/>
  <c r="D23" i="3"/>
  <c r="B23" i="3"/>
  <c r="M22" i="3"/>
  <c r="L22" i="3"/>
  <c r="K22" i="3"/>
  <c r="J22" i="3"/>
  <c r="I22" i="3"/>
  <c r="H22" i="3"/>
  <c r="G22" i="3"/>
  <c r="F22" i="3"/>
  <c r="Q22" i="3" s="1"/>
  <c r="E22" i="3"/>
  <c r="D22" i="3"/>
  <c r="B22" i="3"/>
  <c r="Q21" i="3"/>
  <c r="M21" i="3"/>
  <c r="L21" i="3"/>
  <c r="K21" i="3"/>
  <c r="J21" i="3"/>
  <c r="I21" i="3"/>
  <c r="H21" i="3"/>
  <c r="G21" i="3"/>
  <c r="F21" i="3"/>
  <c r="E21" i="3"/>
  <c r="D21" i="3"/>
  <c r="B21" i="3"/>
  <c r="M20" i="3"/>
  <c r="L20" i="3"/>
  <c r="K20" i="3"/>
  <c r="J20" i="3"/>
  <c r="I20" i="3"/>
  <c r="H20" i="3"/>
  <c r="G20" i="3"/>
  <c r="F20" i="3"/>
  <c r="Q20" i="3" s="1"/>
  <c r="E20" i="3"/>
  <c r="D20" i="3"/>
  <c r="B20" i="3"/>
  <c r="M19" i="3"/>
  <c r="L19" i="3"/>
  <c r="K19" i="3"/>
  <c r="J19" i="3"/>
  <c r="I19" i="3"/>
  <c r="H19" i="3"/>
  <c r="G19" i="3"/>
  <c r="F19" i="3"/>
  <c r="Q19" i="3" s="1"/>
  <c r="E19" i="3"/>
  <c r="D19" i="3"/>
  <c r="B19" i="3"/>
  <c r="M18" i="3"/>
  <c r="L18" i="3"/>
  <c r="K18" i="3"/>
  <c r="J18" i="3"/>
  <c r="Q18" i="3" s="1"/>
  <c r="I18" i="3"/>
  <c r="H18" i="3"/>
  <c r="G18" i="3"/>
  <c r="F18" i="3"/>
  <c r="E18" i="3"/>
  <c r="D18" i="3"/>
  <c r="B18" i="3"/>
  <c r="M17" i="3"/>
  <c r="L17" i="3"/>
  <c r="K17" i="3"/>
  <c r="J17" i="3"/>
  <c r="I17" i="3"/>
  <c r="H17" i="3"/>
  <c r="G17" i="3"/>
  <c r="F17" i="3"/>
  <c r="Q17" i="3" s="1"/>
  <c r="E17" i="3"/>
  <c r="D17" i="3"/>
  <c r="B17" i="3"/>
  <c r="M16" i="3"/>
  <c r="L16" i="3"/>
  <c r="K16" i="3"/>
  <c r="J16" i="3"/>
  <c r="I16" i="3"/>
  <c r="H16" i="3"/>
  <c r="G16" i="3"/>
  <c r="F16" i="3"/>
  <c r="Q16" i="3" s="1"/>
  <c r="E16" i="3"/>
  <c r="D16" i="3"/>
  <c r="B16" i="3"/>
  <c r="Q15" i="3"/>
  <c r="M15" i="3"/>
  <c r="L15" i="3"/>
  <c r="K15" i="3"/>
  <c r="J15" i="3"/>
  <c r="I15" i="3"/>
  <c r="H15" i="3"/>
  <c r="G15" i="3"/>
  <c r="F15" i="3"/>
  <c r="E15" i="3"/>
  <c r="D15" i="3"/>
  <c r="B15" i="3"/>
  <c r="M14" i="3"/>
  <c r="L14" i="3"/>
  <c r="K14" i="3"/>
  <c r="J14" i="3"/>
  <c r="Q14" i="3" s="1"/>
  <c r="I14" i="3"/>
  <c r="H14" i="3"/>
  <c r="G14" i="3"/>
  <c r="F14" i="3"/>
  <c r="E14" i="3"/>
  <c r="D14" i="3"/>
  <c r="B14" i="3"/>
  <c r="Q13" i="3"/>
  <c r="M13" i="3"/>
  <c r="L13" i="3"/>
  <c r="K13" i="3"/>
  <c r="J13" i="3"/>
  <c r="I13" i="3"/>
  <c r="H13" i="3"/>
  <c r="G13" i="3"/>
  <c r="F13" i="3"/>
  <c r="E13" i="3"/>
  <c r="D13" i="3"/>
  <c r="B13" i="3"/>
  <c r="M12" i="3"/>
  <c r="L12" i="3"/>
  <c r="K12" i="3"/>
  <c r="J12" i="3"/>
  <c r="I12" i="3"/>
  <c r="H12" i="3"/>
  <c r="G12" i="3"/>
  <c r="F12" i="3"/>
  <c r="Q12" i="3" s="1"/>
  <c r="E12" i="3"/>
  <c r="D12" i="3"/>
  <c r="B12" i="3"/>
  <c r="Q11" i="3"/>
  <c r="M11" i="3"/>
  <c r="L11" i="3"/>
  <c r="K11" i="3"/>
  <c r="K10" i="3" s="1"/>
  <c r="J11" i="3"/>
  <c r="I11" i="3"/>
  <c r="H11" i="3"/>
  <c r="G11" i="3"/>
  <c r="G10" i="3" s="1"/>
  <c r="G62" i="3" s="1"/>
  <c r="F11" i="3"/>
  <c r="F10" i="3" s="1"/>
  <c r="F62" i="3" s="1"/>
  <c r="E11" i="3"/>
  <c r="D11" i="3"/>
  <c r="B11" i="3"/>
  <c r="O10" i="3"/>
  <c r="O62" i="3" s="1"/>
  <c r="N10" i="3"/>
  <c r="N62" i="3" s="1"/>
  <c r="M10" i="3"/>
  <c r="L10" i="3"/>
  <c r="L62" i="3" s="1"/>
  <c r="I10" i="3"/>
  <c r="I62" i="3" s="1"/>
  <c r="I63" i="3" s="1"/>
  <c r="H10" i="3"/>
  <c r="H62" i="3" s="1"/>
  <c r="E10" i="3"/>
  <c r="D10" i="3"/>
  <c r="D62" i="3" s="1"/>
  <c r="O8" i="3"/>
  <c r="N8" i="3"/>
  <c r="M8" i="3"/>
  <c r="L8" i="3"/>
  <c r="K8" i="3"/>
  <c r="J8" i="3"/>
  <c r="I8" i="3"/>
  <c r="H8" i="3"/>
  <c r="G8" i="3"/>
  <c r="F8" i="3"/>
  <c r="E8" i="3"/>
  <c r="D8" i="3"/>
  <c r="E16" i="96" l="1"/>
  <c r="E17" i="96" s="1"/>
  <c r="G16" i="17"/>
  <c r="G25" i="17" s="1"/>
  <c r="G16" i="8"/>
  <c r="G17" i="8" s="1"/>
  <c r="G16" i="11"/>
  <c r="G17" i="11" s="1"/>
  <c r="E16" i="16"/>
  <c r="E25" i="16" s="1"/>
  <c r="D16" i="20"/>
  <c r="D17" i="20" s="1"/>
  <c r="G16" i="23"/>
  <c r="G25" i="23" s="1"/>
  <c r="E16" i="24"/>
  <c r="E17" i="24" s="1"/>
  <c r="D16" i="13"/>
  <c r="D17" i="13" s="1"/>
  <c r="D16" i="5"/>
  <c r="D17" i="5" s="1"/>
  <c r="E16" i="13"/>
  <c r="E17" i="13" s="1"/>
  <c r="D16" i="14"/>
  <c r="D25" i="14" s="1"/>
  <c r="D26" i="14" s="1"/>
  <c r="E16" i="94"/>
  <c r="E17" i="94" s="1"/>
  <c r="G16" i="5"/>
  <c r="G25" i="5" s="1"/>
  <c r="D16" i="24"/>
  <c r="D17" i="24" s="1"/>
  <c r="D16" i="4"/>
  <c r="D25" i="4" s="1"/>
  <c r="G16" i="53"/>
  <c r="G25" i="53" s="1"/>
  <c r="G26" i="53" s="1"/>
  <c r="G16" i="10"/>
  <c r="G17" i="10" s="1"/>
  <c r="E16" i="11"/>
  <c r="E17" i="11" s="1"/>
  <c r="G16" i="19"/>
  <c r="G17" i="19" s="1"/>
  <c r="G16" i="24"/>
  <c r="G17" i="24" s="1"/>
  <c r="D16" i="35"/>
  <c r="D17" i="35" s="1"/>
  <c r="G16" i="49"/>
  <c r="G17" i="49" s="1"/>
  <c r="E16" i="50"/>
  <c r="E17" i="50" s="1"/>
  <c r="D16" i="52"/>
  <c r="D25" i="52" s="1"/>
  <c r="E16" i="53"/>
  <c r="E17" i="53" s="1"/>
  <c r="E16" i="26"/>
  <c r="E17" i="26" s="1"/>
  <c r="D16" i="37"/>
  <c r="D17" i="37" s="1"/>
  <c r="G16" i="43"/>
  <c r="G17" i="43" s="1"/>
  <c r="E16" i="44"/>
  <c r="E17" i="44" s="1"/>
  <c r="D16" i="95"/>
  <c r="D25" i="95" s="1"/>
  <c r="D16" i="29"/>
  <c r="D17" i="29" s="1"/>
  <c r="G16" i="37"/>
  <c r="G17" i="37" s="1"/>
  <c r="D16" i="41"/>
  <c r="D17" i="41" s="1"/>
  <c r="D16" i="49"/>
  <c r="D17" i="49" s="1"/>
  <c r="E16" i="22"/>
  <c r="E25" i="22" s="1"/>
  <c r="G16" i="50"/>
  <c r="G17" i="50" s="1"/>
  <c r="G16" i="96"/>
  <c r="G17" i="96" s="1"/>
  <c r="D16" i="26"/>
  <c r="D25" i="26" s="1"/>
  <c r="D16" i="32"/>
  <c r="D17" i="32" s="1"/>
  <c r="G16" i="35"/>
  <c r="G25" i="35" s="1"/>
  <c r="D16" i="44"/>
  <c r="D17" i="44" s="1"/>
  <c r="G16" i="47"/>
  <c r="G25" i="47" s="1"/>
  <c r="G16" i="52"/>
  <c r="G17" i="52" s="1"/>
  <c r="D16" i="22"/>
  <c r="D25" i="22" s="1"/>
  <c r="D16" i="94"/>
  <c r="D25" i="94" s="1"/>
  <c r="E16" i="7"/>
  <c r="E17" i="7" s="1"/>
  <c r="E16" i="27"/>
  <c r="E17" i="27" s="1"/>
  <c r="G16" i="33"/>
  <c r="G25" i="33" s="1"/>
  <c r="E16" i="37"/>
  <c r="E17" i="37" s="1"/>
  <c r="D16" i="38"/>
  <c r="D17" i="38" s="1"/>
  <c r="D16" i="40"/>
  <c r="D25" i="40" s="1"/>
  <c r="G16" i="44"/>
  <c r="G17" i="44" s="1"/>
  <c r="E16" i="14"/>
  <c r="E25" i="14" s="1"/>
  <c r="E26" i="14" s="1"/>
  <c r="E16" i="47"/>
  <c r="E17" i="47" s="1"/>
  <c r="G16" i="95"/>
  <c r="G25" i="95" s="1"/>
  <c r="D16" i="96"/>
  <c r="D25" i="96" s="1"/>
  <c r="E16" i="8"/>
  <c r="E25" i="8" s="1"/>
  <c r="D16" i="10"/>
  <c r="D17" i="10" s="1"/>
  <c r="D16" i="16"/>
  <c r="D25" i="16" s="1"/>
  <c r="E16" i="19"/>
  <c r="E17" i="19" s="1"/>
  <c r="G16" i="26"/>
  <c r="G17" i="26" s="1"/>
  <c r="D16" i="27"/>
  <c r="D17" i="27" s="1"/>
  <c r="E16" i="52"/>
  <c r="E25" i="52" s="1"/>
  <c r="G16" i="16"/>
  <c r="G17" i="16" s="1"/>
  <c r="E16" i="38"/>
  <c r="E25" i="38" s="1"/>
  <c r="G25" i="4"/>
  <c r="G30" i="4" s="1"/>
  <c r="E16" i="5"/>
  <c r="E25" i="5" s="1"/>
  <c r="E16" i="30"/>
  <c r="E25" i="30" s="1"/>
  <c r="G16" i="38"/>
  <c r="G17" i="38" s="1"/>
  <c r="E16" i="41"/>
  <c r="E17" i="41" s="1"/>
  <c r="G16" i="41"/>
  <c r="G25" i="41" s="1"/>
  <c r="D16" i="46"/>
  <c r="D25" i="46" s="1"/>
  <c r="E16" i="95"/>
  <c r="E17" i="95" s="1"/>
  <c r="G17" i="4"/>
  <c r="G16" i="13"/>
  <c r="G17" i="13" s="1"/>
  <c r="D16" i="17"/>
  <c r="D25" i="17" s="1"/>
  <c r="E16" i="17"/>
  <c r="E17" i="17" s="1"/>
  <c r="E16" i="20"/>
  <c r="G16" i="29"/>
  <c r="G17" i="29" s="1"/>
  <c r="E16" i="40"/>
  <c r="D16" i="43"/>
  <c r="D25" i="43" s="1"/>
  <c r="E16" i="43"/>
  <c r="E25" i="43" s="1"/>
  <c r="D16" i="47"/>
  <c r="D25" i="47" s="1"/>
  <c r="D26" i="47" s="1"/>
  <c r="G16" i="7"/>
  <c r="G17" i="7" s="1"/>
  <c r="D16" i="19"/>
  <c r="D17" i="19" s="1"/>
  <c r="G16" i="22"/>
  <c r="G16" i="30"/>
  <c r="G17" i="30" s="1"/>
  <c r="D16" i="23"/>
  <c r="D17" i="23" s="1"/>
  <c r="E16" i="23"/>
  <c r="E17" i="23" s="1"/>
  <c r="G16" i="27"/>
  <c r="G17" i="27" s="1"/>
  <c r="G16" i="32"/>
  <c r="G17" i="32" s="1"/>
  <c r="E16" i="33"/>
  <c r="E16" i="35"/>
  <c r="E17" i="35" s="1"/>
  <c r="D16" i="53"/>
  <c r="D17" i="53" s="1"/>
  <c r="G16" i="94"/>
  <c r="G25" i="94" s="1"/>
  <c r="H167" i="3"/>
  <c r="H63" i="3"/>
  <c r="Q10" i="3"/>
  <c r="Q62" i="3" s="1"/>
  <c r="J22" i="6"/>
  <c r="J25" i="6"/>
  <c r="L167" i="3"/>
  <c r="L63" i="3"/>
  <c r="L144" i="15"/>
  <c r="L49" i="15"/>
  <c r="L55" i="18"/>
  <c r="D63" i="3"/>
  <c r="K153" i="12"/>
  <c r="K55" i="12"/>
  <c r="H144" i="15"/>
  <c r="H49" i="15"/>
  <c r="K30" i="25"/>
  <c r="E15" i="6"/>
  <c r="E21" i="6"/>
  <c r="M88" i="25"/>
  <c r="M30" i="25"/>
  <c r="I65" i="3" a="1"/>
  <c r="I65" i="3" s="1"/>
  <c r="O63" i="3"/>
  <c r="Q123" i="3"/>
  <c r="D21" i="6"/>
  <c r="F15" i="9"/>
  <c r="E17" i="10"/>
  <c r="E25" i="10"/>
  <c r="D17" i="11"/>
  <c r="D25" i="11"/>
  <c r="F153" i="12"/>
  <c r="Q18" i="12"/>
  <c r="Q69" i="12"/>
  <c r="L57" i="12" a="1"/>
  <c r="L57" i="12" s="1"/>
  <c r="Q113" i="12"/>
  <c r="O153" i="12"/>
  <c r="D10" i="15"/>
  <c r="D48" i="15" s="1"/>
  <c r="Q11" i="18"/>
  <c r="Q145" i="18"/>
  <c r="J10" i="21"/>
  <c r="J23" i="21" s="1"/>
  <c r="F75" i="31"/>
  <c r="J30" i="51"/>
  <c r="J77" i="51"/>
  <c r="Q87" i="9"/>
  <c r="N167" i="3"/>
  <c r="N63" i="3"/>
  <c r="Q158" i="3"/>
  <c r="K65" i="3" a="1"/>
  <c r="K65" i="3" s="1"/>
  <c r="J10" i="3"/>
  <c r="J62" i="3" s="1"/>
  <c r="Q92" i="3"/>
  <c r="Q97" i="3"/>
  <c r="K62" i="3"/>
  <c r="E65" i="3" a="1"/>
  <c r="E65" i="3" s="1"/>
  <c r="M65" i="3" a="1"/>
  <c r="M65" i="3" s="1"/>
  <c r="M167" i="3" s="1"/>
  <c r="Q77" i="3"/>
  <c r="Q90" i="3"/>
  <c r="Q106" i="3"/>
  <c r="Q121" i="3"/>
  <c r="H95" i="9"/>
  <c r="H15" i="9"/>
  <c r="Q15" i="9"/>
  <c r="K15" i="9"/>
  <c r="K95" i="9"/>
  <c r="Q16" i="12"/>
  <c r="F55" i="12"/>
  <c r="Q94" i="12"/>
  <c r="Q111" i="12"/>
  <c r="G49" i="15"/>
  <c r="Q135" i="15"/>
  <c r="G10" i="18"/>
  <c r="G54" i="18" s="1"/>
  <c r="Q98" i="18"/>
  <c r="O30" i="25"/>
  <c r="J10" i="25"/>
  <c r="J29" i="25" s="1"/>
  <c r="Q12" i="25"/>
  <c r="E119" i="28"/>
  <c r="E39" i="28"/>
  <c r="M39" i="28"/>
  <c r="Q12" i="34"/>
  <c r="M15" i="6"/>
  <c r="M21" i="6"/>
  <c r="M150" i="18"/>
  <c r="M55" i="18"/>
  <c r="D24" i="21"/>
  <c r="G39" i="28"/>
  <c r="N75" i="31"/>
  <c r="N22" i="31"/>
  <c r="N24" i="39"/>
  <c r="G65" i="3" a="1"/>
  <c r="G65" i="3" s="1"/>
  <c r="Q66" i="3"/>
  <c r="O65" i="3" a="1"/>
  <c r="O65" i="3" s="1"/>
  <c r="O167" i="3" s="1"/>
  <c r="F65" i="3" a="1"/>
  <c r="F65" i="3" s="1"/>
  <c r="N65" i="3" a="1"/>
  <c r="N65" i="3" s="1"/>
  <c r="Q117" i="3"/>
  <c r="F15" i="6"/>
  <c r="F21" i="6"/>
  <c r="N15" i="6"/>
  <c r="N21" i="6"/>
  <c r="G21" i="6"/>
  <c r="I22" i="6"/>
  <c r="D16" i="8"/>
  <c r="E10" i="12"/>
  <c r="E54" i="12" s="1"/>
  <c r="G57" i="12" a="1"/>
  <c r="G57" i="12" s="1"/>
  <c r="O57" i="12" a="1"/>
  <c r="O57" i="12" s="1"/>
  <c r="Q107" i="12"/>
  <c r="Q130" i="15"/>
  <c r="N55" i="18"/>
  <c r="O57" i="18" a="1"/>
  <c r="O57" i="18" s="1"/>
  <c r="O150" i="18" s="1"/>
  <c r="O75" i="31"/>
  <c r="O22" i="31"/>
  <c r="Q13" i="31"/>
  <c r="O24" i="39"/>
  <c r="O108" i="39"/>
  <c r="I24" i="39"/>
  <c r="I108" i="39"/>
  <c r="H61" i="59"/>
  <c r="H15" i="59"/>
  <c r="G10" i="12"/>
  <c r="G54" i="12" s="1"/>
  <c r="N153" i="12"/>
  <c r="F10" i="18"/>
  <c r="F54" i="18" s="1"/>
  <c r="G167" i="3"/>
  <c r="Q113" i="3"/>
  <c r="D15" i="9"/>
  <c r="O15" i="9"/>
  <c r="O95" i="9"/>
  <c r="H55" i="12"/>
  <c r="H153" i="12"/>
  <c r="M10" i="12"/>
  <c r="M54" i="12" s="1"/>
  <c r="O49" i="15"/>
  <c r="J144" i="15"/>
  <c r="J49" i="15"/>
  <c r="K51" i="15" a="1"/>
  <c r="K51" i="15" s="1"/>
  <c r="K144" i="15" s="1"/>
  <c r="K54" i="18"/>
  <c r="G57" i="18" a="1"/>
  <c r="G57" i="18" s="1"/>
  <c r="L24" i="21"/>
  <c r="L95" i="21"/>
  <c r="H95" i="21"/>
  <c r="H24" i="21"/>
  <c r="K24" i="21"/>
  <c r="F26" i="21" a="1"/>
  <c r="F26" i="21" s="1"/>
  <c r="N26" i="21" a="1"/>
  <c r="N26" i="21" s="1"/>
  <c r="F30" i="25"/>
  <c r="Q11" i="25"/>
  <c r="Q10" i="25" s="1"/>
  <c r="Q29" i="25" s="1"/>
  <c r="O39" i="28"/>
  <c r="Q55" i="31"/>
  <c r="H41" i="34"/>
  <c r="F41" i="34"/>
  <c r="Q11" i="34"/>
  <c r="Q10" i="34" s="1"/>
  <c r="Q40" i="34" s="1"/>
  <c r="O25" i="6"/>
  <c r="O22" i="6"/>
  <c r="Q50" i="9"/>
  <c r="I167" i="3"/>
  <c r="I26" i="6"/>
  <c r="I31" i="6" s="1"/>
  <c r="I32" i="6" s="1"/>
  <c r="L15" i="6"/>
  <c r="L21" i="6"/>
  <c r="M15" i="9"/>
  <c r="Q13" i="15"/>
  <c r="N144" i="15"/>
  <c r="N49" i="15"/>
  <c r="D10" i="18"/>
  <c r="D54" i="18" s="1"/>
  <c r="F167" i="3"/>
  <c r="F63" i="3"/>
  <c r="Q153" i="3"/>
  <c r="H15" i="6"/>
  <c r="H21" i="6"/>
  <c r="Q94" i="3"/>
  <c r="Q109" i="3"/>
  <c r="Q156" i="3"/>
  <c r="I15" i="6"/>
  <c r="D16" i="7"/>
  <c r="D17" i="9" a="1"/>
  <c r="D17" i="9" s="1"/>
  <c r="D95" i="9" s="1"/>
  <c r="G17" i="9" a="1"/>
  <c r="G17" i="9" s="1"/>
  <c r="G95" i="9" s="1"/>
  <c r="Q18" i="9"/>
  <c r="O17" i="9" a="1"/>
  <c r="O17" i="9" s="1"/>
  <c r="L17" i="9" a="1"/>
  <c r="L17" i="9" s="1"/>
  <c r="L95" i="9" s="1"/>
  <c r="J153" i="12"/>
  <c r="J55" i="12"/>
  <c r="Q23" i="12"/>
  <c r="Q89" i="12"/>
  <c r="E150" i="18"/>
  <c r="E55" i="18"/>
  <c r="K26" i="36"/>
  <c r="K114" i="36"/>
  <c r="J26" i="36"/>
  <c r="E167" i="3"/>
  <c r="Q30" i="9"/>
  <c r="Q15" i="12"/>
  <c r="Q84" i="12"/>
  <c r="Q118" i="12"/>
  <c r="Q142" i="12"/>
  <c r="Q151" i="12"/>
  <c r="I10" i="15"/>
  <c r="I48" i="15" s="1"/>
  <c r="Q80" i="15"/>
  <c r="Q115" i="15"/>
  <c r="Q15" i="18"/>
  <c r="D57" i="18" a="1"/>
  <c r="D57" i="18" s="1"/>
  <c r="L57" i="18" a="1"/>
  <c r="L57" i="18" s="1"/>
  <c r="L150" i="18" s="1"/>
  <c r="J57" i="18" a="1"/>
  <c r="J57" i="18" s="1"/>
  <c r="Q86" i="18"/>
  <c r="Q109" i="18"/>
  <c r="E10" i="21"/>
  <c r="E23" i="21" s="1"/>
  <c r="M10" i="21"/>
  <c r="M23" i="21" s="1"/>
  <c r="I26" i="21" a="1"/>
  <c r="I26" i="21" s="1"/>
  <c r="G10" i="25"/>
  <c r="G29" i="25" s="1"/>
  <c r="Q12" i="28"/>
  <c r="G41" i="28" a="1"/>
  <c r="G41" i="28" s="1"/>
  <c r="G119" i="28" s="1"/>
  <c r="O41" i="28" a="1"/>
  <c r="O41" i="28" s="1"/>
  <c r="O119" i="28" s="1"/>
  <c r="Q73" i="28"/>
  <c r="Q95" i="28"/>
  <c r="K75" i="31"/>
  <c r="K22" i="31"/>
  <c r="I41" i="34"/>
  <c r="L26" i="36"/>
  <c r="K25" i="42" a="1"/>
  <c r="K25" i="42" s="1"/>
  <c r="J26" i="45" a="1"/>
  <c r="J26" i="45" s="1"/>
  <c r="K15" i="54"/>
  <c r="K21" i="54"/>
  <c r="F22" i="54"/>
  <c r="F26" i="54"/>
  <c r="N22" i="54"/>
  <c r="N26" i="54"/>
  <c r="N15" i="54"/>
  <c r="G22" i="54"/>
  <c r="G26" i="54"/>
  <c r="O29" i="55"/>
  <c r="O15" i="55"/>
  <c r="M28" i="71"/>
  <c r="M24" i="71"/>
  <c r="Q162" i="3"/>
  <c r="Q15" i="6"/>
  <c r="N15" i="9"/>
  <c r="Q43" i="9"/>
  <c r="Q133" i="3"/>
  <c r="Q142" i="3"/>
  <c r="I17" i="9" a="1"/>
  <c r="I17" i="9" s="1"/>
  <c r="I95" i="9" s="1"/>
  <c r="Q41" i="9"/>
  <c r="Q13" i="12"/>
  <c r="D57" i="12" a="1"/>
  <c r="D57" i="12" s="1"/>
  <c r="Q58" i="12"/>
  <c r="Q82" i="12"/>
  <c r="Q98" i="12"/>
  <c r="Q128" i="12"/>
  <c r="E51" i="15" a="1"/>
  <c r="E51" i="15" s="1"/>
  <c r="M51" i="15" a="1"/>
  <c r="M51" i="15" s="1"/>
  <c r="Q78" i="15"/>
  <c r="Q110" i="15"/>
  <c r="Q84" i="18"/>
  <c r="Q107" i="18"/>
  <c r="F10" i="21"/>
  <c r="F23" i="21" s="1"/>
  <c r="Q16" i="21"/>
  <c r="Q27" i="21"/>
  <c r="K26" i="21" a="1"/>
  <c r="K26" i="21" s="1"/>
  <c r="K95" i="21" s="1"/>
  <c r="Q85" i="21"/>
  <c r="Q90" i="21"/>
  <c r="N88" i="25"/>
  <c r="H10" i="28"/>
  <c r="H38" i="28" s="1"/>
  <c r="Q15" i="28"/>
  <c r="H41" i="28" a="1"/>
  <c r="H41" i="28" s="1"/>
  <c r="Q71" i="28"/>
  <c r="Q84" i="28"/>
  <c r="D25" i="30"/>
  <c r="D17" i="30"/>
  <c r="Q11" i="31"/>
  <c r="Q10" i="31" s="1"/>
  <c r="Q21" i="31" s="1"/>
  <c r="L75" i="31"/>
  <c r="L22" i="31"/>
  <c r="Q74" i="39"/>
  <c r="O24" i="45"/>
  <c r="I15" i="55"/>
  <c r="D29" i="55"/>
  <c r="D15" i="55"/>
  <c r="L29" i="55"/>
  <c r="L15" i="55"/>
  <c r="Q139" i="3"/>
  <c r="D65" i="3" a="1"/>
  <c r="D65" i="3" s="1"/>
  <c r="D167" i="3" s="1"/>
  <c r="G15" i="6"/>
  <c r="E15" i="9"/>
  <c r="J17" i="9" a="1"/>
  <c r="J17" i="9" s="1"/>
  <c r="F17" i="9" a="1"/>
  <c r="F17" i="9" s="1"/>
  <c r="F95" i="9" s="1"/>
  <c r="N17" i="9" a="1"/>
  <c r="N17" i="9" s="1"/>
  <c r="N95" i="9" s="1"/>
  <c r="Q72" i="9"/>
  <c r="Q11" i="12"/>
  <c r="Q80" i="12"/>
  <c r="Q96" i="12"/>
  <c r="Q52" i="15"/>
  <c r="Q76" i="15"/>
  <c r="Q92" i="15"/>
  <c r="Q122" i="15"/>
  <c r="Q16" i="18"/>
  <c r="Q69" i="18"/>
  <c r="Q57" i="18" s="1" a="1"/>
  <c r="Q57" i="18" s="1"/>
  <c r="Q82" i="18"/>
  <c r="Q105" i="18"/>
  <c r="Q141" i="18"/>
  <c r="Q14" i="21"/>
  <c r="Q10" i="21" s="1"/>
  <c r="Q23" i="21" s="1"/>
  <c r="E26" i="21" a="1"/>
  <c r="E26" i="21" s="1"/>
  <c r="M26" i="21" a="1"/>
  <c r="M26" i="21" s="1"/>
  <c r="Q38" i="21"/>
  <c r="D26" i="21" a="1"/>
  <c r="D26" i="21" s="1"/>
  <c r="D95" i="21" s="1"/>
  <c r="Q55" i="21"/>
  <c r="Q88" i="21"/>
  <c r="I10" i="25"/>
  <c r="I29" i="25" s="1"/>
  <c r="Q14" i="25"/>
  <c r="F32" i="25" a="1"/>
  <c r="F32" i="25" s="1"/>
  <c r="F88" i="25" s="1"/>
  <c r="D32" i="25" a="1"/>
  <c r="D32" i="25" s="1"/>
  <c r="Q33" i="25"/>
  <c r="L32" i="25" a="1"/>
  <c r="L32" i="25" s="1"/>
  <c r="L88" i="25" s="1"/>
  <c r="K32" i="25" a="1"/>
  <c r="K32" i="25" s="1"/>
  <c r="K88" i="25" s="1"/>
  <c r="Q74" i="25"/>
  <c r="N38" i="28"/>
  <c r="I10" i="28"/>
  <c r="I38" i="28" s="1"/>
  <c r="Q17" i="28"/>
  <c r="Q69" i="28"/>
  <c r="Q82" i="28"/>
  <c r="E25" i="29"/>
  <c r="E17" i="29"/>
  <c r="Q14" i="31"/>
  <c r="Q15" i="36"/>
  <c r="Q101" i="36"/>
  <c r="Q15" i="56"/>
  <c r="I29" i="63"/>
  <c r="E23" i="42"/>
  <c r="F23" i="42"/>
  <c r="J23" i="42"/>
  <c r="I16" i="48"/>
  <c r="H17" i="58" a="1"/>
  <c r="H17" i="58" s="1"/>
  <c r="Q10" i="42"/>
  <c r="Q22" i="42" s="1"/>
  <c r="Q128" i="3"/>
  <c r="K25" i="6"/>
  <c r="D10" i="12"/>
  <c r="D54" i="12" s="1"/>
  <c r="L10" i="12"/>
  <c r="L54" i="12" s="1"/>
  <c r="I57" i="12" a="1"/>
  <c r="I57" i="12" s="1"/>
  <c r="Q92" i="12"/>
  <c r="Q148" i="12"/>
  <c r="E10" i="15"/>
  <c r="E48" i="15" s="1"/>
  <c r="M10" i="15"/>
  <c r="M48" i="15" s="1"/>
  <c r="G51" i="15" a="1"/>
  <c r="G51" i="15" s="1"/>
  <c r="G144" i="15" s="1"/>
  <c r="O51" i="15" a="1"/>
  <c r="O51" i="15" s="1"/>
  <c r="O144" i="15" s="1"/>
  <c r="Q88" i="15"/>
  <c r="H10" i="18"/>
  <c r="H54" i="18" s="1"/>
  <c r="Q12" i="18"/>
  <c r="H57" i="18" a="1"/>
  <c r="H57" i="18" s="1"/>
  <c r="F57" i="18" a="1"/>
  <c r="F57" i="18" s="1"/>
  <c r="N57" i="18" a="1"/>
  <c r="N57" i="18" s="1"/>
  <c r="N150" i="18" s="1"/>
  <c r="Q101" i="18"/>
  <c r="Q121" i="18"/>
  <c r="G16" i="20"/>
  <c r="N23" i="21"/>
  <c r="I10" i="21"/>
  <c r="I23" i="21" s="1"/>
  <c r="G26" i="21" a="1"/>
  <c r="G26" i="21" s="1"/>
  <c r="G95" i="21" s="1"/>
  <c r="O26" i="21" a="1"/>
  <c r="O26" i="21" s="1"/>
  <c r="Q51" i="21"/>
  <c r="Q74" i="21"/>
  <c r="D29" i="25"/>
  <c r="K10" i="28"/>
  <c r="K38" i="28" s="1"/>
  <c r="Q52" i="28"/>
  <c r="K41" i="28" a="1"/>
  <c r="K41" i="28" s="1"/>
  <c r="Q65" i="28"/>
  <c r="Q78" i="28"/>
  <c r="Q114" i="28"/>
  <c r="G75" i="31"/>
  <c r="G22" i="31"/>
  <c r="Q12" i="31"/>
  <c r="M43" i="34" a="1"/>
  <c r="M43" i="34" s="1"/>
  <c r="F25" i="42" a="1"/>
  <c r="F25" i="42" s="1"/>
  <c r="F106" i="42" s="1"/>
  <c r="N25" i="42" a="1"/>
  <c r="N25" i="42" s="1"/>
  <c r="Q48" i="42"/>
  <c r="E25" i="42" a="1"/>
  <c r="E25" i="42" s="1"/>
  <c r="E106" i="42" s="1"/>
  <c r="M25" i="42" a="1"/>
  <c r="M25" i="42" s="1"/>
  <c r="M106" i="42" s="1"/>
  <c r="J98" i="62"/>
  <c r="J16" i="62"/>
  <c r="M63" i="3"/>
  <c r="K15" i="6"/>
  <c r="Q19" i="6"/>
  <c r="Q21" i="6" s="1"/>
  <c r="E17" i="9" a="1"/>
  <c r="E17" i="9" s="1"/>
  <c r="E95" i="9" s="1"/>
  <c r="M17" i="9" a="1"/>
  <c r="M17" i="9" s="1"/>
  <c r="M95" i="9" s="1"/>
  <c r="Q67" i="9"/>
  <c r="J95" i="9"/>
  <c r="Q21" i="12"/>
  <c r="F10" i="15"/>
  <c r="F48" i="15" s="1"/>
  <c r="Q16" i="15"/>
  <c r="I51" i="15" a="1"/>
  <c r="I51" i="15" s="1"/>
  <c r="Q86" i="15"/>
  <c r="I57" i="18" a="1"/>
  <c r="I57" i="18" s="1"/>
  <c r="I150" i="18" s="1"/>
  <c r="Q125" i="18"/>
  <c r="O95" i="21"/>
  <c r="Q49" i="21"/>
  <c r="H26" i="21" a="1"/>
  <c r="H26" i="21" s="1"/>
  <c r="Q58" i="21"/>
  <c r="E88" i="25"/>
  <c r="Q11" i="28"/>
  <c r="L10" i="28"/>
  <c r="L38" i="28" s="1"/>
  <c r="D41" i="28" a="1"/>
  <c r="D41" i="28" s="1"/>
  <c r="L41" i="28" a="1"/>
  <c r="L41" i="28" s="1"/>
  <c r="I41" i="28" a="1"/>
  <c r="I41" i="28" s="1"/>
  <c r="Q98" i="28"/>
  <c r="J75" i="31"/>
  <c r="H10" i="31"/>
  <c r="H21" i="31" s="1"/>
  <c r="E10" i="31"/>
  <c r="E21" i="31" s="1"/>
  <c r="M10" i="31"/>
  <c r="M21" i="31" s="1"/>
  <c r="K123" i="34"/>
  <c r="K41" i="34"/>
  <c r="D123" i="34"/>
  <c r="D41" i="34"/>
  <c r="J24" i="39"/>
  <c r="I23" i="42"/>
  <c r="O77" i="51"/>
  <c r="O30" i="51"/>
  <c r="L27" i="54"/>
  <c r="L32" i="54" s="1"/>
  <c r="L33" i="54" s="1"/>
  <c r="N28" i="66"/>
  <c r="N32" i="66"/>
  <c r="Q165" i="3"/>
  <c r="E16" i="4"/>
  <c r="Q29" i="6"/>
  <c r="Q47" i="9"/>
  <c r="I10" i="12"/>
  <c r="I54" i="12" s="1"/>
  <c r="Q12" i="12"/>
  <c r="Q19" i="12"/>
  <c r="K57" i="12" a="1"/>
  <c r="K57" i="12" s="1"/>
  <c r="G16" i="14"/>
  <c r="Q14" i="15"/>
  <c r="Q10" i="15" s="1"/>
  <c r="Q48" i="15" s="1"/>
  <c r="J10" i="18"/>
  <c r="J54" i="18" s="1"/>
  <c r="Q128" i="18"/>
  <c r="O24" i="21"/>
  <c r="H30" i="25"/>
  <c r="H32" i="25" a="1"/>
  <c r="H32" i="25" s="1"/>
  <c r="H88" i="25" s="1"/>
  <c r="G32" i="25" a="1"/>
  <c r="G32" i="25" s="1"/>
  <c r="O32" i="25" a="1"/>
  <c r="O32" i="25" s="1"/>
  <c r="O88" i="25" s="1"/>
  <c r="F38" i="28"/>
  <c r="Q14" i="28"/>
  <c r="J39" i="28"/>
  <c r="J119" i="28"/>
  <c r="M41" i="28" a="1"/>
  <c r="M41" i="28" s="1"/>
  <c r="M119" i="28" s="1"/>
  <c r="I75" i="31"/>
  <c r="E16" i="32"/>
  <c r="D16" i="33"/>
  <c r="E41" i="34"/>
  <c r="E123" i="34"/>
  <c r="M41" i="34"/>
  <c r="M123" i="34"/>
  <c r="N43" i="34" a="1"/>
  <c r="N43" i="34" s="1"/>
  <c r="Q24" i="55"/>
  <c r="F15" i="59"/>
  <c r="L30" i="65"/>
  <c r="L88" i="65"/>
  <c r="Q25" i="31"/>
  <c r="Q46" i="31"/>
  <c r="D43" i="34" a="1"/>
  <c r="D43" i="34" s="1"/>
  <c r="L43" i="34" a="1"/>
  <c r="L43" i="34" s="1"/>
  <c r="Q69" i="34"/>
  <c r="Q93" i="34"/>
  <c r="F24" i="39"/>
  <c r="Q12" i="39"/>
  <c r="H108" i="39"/>
  <c r="Q106" i="39"/>
  <c r="D23" i="42"/>
  <c r="L106" i="42"/>
  <c r="L23" i="42"/>
  <c r="L73" i="48"/>
  <c r="L16" i="48"/>
  <c r="I29" i="51"/>
  <c r="F17" i="56" a="1"/>
  <c r="F17" i="56" s="1"/>
  <c r="F72" i="56" s="1"/>
  <c r="Q57" i="56"/>
  <c r="H52" i="61"/>
  <c r="H15" i="61"/>
  <c r="Q15" i="61"/>
  <c r="K15" i="61"/>
  <c r="G15" i="61"/>
  <c r="J53" i="61"/>
  <c r="J57" i="61"/>
  <c r="I33" i="86"/>
  <c r="I17" i="86"/>
  <c r="J17" i="86"/>
  <c r="J33" i="86"/>
  <c r="Q54" i="59"/>
  <c r="I15" i="60"/>
  <c r="I56" i="60"/>
  <c r="D32" i="65" a="1"/>
  <c r="D32" i="65" s="1"/>
  <c r="Q33" i="65"/>
  <c r="E24" i="71"/>
  <c r="E28" i="71"/>
  <c r="O31" i="75"/>
  <c r="O21" i="75"/>
  <c r="L123" i="34"/>
  <c r="O43" i="34" a="1"/>
  <c r="O43" i="34" s="1"/>
  <c r="D10" i="36"/>
  <c r="D25" i="36" s="1"/>
  <c r="Q11" i="36"/>
  <c r="J28" i="36" a="1"/>
  <c r="J28" i="36" s="1"/>
  <c r="J114" i="36" s="1"/>
  <c r="I28" i="36" a="1"/>
  <c r="I28" i="36" s="1"/>
  <c r="Q70" i="36"/>
  <c r="Q80" i="36"/>
  <c r="M114" i="36"/>
  <c r="Q16" i="39"/>
  <c r="H24" i="39"/>
  <c r="J73" i="48"/>
  <c r="J16" i="48"/>
  <c r="Q41" i="48"/>
  <c r="Q12" i="51"/>
  <c r="Q55" i="51"/>
  <c r="Q75" i="51"/>
  <c r="D27" i="54"/>
  <c r="D32" i="54" s="1"/>
  <c r="D33" i="54" s="1"/>
  <c r="Q20" i="55"/>
  <c r="H74" i="58"/>
  <c r="H15" i="58"/>
  <c r="Q15" i="58"/>
  <c r="G74" i="58"/>
  <c r="J17" i="58" a="1"/>
  <c r="J17" i="58" s="1"/>
  <c r="Q15" i="59"/>
  <c r="K15" i="59"/>
  <c r="D29" i="63"/>
  <c r="Q15" i="66"/>
  <c r="J75" i="68"/>
  <c r="J22" i="68"/>
  <c r="G22" i="68"/>
  <c r="Q42" i="28"/>
  <c r="H43" i="34" a="1"/>
  <c r="H43" i="34" s="1"/>
  <c r="H123" i="34" s="1"/>
  <c r="Q44" i="34"/>
  <c r="F43" i="34" a="1"/>
  <c r="F43" i="34" s="1"/>
  <c r="F123" i="34" s="1"/>
  <c r="Q77" i="34"/>
  <c r="Q14" i="36"/>
  <c r="D28" i="36" a="1"/>
  <c r="D28" i="36" s="1"/>
  <c r="Q29" i="36"/>
  <c r="L28" i="36" a="1"/>
  <c r="L28" i="36" s="1"/>
  <c r="L114" i="36" s="1"/>
  <c r="E24" i="39"/>
  <c r="N106" i="42"/>
  <c r="N23" i="42"/>
  <c r="I25" i="42" a="1"/>
  <c r="I25" i="42" s="1"/>
  <c r="I106" i="42" s="1"/>
  <c r="F74" i="48"/>
  <c r="F78" i="48"/>
  <c r="Q69" i="51"/>
  <c r="D15" i="57"/>
  <c r="L67" i="57"/>
  <c r="L15" i="57"/>
  <c r="I68" i="57"/>
  <c r="I72" i="57"/>
  <c r="G21" i="64"/>
  <c r="E58" i="64"/>
  <c r="E21" i="64"/>
  <c r="Q52" i="31"/>
  <c r="O123" i="34"/>
  <c r="O41" i="34"/>
  <c r="Q121" i="34"/>
  <c r="I25" i="36"/>
  <c r="M28" i="36" a="1"/>
  <c r="M28" i="36" s="1"/>
  <c r="Q14" i="39"/>
  <c r="Q27" i="39"/>
  <c r="K26" i="39" a="1"/>
  <c r="K26" i="39" s="1"/>
  <c r="Q60" i="39"/>
  <c r="Q15" i="42"/>
  <c r="G25" i="42" a="1"/>
  <c r="G25" i="42" s="1"/>
  <c r="Q83" i="42"/>
  <c r="Q104" i="42"/>
  <c r="H24" i="45"/>
  <c r="H99" i="45"/>
  <c r="Q10" i="45"/>
  <c r="Q23" i="45" s="1"/>
  <c r="Q97" i="45"/>
  <c r="E16" i="46"/>
  <c r="O16" i="48"/>
  <c r="O73" i="48"/>
  <c r="I15" i="54"/>
  <c r="I21" i="54"/>
  <c r="N15" i="55"/>
  <c r="I17" i="55" a="1"/>
  <c r="I17" i="55" s="1"/>
  <c r="I29" i="55" s="1"/>
  <c r="G29" i="55"/>
  <c r="D17" i="56" a="1"/>
  <c r="D17" i="56" s="1"/>
  <c r="N17" i="60" a="1"/>
  <c r="N17" i="60" s="1"/>
  <c r="M58" i="64"/>
  <c r="M21" i="64"/>
  <c r="H58" i="64"/>
  <c r="H21" i="64"/>
  <c r="Q50" i="31"/>
  <c r="J10" i="34"/>
  <c r="J40" i="34" s="1"/>
  <c r="Q101" i="34"/>
  <c r="Q115" i="34"/>
  <c r="G10" i="36"/>
  <c r="G25" i="36" s="1"/>
  <c r="E26" i="39" a="1"/>
  <c r="E26" i="39" s="1"/>
  <c r="E108" i="39" s="1"/>
  <c r="M26" i="39" a="1"/>
  <c r="M26" i="39" s="1"/>
  <c r="Q38" i="39"/>
  <c r="O23" i="42"/>
  <c r="E26" i="45" a="1"/>
  <c r="E26" i="45" s="1"/>
  <c r="E99" i="45" s="1"/>
  <c r="Q38" i="45"/>
  <c r="M26" i="45" a="1"/>
  <c r="M26" i="45" s="1"/>
  <c r="Q49" i="45"/>
  <c r="Q65" i="45"/>
  <c r="F99" i="45"/>
  <c r="G16" i="46"/>
  <c r="F30" i="51"/>
  <c r="O22" i="54"/>
  <c r="O26" i="54"/>
  <c r="H34" i="55"/>
  <c r="H30" i="55"/>
  <c r="G15" i="56"/>
  <c r="Q67" i="56"/>
  <c r="E72" i="57"/>
  <c r="E68" i="57"/>
  <c r="M72" i="57"/>
  <c r="M68" i="57"/>
  <c r="D10" i="28"/>
  <c r="D38" i="28" s="1"/>
  <c r="D10" i="31"/>
  <c r="D21" i="31" s="1"/>
  <c r="Q35" i="31"/>
  <c r="Q48" i="31"/>
  <c r="Q73" i="31"/>
  <c r="G123" i="34"/>
  <c r="I43" i="34" a="1"/>
  <c r="I43" i="34" s="1"/>
  <c r="I123" i="34" s="1"/>
  <c r="Q118" i="34"/>
  <c r="E114" i="36"/>
  <c r="O28" i="36" a="1"/>
  <c r="O28" i="36" s="1"/>
  <c r="O114" i="36" s="1"/>
  <c r="M108" i="39"/>
  <c r="K10" i="42"/>
  <c r="K22" i="42" s="1"/>
  <c r="Q13" i="42"/>
  <c r="L99" i="45"/>
  <c r="L24" i="45"/>
  <c r="G24" i="45"/>
  <c r="G26" i="45" a="1"/>
  <c r="G26" i="45" s="1"/>
  <c r="G99" i="45" s="1"/>
  <c r="O26" i="45" a="1"/>
  <c r="O26" i="45" s="1"/>
  <c r="O99" i="45" s="1"/>
  <c r="K73" i="48"/>
  <c r="K16" i="48"/>
  <c r="I18" i="48" a="1"/>
  <c r="I18" i="48" s="1"/>
  <c r="I73" i="48" s="1"/>
  <c r="H77" i="51"/>
  <c r="H30" i="51"/>
  <c r="F29" i="55"/>
  <c r="F15" i="55"/>
  <c r="N30" i="55"/>
  <c r="N34" i="55"/>
  <c r="F17" i="58" a="1"/>
  <c r="F17" i="58" s="1"/>
  <c r="F74" i="58" s="1"/>
  <c r="N17" i="58" a="1"/>
  <c r="N17" i="58" s="1"/>
  <c r="N74" i="58" s="1"/>
  <c r="Q18" i="60"/>
  <c r="F15" i="61"/>
  <c r="Q65" i="34"/>
  <c r="Q111" i="34"/>
  <c r="Q18" i="36"/>
  <c r="Q68" i="36"/>
  <c r="G10" i="39"/>
  <c r="G23" i="39" s="1"/>
  <c r="Q64" i="39"/>
  <c r="H25" i="42" a="1"/>
  <c r="H25" i="42" s="1"/>
  <c r="O25" i="42" a="1"/>
  <c r="O25" i="42" s="1"/>
  <c r="O106" i="42" s="1"/>
  <c r="Q59" i="42"/>
  <c r="D99" i="45"/>
  <c r="D24" i="45"/>
  <c r="Q63" i="45"/>
  <c r="Q73" i="45"/>
  <c r="G15" i="48"/>
  <c r="Q45" i="48"/>
  <c r="E16" i="49"/>
  <c r="D16" i="50"/>
  <c r="M30" i="51"/>
  <c r="G10" i="51"/>
  <c r="G29" i="51" s="1"/>
  <c r="F32" i="51" a="1"/>
  <c r="F32" i="51" s="1"/>
  <c r="F77" i="51" s="1"/>
  <c r="N32" i="51" a="1"/>
  <c r="N32" i="51" s="1"/>
  <c r="Q67" i="51"/>
  <c r="Q72" i="51"/>
  <c r="L15" i="54"/>
  <c r="Q19" i="54"/>
  <c r="M26" i="54"/>
  <c r="E72" i="56"/>
  <c r="E15" i="56"/>
  <c r="M72" i="56"/>
  <c r="M15" i="56"/>
  <c r="H15" i="56"/>
  <c r="H72" i="56"/>
  <c r="K17" i="56" a="1"/>
  <c r="K17" i="56" s="1"/>
  <c r="Q28" i="56"/>
  <c r="Q41" i="56"/>
  <c r="M17" i="56" a="1"/>
  <c r="M17" i="56" s="1"/>
  <c r="Q40" i="58"/>
  <c r="Q17" i="58" s="1" a="1"/>
  <c r="Q17" i="58" s="1"/>
  <c r="Q74" i="58" s="1"/>
  <c r="D17" i="58" a="1"/>
  <c r="D17" i="58" s="1"/>
  <c r="D74" i="58" s="1"/>
  <c r="L17" i="58" a="1"/>
  <c r="L17" i="58" s="1"/>
  <c r="Q62" i="58"/>
  <c r="L15" i="59"/>
  <c r="Q97" i="34"/>
  <c r="Q16" i="36"/>
  <c r="Q40" i="36"/>
  <c r="Q66" i="36"/>
  <c r="H26" i="39" a="1"/>
  <c r="H26" i="39" s="1"/>
  <c r="F26" i="39" a="1"/>
  <c r="F26" i="39" s="1"/>
  <c r="F108" i="39" s="1"/>
  <c r="N26" i="39" a="1"/>
  <c r="N26" i="39" s="1"/>
  <c r="N108" i="39" s="1"/>
  <c r="Q62" i="39"/>
  <c r="Q100" i="39"/>
  <c r="G16" i="40"/>
  <c r="Q57" i="42"/>
  <c r="Q93" i="42"/>
  <c r="I26" i="45" a="1"/>
  <c r="I26" i="45" s="1"/>
  <c r="F26" i="45" a="1"/>
  <c r="F26" i="45" s="1"/>
  <c r="N26" i="45" a="1"/>
  <c r="N26" i="45" s="1"/>
  <c r="N99" i="45" s="1"/>
  <c r="M99" i="45"/>
  <c r="E18" i="48" a="1"/>
  <c r="E18" i="48" s="1"/>
  <c r="E73" i="48" s="1"/>
  <c r="Q19" i="48"/>
  <c r="M18" i="48" a="1"/>
  <c r="M18" i="48" s="1"/>
  <c r="M73" i="48" s="1"/>
  <c r="Q30" i="48"/>
  <c r="D18" i="48" a="1"/>
  <c r="D18" i="48" s="1"/>
  <c r="Q43" i="48"/>
  <c r="N77" i="51"/>
  <c r="N30" i="51"/>
  <c r="Q65" i="51"/>
  <c r="M15" i="54"/>
  <c r="Q18" i="55"/>
  <c r="N72" i="56"/>
  <c r="N15" i="56"/>
  <c r="D72" i="56"/>
  <c r="Q18" i="56"/>
  <c r="Q17" i="56" s="1" a="1"/>
  <c r="Q17" i="56" s="1"/>
  <c r="Q72" i="56" s="1"/>
  <c r="L17" i="56" a="1"/>
  <c r="L17" i="56" s="1"/>
  <c r="Q39" i="56"/>
  <c r="F67" i="57"/>
  <c r="F15" i="57"/>
  <c r="N67" i="57"/>
  <c r="N15" i="57"/>
  <c r="J61" i="59"/>
  <c r="J15" i="59"/>
  <c r="E15" i="59"/>
  <c r="M15" i="59"/>
  <c r="M61" i="59"/>
  <c r="K17" i="59" a="1"/>
  <c r="K17" i="59" s="1"/>
  <c r="K61" i="59" s="1"/>
  <c r="Q45" i="64"/>
  <c r="Q75" i="34"/>
  <c r="H10" i="36"/>
  <c r="H25" i="36" s="1"/>
  <c r="Q12" i="36"/>
  <c r="H28" i="36" a="1"/>
  <c r="H28" i="36" s="1"/>
  <c r="F28" i="36" a="1"/>
  <c r="F28" i="36" s="1"/>
  <c r="F114" i="36" s="1"/>
  <c r="N28" i="36" a="1"/>
  <c r="N28" i="36" s="1"/>
  <c r="N114" i="36" s="1"/>
  <c r="Q62" i="36"/>
  <c r="Q15" i="39"/>
  <c r="Q58" i="39"/>
  <c r="G10" i="42"/>
  <c r="G22" i="42" s="1"/>
  <c r="Q14" i="42"/>
  <c r="J25" i="42" a="1"/>
  <c r="J25" i="42" s="1"/>
  <c r="J106" i="42" s="1"/>
  <c r="Q67" i="42"/>
  <c r="Q81" i="42"/>
  <c r="K24" i="45"/>
  <c r="K26" i="45" a="1"/>
  <c r="K26" i="45" s="1"/>
  <c r="K99" i="45" s="1"/>
  <c r="Q57" i="45"/>
  <c r="Q59" i="45"/>
  <c r="G18" i="48" a="1"/>
  <c r="G18" i="48" s="1"/>
  <c r="O18" i="48" a="1"/>
  <c r="O18" i="48" s="1"/>
  <c r="Q62" i="48"/>
  <c r="N73" i="48"/>
  <c r="Q15" i="51"/>
  <c r="Q33" i="51"/>
  <c r="Q32" i="51" s="1" a="1"/>
  <c r="Q32" i="51" s="1"/>
  <c r="Q61" i="51"/>
  <c r="J15" i="54"/>
  <c r="J21" i="54"/>
  <c r="Q30" i="54"/>
  <c r="J15" i="55"/>
  <c r="J29" i="55"/>
  <c r="E15" i="55"/>
  <c r="E29" i="55"/>
  <c r="M15" i="55"/>
  <c r="M29" i="55"/>
  <c r="Q15" i="55"/>
  <c r="K72" i="56"/>
  <c r="Q51" i="56"/>
  <c r="G56" i="60"/>
  <c r="G15" i="60"/>
  <c r="Q43" i="60"/>
  <c r="M57" i="60"/>
  <c r="M61" i="60"/>
  <c r="E98" i="62"/>
  <c r="E16" i="62"/>
  <c r="M16" i="62"/>
  <c r="O16" i="62"/>
  <c r="O28" i="66"/>
  <c r="O32" i="66"/>
  <c r="N78" i="69"/>
  <c r="N82" i="69"/>
  <c r="N40" i="34"/>
  <c r="Q73" i="34"/>
  <c r="Q60" i="36"/>
  <c r="Q76" i="36"/>
  <c r="Q90" i="36"/>
  <c r="K10" i="39"/>
  <c r="K23" i="39" s="1"/>
  <c r="Q13" i="39"/>
  <c r="H10" i="42"/>
  <c r="H22" i="42" s="1"/>
  <c r="Q12" i="42"/>
  <c r="D25" i="42" a="1"/>
  <c r="D25" i="42" s="1"/>
  <c r="D106" i="42" s="1"/>
  <c r="Q26" i="42"/>
  <c r="Q65" i="42"/>
  <c r="Q75" i="42"/>
  <c r="I99" i="45"/>
  <c r="Q27" i="45"/>
  <c r="Q55" i="45"/>
  <c r="Q88" i="45"/>
  <c r="Q93" i="45"/>
  <c r="H18" i="48" a="1"/>
  <c r="H18" i="48" s="1"/>
  <c r="Q50" i="48"/>
  <c r="Q60" i="48"/>
  <c r="E77" i="51"/>
  <c r="E30" i="51"/>
  <c r="K10" i="51"/>
  <c r="K29" i="51" s="1"/>
  <c r="Q13" i="51"/>
  <c r="Q59" i="51"/>
  <c r="H14" i="54"/>
  <c r="Q14" i="54"/>
  <c r="K29" i="55"/>
  <c r="I14" i="56"/>
  <c r="Q49" i="56"/>
  <c r="Q47" i="57"/>
  <c r="Q62" i="57"/>
  <c r="N15" i="58"/>
  <c r="H15" i="60"/>
  <c r="H56" i="60"/>
  <c r="Q41" i="60"/>
  <c r="Q46" i="60"/>
  <c r="Q51" i="60"/>
  <c r="K16" i="62"/>
  <c r="K98" i="62"/>
  <c r="N29" i="63"/>
  <c r="Q71" i="34"/>
  <c r="Q74" i="36"/>
  <c r="Q88" i="36"/>
  <c r="Q11" i="39"/>
  <c r="D10" i="39"/>
  <c r="D23" i="39" s="1"/>
  <c r="L10" i="39"/>
  <c r="L23" i="39" s="1"/>
  <c r="D26" i="39" a="1"/>
  <c r="D26" i="39" s="1"/>
  <c r="L26" i="39" a="1"/>
  <c r="L26" i="39" s="1"/>
  <c r="J26" i="39" a="1"/>
  <c r="J26" i="39" s="1"/>
  <c r="J108" i="39" s="1"/>
  <c r="Q70" i="39"/>
  <c r="Q37" i="42"/>
  <c r="Q73" i="42"/>
  <c r="Q101" i="42"/>
  <c r="J10" i="45"/>
  <c r="J23" i="45" s="1"/>
  <c r="Q53" i="45"/>
  <c r="Q69" i="45"/>
  <c r="Q78" i="45"/>
  <c r="Q91" i="45"/>
  <c r="H73" i="48"/>
  <c r="H16" i="48"/>
  <c r="Q11" i="48"/>
  <c r="Q10" i="48" s="1"/>
  <c r="Q15" i="48" s="1"/>
  <c r="D10" i="48"/>
  <c r="D15" i="48" s="1"/>
  <c r="Q11" i="51"/>
  <c r="D10" i="51"/>
  <c r="D29" i="51" s="1"/>
  <c r="L77" i="51"/>
  <c r="L30" i="51"/>
  <c r="E32" i="51" a="1"/>
  <c r="E32" i="51" s="1"/>
  <c r="M32" i="51" a="1"/>
  <c r="M32" i="51" s="1"/>
  <c r="M77" i="51" s="1"/>
  <c r="Q57" i="51"/>
  <c r="E27" i="54"/>
  <c r="E32" i="54" s="1"/>
  <c r="E33" i="54" s="1"/>
  <c r="J72" i="56"/>
  <c r="Q45" i="57"/>
  <c r="Q60" i="57"/>
  <c r="O74" i="58"/>
  <c r="O15" i="58"/>
  <c r="E15" i="58"/>
  <c r="E74" i="58"/>
  <c r="Q72" i="58"/>
  <c r="N15" i="59"/>
  <c r="G17" i="59" a="1"/>
  <c r="G17" i="59" s="1"/>
  <c r="G61" i="59" s="1"/>
  <c r="O17" i="59" a="1"/>
  <c r="O17" i="59" s="1"/>
  <c r="J15" i="60"/>
  <c r="F17" i="60" a="1"/>
  <c r="F17" i="60" s="1"/>
  <c r="Q39" i="60"/>
  <c r="Q39" i="61"/>
  <c r="L85" i="63"/>
  <c r="L29" i="63"/>
  <c r="H85" i="63"/>
  <c r="H29" i="63"/>
  <c r="J21" i="64"/>
  <c r="Q12" i="64"/>
  <c r="F58" i="64"/>
  <c r="F21" i="64"/>
  <c r="Q14" i="64"/>
  <c r="K108" i="67"/>
  <c r="K39" i="67"/>
  <c r="F10" i="68"/>
  <c r="F21" i="68" s="1"/>
  <c r="O22" i="68"/>
  <c r="J23" i="71"/>
  <c r="J15" i="71"/>
  <c r="Q21" i="71"/>
  <c r="K28" i="71"/>
  <c r="K24" i="71"/>
  <c r="G14" i="57"/>
  <c r="O14" i="57"/>
  <c r="H67" i="57"/>
  <c r="H15" i="57"/>
  <c r="K15" i="57"/>
  <c r="K17" i="57" a="1"/>
  <c r="K17" i="57" s="1"/>
  <c r="K67" i="57" s="1"/>
  <c r="Q28" i="57"/>
  <c r="Q41" i="57"/>
  <c r="Q53" i="57"/>
  <c r="J67" i="57"/>
  <c r="I14" i="58"/>
  <c r="Q50" i="58"/>
  <c r="K74" i="58"/>
  <c r="E17" i="59" a="1"/>
  <c r="E17" i="59" s="1"/>
  <c r="E61" i="59" s="1"/>
  <c r="M17" i="59" a="1"/>
  <c r="M17" i="59" s="1"/>
  <c r="Q53" i="62"/>
  <c r="D18" i="62" a="1"/>
  <c r="D18" i="62" s="1"/>
  <c r="D98" i="62" s="1"/>
  <c r="Q69" i="62"/>
  <c r="G98" i="62"/>
  <c r="J28" i="63"/>
  <c r="Q80" i="63"/>
  <c r="Q27" i="55"/>
  <c r="J15" i="56"/>
  <c r="D17" i="57" a="1"/>
  <c r="D17" i="57" s="1"/>
  <c r="D67" i="57" s="1"/>
  <c r="Q18" i="57"/>
  <c r="L17" i="57" a="1"/>
  <c r="L17" i="57" s="1"/>
  <c r="Q39" i="57"/>
  <c r="J14" i="58"/>
  <c r="Q48" i="58"/>
  <c r="L74" i="58"/>
  <c r="Q44" i="59"/>
  <c r="K14" i="60"/>
  <c r="F56" i="60"/>
  <c r="N15" i="60"/>
  <c r="N56" i="60"/>
  <c r="J17" i="60" a="1"/>
  <c r="J17" i="60" s="1"/>
  <c r="J56" i="60" s="1"/>
  <c r="Q18" i="61"/>
  <c r="N98" i="62"/>
  <c r="Q41" i="62"/>
  <c r="F18" i="62" a="1"/>
  <c r="F18" i="62" s="1"/>
  <c r="F98" i="62" s="1"/>
  <c r="Q50" i="62"/>
  <c r="M18" i="62" a="1"/>
  <c r="M18" i="62" s="1"/>
  <c r="M98" i="62" s="1"/>
  <c r="E31" i="63" a="1"/>
  <c r="E31" i="63" s="1"/>
  <c r="Q55" i="63"/>
  <c r="O21" i="64"/>
  <c r="O88" i="65"/>
  <c r="O30" i="65"/>
  <c r="J30" i="65"/>
  <c r="J88" i="65"/>
  <c r="K15" i="56"/>
  <c r="G17" i="56" a="1"/>
  <c r="G17" i="56" s="1"/>
  <c r="G72" i="56" s="1"/>
  <c r="O17" i="56" a="1"/>
  <c r="O17" i="56" s="1"/>
  <c r="O72" i="56" s="1"/>
  <c r="M15" i="58"/>
  <c r="Q39" i="59"/>
  <c r="Q42" i="59"/>
  <c r="D17" i="59" a="1"/>
  <c r="D17" i="59" s="1"/>
  <c r="D61" i="59" s="1"/>
  <c r="L17" i="59" a="1"/>
  <c r="L17" i="59" s="1"/>
  <c r="L61" i="59" s="1"/>
  <c r="D14" i="60"/>
  <c r="L14" i="60"/>
  <c r="O56" i="60"/>
  <c r="O15" i="60"/>
  <c r="L52" i="61"/>
  <c r="L15" i="61"/>
  <c r="E39" i="67"/>
  <c r="E108" i="67"/>
  <c r="J77" i="69"/>
  <c r="J30" i="69"/>
  <c r="G77" i="69"/>
  <c r="G30" i="69"/>
  <c r="D30" i="69"/>
  <c r="L30" i="69"/>
  <c r="J76" i="70"/>
  <c r="J19" i="70"/>
  <c r="G19" i="70"/>
  <c r="L72" i="56"/>
  <c r="L15" i="56"/>
  <c r="Q44" i="58"/>
  <c r="Q18" i="59"/>
  <c r="F17" i="59" a="1"/>
  <c r="F17" i="59" s="1"/>
  <c r="F61" i="59" s="1"/>
  <c r="N17" i="59" a="1"/>
  <c r="N17" i="59" s="1"/>
  <c r="N61" i="59" s="1"/>
  <c r="F17" i="61" a="1"/>
  <c r="F17" i="61" s="1"/>
  <c r="F52" i="61" s="1"/>
  <c r="N17" i="61" a="1"/>
  <c r="N17" i="61" s="1"/>
  <c r="Q46" i="61"/>
  <c r="H98" i="62"/>
  <c r="N16" i="62"/>
  <c r="Q32" i="63"/>
  <c r="F31" i="63" a="1"/>
  <c r="F31" i="63" s="1"/>
  <c r="N31" i="63" a="1"/>
  <c r="N31" i="63" s="1"/>
  <c r="N85" i="63" s="1"/>
  <c r="Q70" i="63"/>
  <c r="G28" i="66"/>
  <c r="G32" i="66"/>
  <c r="H75" i="68"/>
  <c r="H22" i="68"/>
  <c r="M77" i="69"/>
  <c r="M30" i="69"/>
  <c r="E77" i="69"/>
  <c r="E30" i="69"/>
  <c r="K19" i="70"/>
  <c r="Q62" i="56"/>
  <c r="Q15" i="57"/>
  <c r="G17" i="57" a="1"/>
  <c r="G17" i="57" s="1"/>
  <c r="O17" i="57" a="1"/>
  <c r="O17" i="57" s="1"/>
  <c r="Q49" i="57"/>
  <c r="E17" i="58" a="1"/>
  <c r="E17" i="58" s="1"/>
  <c r="M17" i="58" a="1"/>
  <c r="M17" i="58" s="1"/>
  <c r="M74" i="58" s="1"/>
  <c r="Q42" i="58"/>
  <c r="O61" i="59"/>
  <c r="I17" i="59" a="1"/>
  <c r="I17" i="59" s="1"/>
  <c r="I61" i="59" s="1"/>
  <c r="E56" i="60"/>
  <c r="N52" i="61"/>
  <c r="D52" i="61"/>
  <c r="D15" i="61"/>
  <c r="I98" i="62"/>
  <c r="I16" i="62"/>
  <c r="L98" i="62"/>
  <c r="L16" i="62"/>
  <c r="Q16" i="62"/>
  <c r="E18" i="62" a="1"/>
  <c r="E18" i="62" s="1"/>
  <c r="K29" i="63"/>
  <c r="K85" i="63"/>
  <c r="Q12" i="63"/>
  <c r="I31" i="63" a="1"/>
  <c r="I31" i="63" s="1"/>
  <c r="I85" i="63" s="1"/>
  <c r="Q18" i="66"/>
  <c r="Q17" i="66" s="1" a="1"/>
  <c r="Q17" i="66" s="1"/>
  <c r="Q27" i="66" s="1"/>
  <c r="I113" i="67"/>
  <c r="I109" i="67"/>
  <c r="G39" i="67"/>
  <c r="G108" i="67"/>
  <c r="N75" i="68"/>
  <c r="N22" i="68"/>
  <c r="O25" i="72"/>
  <c r="O29" i="72"/>
  <c r="Q54" i="60"/>
  <c r="I14" i="61"/>
  <c r="G17" i="61" a="1"/>
  <c r="G17" i="61" s="1"/>
  <c r="G52" i="61" s="1"/>
  <c r="O17" i="61" a="1"/>
  <c r="O17" i="61" s="1"/>
  <c r="O52" i="61" s="1"/>
  <c r="Q44" i="61"/>
  <c r="Q19" i="62"/>
  <c r="L18" i="62" a="1"/>
  <c r="L18" i="62" s="1"/>
  <c r="Q65" i="62"/>
  <c r="O85" i="63"/>
  <c r="Q65" i="63"/>
  <c r="Q75" i="63"/>
  <c r="N58" i="64"/>
  <c r="N21" i="64"/>
  <c r="I10" i="64"/>
  <c r="I20" i="64" s="1"/>
  <c r="D23" i="64" a="1"/>
  <c r="D23" i="64" s="1"/>
  <c r="Q24" i="64"/>
  <c r="Q23" i="64" s="1" a="1"/>
  <c r="Q23" i="64" s="1"/>
  <c r="L23" i="64" a="1"/>
  <c r="L23" i="64" s="1"/>
  <c r="M75" i="68"/>
  <c r="M22" i="68"/>
  <c r="I10" i="69"/>
  <c r="I29" i="69" s="1"/>
  <c r="J32" i="69" a="1"/>
  <c r="J32" i="69" s="1"/>
  <c r="Q59" i="69"/>
  <c r="N19" i="70"/>
  <c r="N76" i="70"/>
  <c r="N20" i="73"/>
  <c r="N87" i="73"/>
  <c r="Q30" i="62"/>
  <c r="Q63" i="62"/>
  <c r="J31" i="63" a="1"/>
  <c r="J31" i="63" s="1"/>
  <c r="Q63" i="63"/>
  <c r="Q73" i="63"/>
  <c r="Q13" i="64"/>
  <c r="D88" i="65"/>
  <c r="D30" i="65"/>
  <c r="H27" i="66"/>
  <c r="H15" i="66"/>
  <c r="F87" i="73"/>
  <c r="F20" i="73"/>
  <c r="E10" i="73"/>
  <c r="E19" i="73" s="1"/>
  <c r="Q11" i="73"/>
  <c r="M20" i="73"/>
  <c r="I17" i="61" a="1"/>
  <c r="I17" i="61" s="1"/>
  <c r="Q61" i="62"/>
  <c r="Q61" i="63"/>
  <c r="K10" i="64"/>
  <c r="K20" i="64" s="1"/>
  <c r="E10" i="65"/>
  <c r="E29" i="65" s="1"/>
  <c r="Q11" i="65"/>
  <c r="M10" i="65"/>
  <c r="M29" i="65" s="1"/>
  <c r="Q11" i="67"/>
  <c r="D10" i="67"/>
  <c r="D38" i="67" s="1"/>
  <c r="L39" i="67"/>
  <c r="L108" i="67"/>
  <c r="Q80" i="67"/>
  <c r="D41" i="67" a="1"/>
  <c r="D41" i="67" s="1"/>
  <c r="L19" i="70"/>
  <c r="L76" i="70"/>
  <c r="O15" i="71"/>
  <c r="O23" i="71"/>
  <c r="E88" i="74"/>
  <c r="E23" i="74"/>
  <c r="K23" i="74"/>
  <c r="O18" i="62" a="1"/>
  <c r="O18" i="62" s="1"/>
  <c r="O98" i="62" s="1"/>
  <c r="Q59" i="62"/>
  <c r="Q90" i="62"/>
  <c r="G85" i="63"/>
  <c r="E10" i="63"/>
  <c r="E28" i="63" s="1"/>
  <c r="M10" i="63"/>
  <c r="M28" i="63" s="1"/>
  <c r="O29" i="63"/>
  <c r="D31" i="63" a="1"/>
  <c r="D31" i="63" s="1"/>
  <c r="D85" i="63" s="1"/>
  <c r="L31" i="63" a="1"/>
  <c r="L31" i="63" s="1"/>
  <c r="Q59" i="63"/>
  <c r="Q11" i="64"/>
  <c r="D10" i="64"/>
  <c r="D20" i="64" s="1"/>
  <c r="L10" i="64"/>
  <c r="L20" i="64" s="1"/>
  <c r="G23" i="64" a="1"/>
  <c r="G23" i="64" s="1"/>
  <c r="G58" i="64" s="1"/>
  <c r="O23" i="64" a="1"/>
  <c r="O23" i="64" s="1"/>
  <c r="O58" i="64" s="1"/>
  <c r="G88" i="65"/>
  <c r="G30" i="65"/>
  <c r="K29" i="65"/>
  <c r="M39" i="67"/>
  <c r="M108" i="67"/>
  <c r="E19" i="70"/>
  <c r="M19" i="70"/>
  <c r="F93" i="74"/>
  <c r="F89" i="74"/>
  <c r="E14" i="61"/>
  <c r="M14" i="61"/>
  <c r="K17" i="61" a="1"/>
  <c r="K17" i="61" s="1"/>
  <c r="K52" i="61" s="1"/>
  <c r="Q28" i="61"/>
  <c r="Q57" i="62"/>
  <c r="Q79" i="62"/>
  <c r="Q88" i="62"/>
  <c r="F10" i="63"/>
  <c r="F28" i="63" s="1"/>
  <c r="Q11" i="63"/>
  <c r="Q10" i="63" s="1"/>
  <c r="Q16" i="63"/>
  <c r="Q57" i="63"/>
  <c r="K27" i="66"/>
  <c r="K15" i="66"/>
  <c r="M27" i="66"/>
  <c r="F39" i="67"/>
  <c r="H41" i="67" a="1"/>
  <c r="H41" i="67" s="1"/>
  <c r="D19" i="70"/>
  <c r="F19" i="70"/>
  <c r="F76" i="70"/>
  <c r="Q11" i="70"/>
  <c r="Q10" i="70" s="1"/>
  <c r="Q18" i="70" s="1"/>
  <c r="Q54" i="70"/>
  <c r="I23" i="71"/>
  <c r="I15" i="71"/>
  <c r="D15" i="71"/>
  <c r="D23" i="71"/>
  <c r="L15" i="71"/>
  <c r="L23" i="71"/>
  <c r="Q53" i="64"/>
  <c r="H88" i="65"/>
  <c r="H30" i="65"/>
  <c r="I27" i="66"/>
  <c r="D27" i="66"/>
  <c r="D15" i="66"/>
  <c r="J108" i="67"/>
  <c r="Q12" i="67"/>
  <c r="Q42" i="67"/>
  <c r="F41" i="67" a="1"/>
  <c r="F41" i="67" s="1"/>
  <c r="F108" i="67" s="1"/>
  <c r="N41" i="67" a="1"/>
  <c r="N41" i="67" s="1"/>
  <c r="Q78" i="67"/>
  <c r="I22" i="68"/>
  <c r="G24" i="68" a="1"/>
  <c r="G24" i="68" s="1"/>
  <c r="G75" i="68" s="1"/>
  <c r="Q46" i="68"/>
  <c r="Q24" i="68" s="1" a="1"/>
  <c r="Q24" i="68" s="1"/>
  <c r="O24" i="68" a="1"/>
  <c r="O24" i="68" s="1"/>
  <c r="O75" i="68" s="1"/>
  <c r="Q70" i="68"/>
  <c r="O77" i="69"/>
  <c r="O30" i="69"/>
  <c r="Q13" i="69"/>
  <c r="Q44" i="69"/>
  <c r="D32" i="69" a="1"/>
  <c r="D32" i="69" s="1"/>
  <c r="D77" i="69" s="1"/>
  <c r="L32" i="69" a="1"/>
  <c r="L32" i="69" s="1"/>
  <c r="L77" i="69" s="1"/>
  <c r="Q57" i="69"/>
  <c r="H10" i="70"/>
  <c r="H18" i="70" s="1"/>
  <c r="Q12" i="70"/>
  <c r="Q50" i="70"/>
  <c r="O18" i="72"/>
  <c r="G24" i="72"/>
  <c r="J88" i="74"/>
  <c r="J23" i="74"/>
  <c r="G10" i="74"/>
  <c r="G22" i="74" s="1"/>
  <c r="Q11" i="75"/>
  <c r="D10" i="75"/>
  <c r="D20" i="75" s="1"/>
  <c r="L10" i="75"/>
  <c r="L20" i="75" s="1"/>
  <c r="K23" i="64" a="1"/>
  <c r="K23" i="64" s="1"/>
  <c r="J23" i="64" a="1"/>
  <c r="J23" i="64" s="1"/>
  <c r="J58" i="64" s="1"/>
  <c r="Q51" i="64"/>
  <c r="F10" i="65"/>
  <c r="F29" i="65" s="1"/>
  <c r="Q25" i="66"/>
  <c r="H10" i="67"/>
  <c r="H38" i="67" s="1"/>
  <c r="Q15" i="67"/>
  <c r="Q15" i="68"/>
  <c r="K22" i="68"/>
  <c r="Q64" i="68"/>
  <c r="K10" i="69"/>
  <c r="K29" i="69" s="1"/>
  <c r="Q55" i="69"/>
  <c r="I76" i="70"/>
  <c r="Q48" i="70"/>
  <c r="E22" i="68"/>
  <c r="I24" i="68" a="1"/>
  <c r="I24" i="68" s="1"/>
  <c r="I75" i="68" s="1"/>
  <c r="Q57" i="68"/>
  <c r="Q11" i="69"/>
  <c r="H32" i="69" a="1"/>
  <c r="H32" i="69" s="1"/>
  <c r="H77" i="69" s="1"/>
  <c r="Q33" i="69"/>
  <c r="Q75" i="69"/>
  <c r="O18" i="70"/>
  <c r="Q33" i="70"/>
  <c r="K21" i="70" a="1"/>
  <c r="K21" i="70" s="1"/>
  <c r="K76" i="70" s="1"/>
  <c r="N93" i="74"/>
  <c r="N89" i="74"/>
  <c r="G31" i="75"/>
  <c r="G21" i="75"/>
  <c r="I32" i="75"/>
  <c r="I36" i="75"/>
  <c r="F24" i="77"/>
  <c r="F28" i="77"/>
  <c r="N24" i="77"/>
  <c r="N28" i="77"/>
  <c r="H74" i="78"/>
  <c r="H15" i="78"/>
  <c r="Q27" i="64"/>
  <c r="Q14" i="65"/>
  <c r="Q74" i="65"/>
  <c r="E27" i="66"/>
  <c r="Q13" i="67"/>
  <c r="O39" i="67"/>
  <c r="O108" i="67"/>
  <c r="Q94" i="67"/>
  <c r="Q11" i="68"/>
  <c r="Q10" i="68" s="1"/>
  <c r="Q21" i="68" s="1"/>
  <c r="D10" i="68"/>
  <c r="D21" i="68" s="1"/>
  <c r="L10" i="68"/>
  <c r="L21" i="68" s="1"/>
  <c r="Q55" i="68"/>
  <c r="Q60" i="68"/>
  <c r="F29" i="69"/>
  <c r="Q14" i="69"/>
  <c r="E21" i="70" a="1"/>
  <c r="E21" i="70" s="1"/>
  <c r="E76" i="70" s="1"/>
  <c r="M21" i="70" a="1"/>
  <c r="M21" i="70" s="1"/>
  <c r="M76" i="70" s="1"/>
  <c r="Q44" i="70"/>
  <c r="Q60" i="70"/>
  <c r="Q64" i="70"/>
  <c r="M24" i="72"/>
  <c r="M18" i="72"/>
  <c r="N29" i="65"/>
  <c r="I10" i="65"/>
  <c r="I29" i="65" s="1"/>
  <c r="Q12" i="65"/>
  <c r="Q44" i="65"/>
  <c r="J14" i="66"/>
  <c r="L27" i="66"/>
  <c r="L15" i="66"/>
  <c r="F27" i="66"/>
  <c r="N108" i="67"/>
  <c r="K24" i="68" a="1"/>
  <c r="K24" i="68" s="1"/>
  <c r="K75" i="68" s="1"/>
  <c r="Q65" i="69"/>
  <c r="Q22" i="70"/>
  <c r="G21" i="70" a="1"/>
  <c r="G21" i="70" s="1"/>
  <c r="G76" i="70" s="1"/>
  <c r="O21" i="70" a="1"/>
  <c r="O21" i="70" s="1"/>
  <c r="Q18" i="71"/>
  <c r="Q17" i="71" s="1"/>
  <c r="Q23" i="71" s="1"/>
  <c r="F24" i="72"/>
  <c r="F18" i="72"/>
  <c r="Q12" i="72"/>
  <c r="D24" i="72"/>
  <c r="D18" i="72"/>
  <c r="L24" i="77"/>
  <c r="L28" i="77"/>
  <c r="H23" i="71"/>
  <c r="G15" i="71"/>
  <c r="G23" i="71"/>
  <c r="N24" i="72"/>
  <c r="N18" i="72"/>
  <c r="L30" i="72"/>
  <c r="L33" i="72"/>
  <c r="L34" i="72" s="1"/>
  <c r="K87" i="73"/>
  <c r="K20" i="73"/>
  <c r="G22" i="73" a="1"/>
  <c r="G22" i="73" s="1"/>
  <c r="G87" i="73" s="1"/>
  <c r="O22" i="73" a="1"/>
  <c r="O22" i="73" s="1"/>
  <c r="O87" i="73" s="1"/>
  <c r="Q59" i="73"/>
  <c r="I25" i="74" a="1"/>
  <c r="I25" i="74" s="1"/>
  <c r="Q71" i="74"/>
  <c r="H31" i="75"/>
  <c r="H21" i="75"/>
  <c r="E15" i="78"/>
  <c r="M15" i="78"/>
  <c r="F34" i="79"/>
  <c r="F30" i="79"/>
  <c r="E24" i="68" a="1"/>
  <c r="E24" i="68" s="1"/>
  <c r="E75" i="68" s="1"/>
  <c r="Q12" i="69"/>
  <c r="D21" i="70" a="1"/>
  <c r="D21" i="70" s="1"/>
  <c r="D76" i="70" s="1"/>
  <c r="F23" i="71"/>
  <c r="N23" i="71"/>
  <c r="I18" i="72"/>
  <c r="I24" i="72"/>
  <c r="G20" i="73"/>
  <c r="Q14" i="73"/>
  <c r="I22" i="73" a="1"/>
  <c r="I22" i="73" s="1"/>
  <c r="Q50" i="73"/>
  <c r="Q55" i="73"/>
  <c r="M88" i="74"/>
  <c r="M23" i="74"/>
  <c r="K25" i="74" a="1"/>
  <c r="K25" i="74" s="1"/>
  <c r="K88" i="74" s="1"/>
  <c r="Q36" i="74"/>
  <c r="Q49" i="74"/>
  <c r="Q65" i="74"/>
  <c r="E10" i="75"/>
  <c r="E20" i="75" s="1"/>
  <c r="M10" i="75"/>
  <c r="M20" i="75" s="1"/>
  <c r="L90" i="76"/>
  <c r="L94" i="76"/>
  <c r="J23" i="77"/>
  <c r="J15" i="77"/>
  <c r="E24" i="72"/>
  <c r="E18" i="72"/>
  <c r="J25" i="72"/>
  <c r="J30" i="72"/>
  <c r="J33" i="72" s="1"/>
  <c r="J34" i="72" s="1"/>
  <c r="J87" i="73"/>
  <c r="J20" i="73"/>
  <c r="Q12" i="73"/>
  <c r="D10" i="73"/>
  <c r="D19" i="73" s="1"/>
  <c r="L87" i="73"/>
  <c r="L20" i="73"/>
  <c r="Q48" i="73"/>
  <c r="H22" i="73" a="1"/>
  <c r="H22" i="73" s="1"/>
  <c r="Q66" i="73"/>
  <c r="Q70" i="73"/>
  <c r="N23" i="74"/>
  <c r="D25" i="74" a="1"/>
  <c r="D25" i="74" s="1"/>
  <c r="L25" i="74" a="1"/>
  <c r="L25" i="74" s="1"/>
  <c r="Q47" i="74"/>
  <c r="Q63" i="74"/>
  <c r="Q80" i="74"/>
  <c r="G22" i="76"/>
  <c r="G89" i="76"/>
  <c r="E15" i="79"/>
  <c r="H17" i="72"/>
  <c r="H87" i="73"/>
  <c r="H20" i="73"/>
  <c r="Q33" i="73"/>
  <c r="Q46" i="73"/>
  <c r="Q53" i="73"/>
  <c r="E22" i="73" a="1"/>
  <c r="E22" i="73" s="1"/>
  <c r="M22" i="73" a="1"/>
  <c r="M22" i="73" s="1"/>
  <c r="M87" i="73" s="1"/>
  <c r="Q77" i="73"/>
  <c r="Q85" i="73"/>
  <c r="O88" i="74"/>
  <c r="O23" i="74"/>
  <c r="Q13" i="74"/>
  <c r="Q61" i="74"/>
  <c r="Q78" i="74"/>
  <c r="J32" i="75"/>
  <c r="J36" i="75"/>
  <c r="K31" i="75"/>
  <c r="M22" i="76"/>
  <c r="M89" i="76"/>
  <c r="Q15" i="78"/>
  <c r="K74" i="78"/>
  <c r="N34" i="79"/>
  <c r="N30" i="79"/>
  <c r="I10" i="73"/>
  <c r="I19" i="73" s="1"/>
  <c r="Q23" i="73"/>
  <c r="Q44" i="73"/>
  <c r="D22" i="73" a="1"/>
  <c r="D22" i="73" s="1"/>
  <c r="Q12" i="75"/>
  <c r="E14" i="77"/>
  <c r="M14" i="77"/>
  <c r="Q11" i="72"/>
  <c r="Q10" i="72" s="1"/>
  <c r="Q17" i="72" s="1"/>
  <c r="K17" i="72"/>
  <c r="O20" i="73"/>
  <c r="Q63" i="73"/>
  <c r="Q11" i="74"/>
  <c r="Q10" i="74" s="1"/>
  <c r="Q22" i="74" s="1"/>
  <c r="D10" i="74"/>
  <c r="D22" i="74" s="1"/>
  <c r="L88" i="74"/>
  <c r="L23" i="74"/>
  <c r="I88" i="74"/>
  <c r="I23" i="74"/>
  <c r="H88" i="74"/>
  <c r="H23" i="74"/>
  <c r="G25" i="74" a="1"/>
  <c r="G25" i="74" s="1"/>
  <c r="Q68" i="74"/>
  <c r="Q74" i="74"/>
  <c r="F21" i="75"/>
  <c r="F31" i="75"/>
  <c r="O22" i="76"/>
  <c r="O89" i="76"/>
  <c r="D29" i="79"/>
  <c r="D15" i="79"/>
  <c r="L29" i="79"/>
  <c r="L15" i="79"/>
  <c r="J24" i="76" a="1"/>
  <c r="J24" i="76" s="1"/>
  <c r="J89" i="76" s="1"/>
  <c r="Q18" i="77"/>
  <c r="Q17" i="77" s="1"/>
  <c r="F74" i="78"/>
  <c r="F15" i="78"/>
  <c r="I17" i="78" a="1"/>
  <c r="I17" i="78" s="1"/>
  <c r="I74" i="78" s="1"/>
  <c r="Q52" i="78"/>
  <c r="G29" i="79"/>
  <c r="G15" i="79"/>
  <c r="O29" i="79"/>
  <c r="O15" i="79"/>
  <c r="Q17" i="80" a="1"/>
  <c r="Q17" i="80" s="1"/>
  <c r="Q25" i="80" s="1"/>
  <c r="J15" i="81"/>
  <c r="J25" i="81"/>
  <c r="D24" i="82" a="1"/>
  <c r="D24" i="82" s="1"/>
  <c r="I10" i="76"/>
  <c r="I21" i="76" s="1"/>
  <c r="F89" i="76"/>
  <c r="G74" i="78"/>
  <c r="Q50" i="78"/>
  <c r="G15" i="80"/>
  <c r="G25" i="80"/>
  <c r="L82" i="83"/>
  <c r="L19" i="83"/>
  <c r="I15" i="81"/>
  <c r="I25" i="81"/>
  <c r="Q25" i="81"/>
  <c r="Q15" i="81"/>
  <c r="Q32" i="83"/>
  <c r="H58" i="87"/>
  <c r="H15" i="87"/>
  <c r="I58" i="87"/>
  <c r="I15" i="87"/>
  <c r="Q24" i="75"/>
  <c r="Q23" i="75" s="1" a="1"/>
  <c r="Q23" i="75" s="1"/>
  <c r="K10" i="76"/>
  <c r="K21" i="76" s="1"/>
  <c r="H89" i="76"/>
  <c r="H24" i="76" a="1"/>
  <c r="H24" i="76" s="1"/>
  <c r="N89" i="76"/>
  <c r="Q21" i="77"/>
  <c r="Q23" i="77" s="1"/>
  <c r="N74" i="78"/>
  <c r="N15" i="78"/>
  <c r="Q18" i="78"/>
  <c r="Q17" i="78" s="1" a="1"/>
  <c r="Q17" i="78" s="1"/>
  <c r="Q74" i="78" s="1"/>
  <c r="Q39" i="78"/>
  <c r="Q59" i="78"/>
  <c r="J14" i="79"/>
  <c r="O15" i="80"/>
  <c r="O25" i="80"/>
  <c r="Q26" i="74"/>
  <c r="E10" i="76"/>
  <c r="E21" i="76" s="1"/>
  <c r="Q11" i="76"/>
  <c r="Q10" i="76" s="1"/>
  <c r="Q21" i="76" s="1"/>
  <c r="Q64" i="76"/>
  <c r="G15" i="77"/>
  <c r="G23" i="77"/>
  <c r="O15" i="77"/>
  <c r="O23" i="77"/>
  <c r="H15" i="77"/>
  <c r="H23" i="77"/>
  <c r="J74" i="78"/>
  <c r="J15" i="78"/>
  <c r="Q44" i="78"/>
  <c r="E17" i="78" a="1"/>
  <c r="E17" i="78" s="1"/>
  <c r="E74" i="78" s="1"/>
  <c r="M17" i="78" a="1"/>
  <c r="M17" i="78" s="1"/>
  <c r="M74" i="78" s="1"/>
  <c r="Q69" i="78"/>
  <c r="K15" i="79"/>
  <c r="K29" i="79"/>
  <c r="J25" i="80"/>
  <c r="J15" i="80"/>
  <c r="F22" i="82"/>
  <c r="F87" i="83"/>
  <c r="F83" i="83"/>
  <c r="E21" i="83" a="1"/>
  <c r="E21" i="83" s="1"/>
  <c r="E82" i="83" s="1"/>
  <c r="Q43" i="83"/>
  <c r="L34" i="86"/>
  <c r="L38" i="86"/>
  <c r="Q14" i="76"/>
  <c r="Q57" i="76"/>
  <c r="Q24" i="76" s="1" a="1"/>
  <c r="Q24" i="76" s="1"/>
  <c r="K23" i="77"/>
  <c r="D23" i="77"/>
  <c r="Q62" i="82"/>
  <c r="N20" i="75"/>
  <c r="F24" i="76" a="1"/>
  <c r="F24" i="76" s="1"/>
  <c r="N24" i="76" a="1"/>
  <c r="N24" i="76" s="1"/>
  <c r="Q55" i="76"/>
  <c r="I23" i="77"/>
  <c r="Q15" i="77"/>
  <c r="D74" i="78"/>
  <c r="D15" i="78"/>
  <c r="L74" i="78"/>
  <c r="L15" i="78"/>
  <c r="G17" i="78" a="1"/>
  <c r="G17" i="78" s="1"/>
  <c r="O17" i="78" a="1"/>
  <c r="O17" i="78" s="1"/>
  <c r="O74" i="78" s="1"/>
  <c r="M29" i="79"/>
  <c r="M15" i="79"/>
  <c r="Q17" i="79" a="1"/>
  <c r="Q17" i="79" s="1"/>
  <c r="N82" i="83"/>
  <c r="H82" i="83"/>
  <c r="H19" i="83"/>
  <c r="N47" i="84"/>
  <c r="N15" i="84"/>
  <c r="D17" i="78" a="1"/>
  <c r="D17" i="78" s="1"/>
  <c r="I15" i="79"/>
  <c r="E17" i="79" a="1"/>
  <c r="E17" i="79" s="1"/>
  <c r="E29" i="79" s="1"/>
  <c r="K25" i="80"/>
  <c r="K15" i="80"/>
  <c r="Q60" i="82"/>
  <c r="L21" i="83" a="1"/>
  <c r="L21" i="83" s="1"/>
  <c r="D21" i="83" a="1"/>
  <c r="D21" i="83" s="1"/>
  <c r="E47" i="84"/>
  <c r="E15" i="84"/>
  <c r="M47" i="84"/>
  <c r="M15" i="84"/>
  <c r="L25" i="85"/>
  <c r="L15" i="85"/>
  <c r="H14" i="79"/>
  <c r="Q14" i="79"/>
  <c r="I30" i="79"/>
  <c r="H24" i="82" a="1"/>
  <c r="H24" i="82" s="1"/>
  <c r="Q36" i="82"/>
  <c r="F24" i="82" a="1"/>
  <c r="F24" i="82" s="1"/>
  <c r="F93" i="82" s="1"/>
  <c r="N24" i="82" a="1"/>
  <c r="N24" i="82" s="1"/>
  <c r="N93" i="82" s="1"/>
  <c r="Q56" i="82"/>
  <c r="E19" i="83"/>
  <c r="Q11" i="83"/>
  <c r="Q10" i="83" s="1"/>
  <c r="Q18" i="83" s="1"/>
  <c r="D10" i="83"/>
  <c r="D18" i="83" s="1"/>
  <c r="E25" i="80"/>
  <c r="E15" i="80"/>
  <c r="F25" i="80"/>
  <c r="K17" i="81" a="1"/>
  <c r="K17" i="81" s="1"/>
  <c r="K25" i="81" s="1"/>
  <c r="J93" i="82"/>
  <c r="J22" i="82"/>
  <c r="O15" i="84"/>
  <c r="F18" i="89"/>
  <c r="F35" i="89"/>
  <c r="Q12" i="89"/>
  <c r="L18" i="89"/>
  <c r="L35" i="89"/>
  <c r="I35" i="79"/>
  <c r="I38" i="79" s="1"/>
  <c r="I39" i="79" s="1"/>
  <c r="H26" i="80"/>
  <c r="H30" i="80"/>
  <c r="D25" i="81"/>
  <c r="D15" i="81"/>
  <c r="L25" i="81"/>
  <c r="L15" i="81"/>
  <c r="G25" i="81"/>
  <c r="G15" i="81"/>
  <c r="O25" i="81"/>
  <c r="O15" i="81"/>
  <c r="I93" i="82"/>
  <c r="I22" i="82"/>
  <c r="I19" i="83"/>
  <c r="I15" i="84"/>
  <c r="I47" i="84"/>
  <c r="D47" i="84"/>
  <c r="D15" i="84"/>
  <c r="H34" i="85"/>
  <c r="H35" i="85" s="1"/>
  <c r="H31" i="85"/>
  <c r="H26" i="85"/>
  <c r="Q69" i="88"/>
  <c r="G15" i="78"/>
  <c r="O15" i="78"/>
  <c r="N25" i="80"/>
  <c r="E14" i="81"/>
  <c r="M14" i="81"/>
  <c r="Q18" i="81"/>
  <c r="Q17" i="81" s="1" a="1"/>
  <c r="Q17" i="81" s="1"/>
  <c r="E17" i="81" a="1"/>
  <c r="E17" i="81" s="1"/>
  <c r="M17" i="81" a="1"/>
  <c r="M17" i="81" s="1"/>
  <c r="G93" i="82"/>
  <c r="G22" i="82"/>
  <c r="O22" i="82"/>
  <c r="L24" i="82" a="1"/>
  <c r="L24" i="82" s="1"/>
  <c r="Q66" i="82"/>
  <c r="J21" i="83" a="1"/>
  <c r="J21" i="83" s="1"/>
  <c r="D10" i="76"/>
  <c r="D21" i="76" s="1"/>
  <c r="I25" i="80"/>
  <c r="I15" i="80"/>
  <c r="D25" i="80"/>
  <c r="D15" i="80"/>
  <c r="L25" i="80"/>
  <c r="L15" i="80"/>
  <c r="M25" i="80"/>
  <c r="M15" i="80"/>
  <c r="F25" i="81"/>
  <c r="F15" i="81"/>
  <c r="N25" i="81"/>
  <c r="N15" i="81"/>
  <c r="H25" i="81"/>
  <c r="H15" i="81"/>
  <c r="K10" i="82"/>
  <c r="K21" i="82" s="1"/>
  <c r="Q64" i="82"/>
  <c r="Q69" i="82"/>
  <c r="Q54" i="83"/>
  <c r="K47" i="84"/>
  <c r="D26" i="85"/>
  <c r="D30" i="85"/>
  <c r="H10" i="82"/>
  <c r="H21" i="82" s="1"/>
  <c r="Q83" i="82"/>
  <c r="Q91" i="82"/>
  <c r="N19" i="83"/>
  <c r="Q22" i="83"/>
  <c r="Q56" i="83"/>
  <c r="Q63" i="83"/>
  <c r="L14" i="84"/>
  <c r="Q18" i="84"/>
  <c r="G15" i="85"/>
  <c r="O25" i="85"/>
  <c r="O15" i="85"/>
  <c r="J15" i="85"/>
  <c r="J25" i="85"/>
  <c r="E15" i="85"/>
  <c r="E25" i="85"/>
  <c r="G17" i="85" a="1"/>
  <c r="G17" i="85" s="1"/>
  <c r="G25" i="85" s="1"/>
  <c r="M26" i="85"/>
  <c r="F33" i="86"/>
  <c r="F17" i="86"/>
  <c r="Q11" i="86"/>
  <c r="Q10" i="86" s="1"/>
  <c r="Q16" i="86" s="1"/>
  <c r="G22" i="88"/>
  <c r="G90" i="88"/>
  <c r="Q13" i="82"/>
  <c r="Q25" i="82"/>
  <c r="G10" i="83"/>
  <c r="G18" i="83" s="1"/>
  <c r="Q12" i="83"/>
  <c r="Q52" i="83"/>
  <c r="F47" i="84"/>
  <c r="F15" i="84"/>
  <c r="I25" i="85"/>
  <c r="I15" i="85"/>
  <c r="D15" i="87"/>
  <c r="L15" i="87"/>
  <c r="K58" i="87"/>
  <c r="K15" i="87"/>
  <c r="L24" i="88" a="1"/>
  <c r="L24" i="88" s="1"/>
  <c r="J90" i="90"/>
  <c r="J22" i="90"/>
  <c r="M18" i="83"/>
  <c r="G21" i="83" a="1"/>
  <c r="G21" i="83" s="1"/>
  <c r="O21" i="83" a="1"/>
  <c r="O21" i="83" s="1"/>
  <c r="O82" i="83" s="1"/>
  <c r="Q50" i="83"/>
  <c r="J82" i="83"/>
  <c r="G17" i="84" a="1"/>
  <c r="G17" i="84" s="1"/>
  <c r="G47" i="84" s="1"/>
  <c r="O17" i="84" a="1"/>
  <c r="O17" i="84" s="1"/>
  <c r="O47" i="84" s="1"/>
  <c r="J58" i="87"/>
  <c r="J15" i="87"/>
  <c r="Q11" i="82"/>
  <c r="Q10" i="82" s="1"/>
  <c r="Q21" i="82" s="1"/>
  <c r="D10" i="82"/>
  <c r="D21" i="82" s="1"/>
  <c r="L10" i="82"/>
  <c r="L21" i="82" s="1"/>
  <c r="Q16" i="82"/>
  <c r="Q15" i="84"/>
  <c r="H15" i="84"/>
  <c r="H47" i="84"/>
  <c r="Q42" i="84"/>
  <c r="K15" i="85"/>
  <c r="K25" i="85"/>
  <c r="D17" i="86"/>
  <c r="O22" i="90"/>
  <c r="E10" i="82"/>
  <c r="E21" i="82" s="1"/>
  <c r="M10" i="82"/>
  <c r="M21" i="82" s="1"/>
  <c r="Q14" i="82"/>
  <c r="O24" i="82" a="1"/>
  <c r="O24" i="82" s="1"/>
  <c r="O93" i="82" s="1"/>
  <c r="I21" i="83" a="1"/>
  <c r="I21" i="83" s="1"/>
  <c r="I82" i="83" s="1"/>
  <c r="M31" i="85"/>
  <c r="M34" i="85" s="1"/>
  <c r="M35" i="85" s="1"/>
  <c r="G17" i="86"/>
  <c r="G33" i="86"/>
  <c r="Q20" i="86"/>
  <c r="Q19" i="86" s="1" a="1"/>
  <c r="Q19" i="86" s="1"/>
  <c r="D19" i="86" a="1"/>
  <c r="D19" i="86" s="1"/>
  <c r="D33" i="86" s="1"/>
  <c r="G24" i="82" a="1"/>
  <c r="G24" i="82" s="1"/>
  <c r="K10" i="83"/>
  <c r="K18" i="83" s="1"/>
  <c r="J15" i="84"/>
  <c r="H16" i="86"/>
  <c r="K17" i="86"/>
  <c r="E19" i="86" a="1"/>
  <c r="E19" i="86" s="1"/>
  <c r="M19" i="86" a="1"/>
  <c r="M19" i="86" s="1"/>
  <c r="Q49" i="88"/>
  <c r="D24" i="88" a="1"/>
  <c r="D24" i="88" s="1"/>
  <c r="J35" i="89"/>
  <c r="J18" i="89"/>
  <c r="O35" i="89"/>
  <c r="Q11" i="90"/>
  <c r="D10" i="90"/>
  <c r="D21" i="90" s="1"/>
  <c r="L90" i="90"/>
  <c r="L22" i="90"/>
  <c r="O90" i="91"/>
  <c r="O22" i="91"/>
  <c r="J22" i="91"/>
  <c r="J90" i="91"/>
  <c r="G90" i="91"/>
  <c r="G22" i="91"/>
  <c r="Q27" i="84"/>
  <c r="Q40" i="84"/>
  <c r="N33" i="86"/>
  <c r="N17" i="86"/>
  <c r="N58" i="87"/>
  <c r="N15" i="87"/>
  <c r="Q45" i="87"/>
  <c r="N22" i="88"/>
  <c r="I10" i="88"/>
  <c r="I21" i="88" s="1"/>
  <c r="E25" i="96"/>
  <c r="J17" i="84" a="1"/>
  <c r="J17" i="84" s="1"/>
  <c r="J47" i="84" s="1"/>
  <c r="Q38" i="84"/>
  <c r="F14" i="85"/>
  <c r="N14" i="85"/>
  <c r="D15" i="85"/>
  <c r="Q15" i="85"/>
  <c r="G19" i="86" a="1"/>
  <c r="G19" i="86" s="1"/>
  <c r="O19" i="86" a="1"/>
  <c r="O19" i="86" s="1"/>
  <c r="O22" i="88"/>
  <c r="O90" i="88"/>
  <c r="Q13" i="88"/>
  <c r="E95" i="88"/>
  <c r="E91" i="88"/>
  <c r="Q10" i="89"/>
  <c r="Q17" i="89" s="1"/>
  <c r="O18" i="89"/>
  <c r="I35" i="89"/>
  <c r="Q14" i="90"/>
  <c r="E10" i="90"/>
  <c r="E21" i="90" s="1"/>
  <c r="M90" i="90"/>
  <c r="M22" i="90"/>
  <c r="Q28" i="86"/>
  <c r="F63" i="87"/>
  <c r="F59" i="87"/>
  <c r="H90" i="88"/>
  <c r="H22" i="88"/>
  <c r="G22" i="90"/>
  <c r="Q23" i="85"/>
  <c r="Q25" i="85" s="1"/>
  <c r="M33" i="86"/>
  <c r="Q26" i="86"/>
  <c r="Q18" i="87"/>
  <c r="L17" i="87" a="1"/>
  <c r="L17" i="87" s="1"/>
  <c r="L58" i="87" s="1"/>
  <c r="E33" i="86"/>
  <c r="Q24" i="86"/>
  <c r="J22" i="88"/>
  <c r="Q55" i="88"/>
  <c r="Q85" i="88"/>
  <c r="D18" i="89"/>
  <c r="D35" i="89"/>
  <c r="O16" i="86"/>
  <c r="K19" i="86" a="1"/>
  <c r="K19" i="86" s="1"/>
  <c r="K33" i="86" s="1"/>
  <c r="Q22" i="86"/>
  <c r="Q15" i="87"/>
  <c r="E17" i="87" a="1"/>
  <c r="E17" i="87" s="1"/>
  <c r="M22" i="88"/>
  <c r="M99" i="88"/>
  <c r="M100" i="88" s="1"/>
  <c r="H35" i="89"/>
  <c r="H18" i="89"/>
  <c r="G35" i="89"/>
  <c r="G18" i="89"/>
  <c r="Q25" i="91"/>
  <c r="D24" i="91" a="1"/>
  <c r="D24" i="91" s="1"/>
  <c r="D90" i="91" s="1"/>
  <c r="Q43" i="87"/>
  <c r="Q12" i="88"/>
  <c r="Q53" i="88"/>
  <c r="Q83" i="88"/>
  <c r="K74" i="93"/>
  <c r="K78" i="93"/>
  <c r="F24" i="88" a="1"/>
  <c r="F24" i="88" s="1"/>
  <c r="F90" i="88" s="1"/>
  <c r="N24" i="88" a="1"/>
  <c r="N24" i="88" s="1"/>
  <c r="N90" i="88" s="1"/>
  <c r="Q47" i="88"/>
  <c r="Q24" i="88" s="1" a="1"/>
  <c r="Q24" i="88" s="1"/>
  <c r="Q63" i="88"/>
  <c r="Q74" i="88"/>
  <c r="E18" i="89"/>
  <c r="Q12" i="90"/>
  <c r="Q73" i="90"/>
  <c r="F73" i="93"/>
  <c r="F16" i="93"/>
  <c r="Q11" i="88"/>
  <c r="D10" i="88"/>
  <c r="D21" i="88" s="1"/>
  <c r="L10" i="88"/>
  <c r="L21" i="88" s="1"/>
  <c r="Q61" i="88"/>
  <c r="E20" i="89" a="1"/>
  <c r="E20" i="89" s="1"/>
  <c r="E35" i="89" s="1"/>
  <c r="Q21" i="89"/>
  <c r="Q20" i="89" s="1" a="1"/>
  <c r="Q20" i="89" s="1"/>
  <c r="M20" i="89" a="1"/>
  <c r="M20" i="89" s="1"/>
  <c r="M35" i="89" s="1"/>
  <c r="N90" i="90"/>
  <c r="N22" i="90"/>
  <c r="I10" i="90"/>
  <c r="I21" i="90" s="1"/>
  <c r="F90" i="90"/>
  <c r="F22" i="90"/>
  <c r="E90" i="91"/>
  <c r="E22" i="91"/>
  <c r="M90" i="91"/>
  <c r="M22" i="91"/>
  <c r="F21" i="92"/>
  <c r="F15" i="92"/>
  <c r="N21" i="92"/>
  <c r="N15" i="92"/>
  <c r="D15" i="92"/>
  <c r="D21" i="92"/>
  <c r="O58" i="87"/>
  <c r="G17" i="87" a="1"/>
  <c r="G17" i="87" s="1"/>
  <c r="G58" i="87" s="1"/>
  <c r="O17" i="87" a="1"/>
  <c r="O17" i="87" s="1"/>
  <c r="J24" i="88" a="1"/>
  <c r="J24" i="88" s="1"/>
  <c r="J90" i="88" s="1"/>
  <c r="Q59" i="88"/>
  <c r="K17" i="89"/>
  <c r="Q13" i="90"/>
  <c r="M16" i="93"/>
  <c r="H73" i="93"/>
  <c r="H16" i="93"/>
  <c r="E14" i="87"/>
  <c r="M14" i="87"/>
  <c r="F22" i="88"/>
  <c r="K22" i="88"/>
  <c r="K90" i="88"/>
  <c r="Q14" i="88"/>
  <c r="I24" i="88" a="1"/>
  <c r="I24" i="88" s="1"/>
  <c r="N17" i="89"/>
  <c r="K10" i="90"/>
  <c r="K21" i="90" s="1"/>
  <c r="H10" i="90"/>
  <c r="H21" i="90" s="1"/>
  <c r="Q63" i="90"/>
  <c r="I22" i="91"/>
  <c r="I90" i="91"/>
  <c r="D17" i="87" a="1"/>
  <c r="D17" i="87" s="1"/>
  <c r="D58" i="87" s="1"/>
  <c r="Q85" i="90"/>
  <c r="H22" i="91"/>
  <c r="F22" i="91"/>
  <c r="Q14" i="91"/>
  <c r="E21" i="92"/>
  <c r="E15" i="92"/>
  <c r="M21" i="92"/>
  <c r="M15" i="92"/>
  <c r="I16" i="93"/>
  <c r="G73" i="93"/>
  <c r="G16" i="93"/>
  <c r="Q25" i="90"/>
  <c r="Q53" i="90"/>
  <c r="L21" i="91"/>
  <c r="Q12" i="91"/>
  <c r="H24" i="91" a="1"/>
  <c r="H24" i="91" s="1"/>
  <c r="H90" i="91" s="1"/>
  <c r="Q47" i="91"/>
  <c r="Q68" i="91"/>
  <c r="F24" i="91" a="1"/>
  <c r="F24" i="91" s="1"/>
  <c r="F90" i="91" s="1"/>
  <c r="G26" i="92"/>
  <c r="N73" i="93"/>
  <c r="N16" i="93"/>
  <c r="O73" i="93"/>
  <c r="O16" i="93"/>
  <c r="I18" i="93" a="1"/>
  <c r="I18" i="93" s="1"/>
  <c r="I73" i="93" s="1"/>
  <c r="N90" i="91"/>
  <c r="N22" i="91"/>
  <c r="H15" i="92"/>
  <c r="H21" i="92"/>
  <c r="Q15" i="92"/>
  <c r="Q21" i="92"/>
  <c r="K15" i="92"/>
  <c r="K21" i="92"/>
  <c r="L15" i="92"/>
  <c r="L21" i="92"/>
  <c r="O27" i="92"/>
  <c r="O30" i="92"/>
  <c r="O31" i="92" s="1"/>
  <c r="J73" i="93"/>
  <c r="J16" i="93"/>
  <c r="L24" i="91" a="1"/>
  <c r="L24" i="91" s="1"/>
  <c r="I14" i="92"/>
  <c r="Q19" i="92"/>
  <c r="Q19" i="93"/>
  <c r="Q45" i="93"/>
  <c r="Q60" i="93"/>
  <c r="G15" i="87"/>
  <c r="O15" i="87"/>
  <c r="G24" i="90" a="1"/>
  <c r="G24" i="90" s="1"/>
  <c r="G90" i="90" s="1"/>
  <c r="O24" i="90" a="1"/>
  <c r="O24" i="90" s="1"/>
  <c r="O90" i="90" s="1"/>
  <c r="Q47" i="90"/>
  <c r="Q61" i="90"/>
  <c r="K10" i="91"/>
  <c r="K21" i="91" s="1"/>
  <c r="Q13" i="91"/>
  <c r="Q36" i="91"/>
  <c r="Q11" i="93"/>
  <c r="Q10" i="93" s="1"/>
  <c r="Q15" i="93" s="1"/>
  <c r="L73" i="93"/>
  <c r="L16" i="93"/>
  <c r="E18" i="93" a="1"/>
  <c r="E18" i="93" s="1"/>
  <c r="M18" i="93" a="1"/>
  <c r="M18" i="93" s="1"/>
  <c r="M73" i="93" s="1"/>
  <c r="Q30" i="93"/>
  <c r="Q43" i="93"/>
  <c r="Q59" i="90"/>
  <c r="Q16" i="91"/>
  <c r="J21" i="92"/>
  <c r="E15" i="93"/>
  <c r="Q41" i="93"/>
  <c r="G17" i="95"/>
  <c r="D10" i="93"/>
  <c r="D15" i="93" s="1"/>
  <c r="Q11" i="91"/>
  <c r="D17" i="96" l="1"/>
  <c r="E25" i="24"/>
  <c r="E26" i="24" s="1"/>
  <c r="E25" i="13"/>
  <c r="E25" i="94"/>
  <c r="E30" i="94" s="1"/>
  <c r="D25" i="5"/>
  <c r="D26" i="5" s="1"/>
  <c r="D17" i="95"/>
  <c r="D25" i="53"/>
  <c r="G25" i="50"/>
  <c r="G25" i="8"/>
  <c r="G30" i="8" s="1"/>
  <c r="G25" i="11"/>
  <c r="E25" i="95"/>
  <c r="E25" i="26"/>
  <c r="E30" i="26" s="1"/>
  <c r="G17" i="94"/>
  <c r="D25" i="49"/>
  <c r="D26" i="49" s="1"/>
  <c r="G17" i="17"/>
  <c r="E17" i="38"/>
  <c r="D17" i="14"/>
  <c r="D17" i="4"/>
  <c r="E25" i="11"/>
  <c r="E30" i="14"/>
  <c r="G25" i="13"/>
  <c r="G30" i="13" s="1"/>
  <c r="G25" i="96"/>
  <c r="G30" i="96" s="1"/>
  <c r="G25" i="44"/>
  <c r="G17" i="23"/>
  <c r="E25" i="44"/>
  <c r="E30" i="44" s="1"/>
  <c r="E17" i="30"/>
  <c r="D17" i="94"/>
  <c r="G25" i="49"/>
  <c r="G26" i="49" s="1"/>
  <c r="G26" i="95"/>
  <c r="G30" i="95"/>
  <c r="G31" i="95" s="1"/>
  <c r="G36" i="95" s="1"/>
  <c r="G37" i="95" s="1"/>
  <c r="G30" i="17"/>
  <c r="G31" i="17" s="1"/>
  <c r="G36" i="17" s="1"/>
  <c r="G37" i="17" s="1"/>
  <c r="G26" i="17"/>
  <c r="D30" i="96"/>
  <c r="D26" i="96"/>
  <c r="D25" i="41"/>
  <c r="E25" i="37"/>
  <c r="E30" i="37" s="1"/>
  <c r="E17" i="8"/>
  <c r="E17" i="52"/>
  <c r="G25" i="7"/>
  <c r="G25" i="37"/>
  <c r="G26" i="37" s="1"/>
  <c r="G25" i="19"/>
  <c r="G30" i="19" s="1"/>
  <c r="G31" i="19" s="1"/>
  <c r="G36" i="19" s="1"/>
  <c r="G37" i="19" s="1"/>
  <c r="G25" i="24"/>
  <c r="G26" i="24" s="1"/>
  <c r="D25" i="37"/>
  <c r="D30" i="37" s="1"/>
  <c r="D25" i="13"/>
  <c r="G17" i="47"/>
  <c r="E17" i="16"/>
  <c r="D30" i="5"/>
  <c r="D31" i="5" s="1"/>
  <c r="D36" i="5" s="1"/>
  <c r="D37" i="5" s="1"/>
  <c r="D25" i="20"/>
  <c r="D26" i="20" s="1"/>
  <c r="E25" i="47"/>
  <c r="E26" i="47" s="1"/>
  <c r="D30" i="14"/>
  <c r="D17" i="22"/>
  <c r="E25" i="27"/>
  <c r="E30" i="27" s="1"/>
  <c r="G25" i="10"/>
  <c r="G26" i="10" s="1"/>
  <c r="D17" i="16"/>
  <c r="E17" i="43"/>
  <c r="D25" i="35"/>
  <c r="D30" i="35" s="1"/>
  <c r="G17" i="41"/>
  <c r="E17" i="22"/>
  <c r="G17" i="53"/>
  <c r="G25" i="43"/>
  <c r="G30" i="43" s="1"/>
  <c r="D25" i="38"/>
  <c r="D30" i="38" s="1"/>
  <c r="E30" i="24"/>
  <c r="E31" i="24" s="1"/>
  <c r="E36" i="24" s="1"/>
  <c r="E37" i="24" s="1"/>
  <c r="D25" i="10"/>
  <c r="G17" i="5"/>
  <c r="G17" i="35"/>
  <c r="E25" i="50"/>
  <c r="E26" i="50" s="1"/>
  <c r="G25" i="26"/>
  <c r="G30" i="26" s="1"/>
  <c r="G25" i="29"/>
  <c r="D25" i="24"/>
  <c r="D26" i="24" s="1"/>
  <c r="D17" i="40"/>
  <c r="G25" i="32"/>
  <c r="G26" i="32" s="1"/>
  <c r="G26" i="4"/>
  <c r="D17" i="46"/>
  <c r="E17" i="14"/>
  <c r="D25" i="29"/>
  <c r="D30" i="29" s="1"/>
  <c r="G25" i="38"/>
  <c r="G30" i="38" s="1"/>
  <c r="D17" i="52"/>
  <c r="E25" i="41"/>
  <c r="E30" i="41" s="1"/>
  <c r="D17" i="43"/>
  <c r="D25" i="27"/>
  <c r="D26" i="27" s="1"/>
  <c r="D25" i="23"/>
  <c r="D30" i="23" s="1"/>
  <c r="E25" i="53"/>
  <c r="E26" i="53" s="1"/>
  <c r="D17" i="26"/>
  <c r="D25" i="44"/>
  <c r="D30" i="44" s="1"/>
  <c r="G17" i="33"/>
  <c r="D25" i="32"/>
  <c r="D30" i="32" s="1"/>
  <c r="E25" i="7"/>
  <c r="D30" i="40"/>
  <c r="D26" i="40"/>
  <c r="G30" i="33"/>
  <c r="G26" i="33"/>
  <c r="G25" i="30"/>
  <c r="G30" i="30" s="1"/>
  <c r="G25" i="52"/>
  <c r="G25" i="16"/>
  <c r="G25" i="27"/>
  <c r="E25" i="35"/>
  <c r="E26" i="35" s="1"/>
  <c r="D30" i="47"/>
  <c r="D31" i="47" s="1"/>
  <c r="D17" i="47"/>
  <c r="E17" i="5"/>
  <c r="E25" i="19"/>
  <c r="E17" i="33"/>
  <c r="E25" i="33"/>
  <c r="G30" i="53"/>
  <c r="G31" i="53" s="1"/>
  <c r="G36" i="53" s="1"/>
  <c r="G37" i="53" s="1"/>
  <c r="E25" i="17"/>
  <c r="E30" i="17" s="1"/>
  <c r="G26" i="23"/>
  <c r="G30" i="23"/>
  <c r="D17" i="17"/>
  <c r="E25" i="23"/>
  <c r="E30" i="23" s="1"/>
  <c r="E25" i="40"/>
  <c r="E17" i="40"/>
  <c r="D30" i="20"/>
  <c r="D25" i="19"/>
  <c r="D30" i="19" s="1"/>
  <c r="E17" i="20"/>
  <c r="E25" i="20"/>
  <c r="G17" i="22"/>
  <c r="G25" i="22"/>
  <c r="F94" i="82"/>
  <c r="F98" i="82"/>
  <c r="E87" i="83"/>
  <c r="E83" i="83"/>
  <c r="M78" i="93"/>
  <c r="M74" i="93"/>
  <c r="H91" i="91"/>
  <c r="H95" i="91"/>
  <c r="G59" i="87"/>
  <c r="G63" i="87"/>
  <c r="N95" i="88"/>
  <c r="N91" i="88"/>
  <c r="D95" i="91"/>
  <c r="D91" i="91"/>
  <c r="Q30" i="85"/>
  <c r="Q26" i="85"/>
  <c r="E30" i="79"/>
  <c r="E34" i="79"/>
  <c r="M79" i="78"/>
  <c r="M75" i="78"/>
  <c r="E80" i="68"/>
  <c r="E76" i="68"/>
  <c r="M77" i="70"/>
  <c r="M81" i="70"/>
  <c r="O76" i="68"/>
  <c r="O80" i="68"/>
  <c r="K53" i="61"/>
  <c r="K57" i="61"/>
  <c r="Q32" i="66"/>
  <c r="Q28" i="66"/>
  <c r="G73" i="56"/>
  <c r="G77" i="56"/>
  <c r="F82" i="51"/>
  <c r="F78" i="51"/>
  <c r="M124" i="28"/>
  <c r="M120" i="28"/>
  <c r="G145" i="15"/>
  <c r="G149" i="15"/>
  <c r="F93" i="25"/>
  <c r="F89" i="25"/>
  <c r="N99" i="9"/>
  <c r="N96" i="9"/>
  <c r="I96" i="9"/>
  <c r="I99" i="9"/>
  <c r="M168" i="3"/>
  <c r="M172" i="3"/>
  <c r="D63" i="87"/>
  <c r="D59" i="87"/>
  <c r="O87" i="83"/>
  <c r="O83" i="83"/>
  <c r="M88" i="73"/>
  <c r="M92" i="73"/>
  <c r="M79" i="58"/>
  <c r="M75" i="58"/>
  <c r="L66" i="59"/>
  <c r="L62" i="59"/>
  <c r="N109" i="39"/>
  <c r="N113" i="39"/>
  <c r="F111" i="42"/>
  <c r="F107" i="42"/>
  <c r="I74" i="93"/>
  <c r="I78" i="93"/>
  <c r="G48" i="84"/>
  <c r="G52" i="84"/>
  <c r="Q28" i="77"/>
  <c r="Q24" i="77"/>
  <c r="M40" i="89"/>
  <c r="M36" i="89"/>
  <c r="F95" i="88"/>
  <c r="F91" i="88"/>
  <c r="E79" i="78"/>
  <c r="E75" i="78"/>
  <c r="K76" i="68"/>
  <c r="K80" i="68"/>
  <c r="E77" i="70"/>
  <c r="E81" i="70"/>
  <c r="L78" i="69"/>
  <c r="L82" i="69"/>
  <c r="I90" i="63"/>
  <c r="I86" i="63"/>
  <c r="M99" i="62"/>
  <c r="M103" i="62"/>
  <c r="Q73" i="56"/>
  <c r="Q77" i="56"/>
  <c r="O100" i="45"/>
  <c r="O104" i="45"/>
  <c r="N151" i="18"/>
  <c r="N155" i="18"/>
  <c r="Q24" i="21"/>
  <c r="F99" i="9"/>
  <c r="F96" i="9"/>
  <c r="O88" i="73"/>
  <c r="O92" i="73"/>
  <c r="D78" i="69"/>
  <c r="D82" i="69"/>
  <c r="O115" i="36"/>
  <c r="O119" i="36"/>
  <c r="G96" i="21"/>
  <c r="G100" i="21"/>
  <c r="L151" i="18"/>
  <c r="L155" i="18"/>
  <c r="D99" i="9"/>
  <c r="D96" i="9"/>
  <c r="G95" i="90"/>
  <c r="G91" i="90"/>
  <c r="E40" i="89"/>
  <c r="E36" i="89"/>
  <c r="K34" i="86"/>
  <c r="K38" i="86"/>
  <c r="I87" i="83"/>
  <c r="I83" i="83"/>
  <c r="G26" i="85"/>
  <c r="G30" i="85"/>
  <c r="O75" i="78"/>
  <c r="O79" i="78"/>
  <c r="J90" i="76"/>
  <c r="J94" i="76"/>
  <c r="G88" i="73"/>
  <c r="G92" i="73"/>
  <c r="J63" i="64"/>
  <c r="J59" i="64"/>
  <c r="D90" i="63"/>
  <c r="D86" i="63"/>
  <c r="N86" i="63"/>
  <c r="N90" i="63"/>
  <c r="N66" i="59"/>
  <c r="N62" i="59"/>
  <c r="D72" i="57"/>
  <c r="D68" i="57"/>
  <c r="K100" i="45"/>
  <c r="K104" i="45"/>
  <c r="F113" i="39"/>
  <c r="F109" i="39"/>
  <c r="I34" i="55"/>
  <c r="I30" i="55"/>
  <c r="F124" i="34"/>
  <c r="F128" i="34"/>
  <c r="E99" i="9"/>
  <c r="E96" i="9"/>
  <c r="O59" i="64"/>
  <c r="O63" i="64"/>
  <c r="O53" i="61"/>
  <c r="O57" i="61"/>
  <c r="F62" i="59"/>
  <c r="F66" i="59"/>
  <c r="O111" i="42"/>
  <c r="O107" i="42"/>
  <c r="I78" i="48"/>
  <c r="I74" i="48"/>
  <c r="Q25" i="6"/>
  <c r="Q22" i="6"/>
  <c r="K89" i="25"/>
  <c r="K93" i="25"/>
  <c r="O124" i="28"/>
  <c r="O120" i="28"/>
  <c r="O168" i="3"/>
  <c r="O172" i="3"/>
  <c r="O99" i="62"/>
  <c r="O103" i="62"/>
  <c r="D99" i="62"/>
  <c r="D103" i="62"/>
  <c r="J113" i="39"/>
  <c r="J109" i="39"/>
  <c r="I151" i="18"/>
  <c r="I155" i="18"/>
  <c r="O94" i="82"/>
  <c r="O98" i="82"/>
  <c r="Q75" i="78"/>
  <c r="Q79" i="78"/>
  <c r="Q28" i="71"/>
  <c r="Q24" i="71"/>
  <c r="F91" i="91"/>
  <c r="F95" i="91"/>
  <c r="K77" i="70"/>
  <c r="K81" i="70"/>
  <c r="I76" i="68"/>
  <c r="I80" i="68"/>
  <c r="G59" i="64"/>
  <c r="G63" i="64"/>
  <c r="G53" i="61"/>
  <c r="G57" i="61"/>
  <c r="E62" i="59"/>
  <c r="E66" i="59"/>
  <c r="K68" i="57"/>
  <c r="K72" i="57"/>
  <c r="N119" i="36"/>
  <c r="N115" i="36"/>
  <c r="K66" i="59"/>
  <c r="K62" i="59"/>
  <c r="I128" i="34"/>
  <c r="I124" i="34"/>
  <c r="H128" i="34"/>
  <c r="H124" i="34"/>
  <c r="O93" i="25"/>
  <c r="O89" i="25"/>
  <c r="D100" i="21"/>
  <c r="D96" i="21"/>
  <c r="D172" i="3"/>
  <c r="D168" i="3"/>
  <c r="G124" i="28"/>
  <c r="G120" i="28"/>
  <c r="O95" i="90"/>
  <c r="O91" i="90"/>
  <c r="J52" i="84"/>
  <c r="J48" i="84"/>
  <c r="K89" i="74"/>
  <c r="K93" i="74"/>
  <c r="G76" i="68"/>
  <c r="G80" i="68"/>
  <c r="F53" i="61"/>
  <c r="F57" i="61"/>
  <c r="G100" i="45"/>
  <c r="G104" i="45"/>
  <c r="I107" i="42"/>
  <c r="I111" i="42"/>
  <c r="M96" i="9"/>
  <c r="M99" i="9"/>
  <c r="L63" i="87"/>
  <c r="L59" i="87"/>
  <c r="J95" i="88"/>
  <c r="J91" i="88"/>
  <c r="D38" i="86"/>
  <c r="D34" i="86"/>
  <c r="O48" i="84"/>
  <c r="O52" i="84"/>
  <c r="N94" i="82"/>
  <c r="N98" i="82"/>
  <c r="D77" i="70"/>
  <c r="D81" i="70"/>
  <c r="G81" i="70"/>
  <c r="G77" i="70"/>
  <c r="F109" i="67"/>
  <c r="F113" i="67"/>
  <c r="M82" i="51"/>
  <c r="M78" i="51"/>
  <c r="D111" i="42"/>
  <c r="D107" i="42"/>
  <c r="Q75" i="58"/>
  <c r="Q79" i="58"/>
  <c r="N79" i="58"/>
  <c r="N75" i="58"/>
  <c r="E113" i="39"/>
  <c r="E109" i="39"/>
  <c r="L115" i="36"/>
  <c r="L119" i="36"/>
  <c r="J119" i="36"/>
  <c r="J115" i="36"/>
  <c r="L99" i="9"/>
  <c r="L96" i="9"/>
  <c r="I62" i="59"/>
  <c r="I66" i="59"/>
  <c r="J57" i="60"/>
  <c r="J61" i="60"/>
  <c r="J107" i="42"/>
  <c r="J111" i="42"/>
  <c r="H89" i="25"/>
  <c r="H93" i="25"/>
  <c r="Q49" i="15"/>
  <c r="E107" i="42"/>
  <c r="E111" i="42"/>
  <c r="O145" i="15"/>
  <c r="O149" i="15"/>
  <c r="K96" i="21"/>
  <c r="K100" i="21"/>
  <c r="D30" i="94"/>
  <c r="D26" i="94"/>
  <c r="I91" i="91"/>
  <c r="I95" i="91"/>
  <c r="H91" i="88"/>
  <c r="H95" i="88"/>
  <c r="Q22" i="82"/>
  <c r="N30" i="81"/>
  <c r="N26" i="81"/>
  <c r="H34" i="80"/>
  <c r="H35" i="80" s="1"/>
  <c r="H31" i="80"/>
  <c r="D79" i="78"/>
  <c r="D75" i="78"/>
  <c r="K30" i="79"/>
  <c r="K34" i="79"/>
  <c r="F90" i="76"/>
  <c r="F94" i="76"/>
  <c r="M15" i="77"/>
  <c r="M23" i="77"/>
  <c r="N30" i="65"/>
  <c r="N88" i="65"/>
  <c r="O113" i="67"/>
  <c r="O109" i="67"/>
  <c r="I77" i="70"/>
  <c r="I81" i="70"/>
  <c r="G89" i="65"/>
  <c r="G93" i="65"/>
  <c r="E87" i="73"/>
  <c r="E20" i="73"/>
  <c r="M73" i="56"/>
  <c r="M77" i="56"/>
  <c r="E172" i="3"/>
  <c r="E168" i="3"/>
  <c r="K158" i="12"/>
  <c r="K154" i="12"/>
  <c r="E26" i="94"/>
  <c r="Q16" i="93"/>
  <c r="N91" i="91"/>
  <c r="N95" i="91"/>
  <c r="G27" i="92"/>
  <c r="G30" i="92"/>
  <c r="G31" i="92" s="1"/>
  <c r="Q24" i="90" a="1"/>
  <c r="Q24" i="90" s="1"/>
  <c r="M26" i="92"/>
  <c r="M22" i="92"/>
  <c r="F22" i="92"/>
  <c r="F26" i="92"/>
  <c r="I90" i="90"/>
  <c r="I22" i="90"/>
  <c r="D22" i="88"/>
  <c r="D90" i="88"/>
  <c r="G36" i="89"/>
  <c r="G40" i="89"/>
  <c r="E90" i="90"/>
  <c r="E22" i="90"/>
  <c r="O95" i="88"/>
  <c r="O91" i="88"/>
  <c r="D90" i="90"/>
  <c r="D22" i="90"/>
  <c r="K26" i="85"/>
  <c r="K30" i="85"/>
  <c r="L93" i="82"/>
  <c r="L22" i="82"/>
  <c r="J87" i="83"/>
  <c r="J83" i="83"/>
  <c r="L47" i="84"/>
  <c r="L15" i="84"/>
  <c r="D34" i="85"/>
  <c r="D35" i="85" s="1"/>
  <c r="D31" i="85"/>
  <c r="H26" i="81"/>
  <c r="H30" i="81"/>
  <c r="L26" i="80"/>
  <c r="L30" i="80"/>
  <c r="F26" i="80"/>
  <c r="F30" i="80"/>
  <c r="L26" i="85"/>
  <c r="L30" i="85"/>
  <c r="H83" i="83"/>
  <c r="H87" i="83"/>
  <c r="L79" i="78"/>
  <c r="L75" i="78"/>
  <c r="H94" i="76"/>
  <c r="H90" i="76"/>
  <c r="F32" i="75"/>
  <c r="F36" i="75"/>
  <c r="I93" i="74"/>
  <c r="I89" i="74"/>
  <c r="K18" i="72"/>
  <c r="K24" i="72"/>
  <c r="I20" i="73"/>
  <c r="I87" i="73"/>
  <c r="O93" i="74"/>
  <c r="O89" i="74"/>
  <c r="J92" i="73"/>
  <c r="J88" i="73"/>
  <c r="M89" i="74"/>
  <c r="M93" i="74"/>
  <c r="N25" i="72"/>
  <c r="N29" i="72"/>
  <c r="D25" i="72"/>
  <c r="D29" i="72"/>
  <c r="Q75" i="68"/>
  <c r="Q22" i="68"/>
  <c r="D31" i="75"/>
  <c r="D21" i="75"/>
  <c r="O78" i="69"/>
  <c r="O82" i="69"/>
  <c r="H89" i="65"/>
  <c r="H93" i="65"/>
  <c r="F94" i="74"/>
  <c r="F97" i="74"/>
  <c r="F98" i="74" s="1"/>
  <c r="K30" i="65"/>
  <c r="K88" i="65"/>
  <c r="L77" i="70"/>
  <c r="L81" i="70"/>
  <c r="M88" i="65"/>
  <c r="M30" i="65"/>
  <c r="D89" i="65"/>
  <c r="D93" i="65"/>
  <c r="M80" i="68"/>
  <c r="M76" i="68"/>
  <c r="I52" i="61"/>
  <c r="I15" i="61"/>
  <c r="N57" i="61"/>
  <c r="N53" i="61"/>
  <c r="E78" i="69"/>
  <c r="E82" i="69"/>
  <c r="G78" i="69"/>
  <c r="G82" i="69"/>
  <c r="O57" i="60"/>
  <c r="O61" i="60"/>
  <c r="N103" i="62"/>
  <c r="N99" i="62"/>
  <c r="L75" i="58"/>
  <c r="L79" i="58"/>
  <c r="K109" i="67"/>
  <c r="K113" i="67"/>
  <c r="H86" i="63"/>
  <c r="H90" i="63"/>
  <c r="O75" i="58"/>
  <c r="O79" i="58"/>
  <c r="H78" i="48"/>
  <c r="H74" i="48"/>
  <c r="Q10" i="39"/>
  <c r="Q23" i="39" s="1"/>
  <c r="K99" i="62"/>
  <c r="K103" i="62"/>
  <c r="H15" i="54"/>
  <c r="H21" i="54"/>
  <c r="M34" i="55"/>
  <c r="M30" i="55"/>
  <c r="G106" i="42"/>
  <c r="G23" i="42"/>
  <c r="H114" i="36"/>
  <c r="H26" i="36"/>
  <c r="E74" i="48"/>
  <c r="E78" i="48"/>
  <c r="D25" i="50"/>
  <c r="D17" i="50"/>
  <c r="H78" i="51"/>
  <c r="H82" i="51"/>
  <c r="K106" i="42"/>
  <c r="K23" i="42"/>
  <c r="H59" i="64"/>
  <c r="H63" i="64"/>
  <c r="I22" i="54"/>
  <c r="I26" i="54"/>
  <c r="Q24" i="45"/>
  <c r="H75" i="58"/>
  <c r="H79" i="58"/>
  <c r="E26" i="38"/>
  <c r="E30" i="38"/>
  <c r="D114" i="36"/>
  <c r="D26" i="36"/>
  <c r="J58" i="61"/>
  <c r="J61" i="61" s="1"/>
  <c r="J62" i="61" s="1"/>
  <c r="L74" i="48"/>
  <c r="L78" i="48"/>
  <c r="E128" i="34"/>
  <c r="E124" i="34"/>
  <c r="J120" i="28"/>
  <c r="J124" i="28"/>
  <c r="G25" i="14"/>
  <c r="G17" i="14"/>
  <c r="D26" i="43"/>
  <c r="D30" i="43"/>
  <c r="D30" i="25"/>
  <c r="D88" i="25"/>
  <c r="G25" i="20"/>
  <c r="G17" i="20"/>
  <c r="H150" i="18"/>
  <c r="H55" i="18"/>
  <c r="K31" i="6"/>
  <c r="K32" i="6" s="1"/>
  <c r="K26" i="6"/>
  <c r="Q32" i="25" a="1"/>
  <c r="Q32" i="25" s="1"/>
  <c r="Q10" i="12"/>
  <c r="Q54" i="12" s="1"/>
  <c r="D30" i="17"/>
  <c r="D26" i="17"/>
  <c r="D30" i="26"/>
  <c r="D26" i="26"/>
  <c r="H25" i="6"/>
  <c r="H22" i="6"/>
  <c r="G26" i="5"/>
  <c r="G30" i="5"/>
  <c r="G26" i="35"/>
  <c r="G30" i="35"/>
  <c r="O151" i="18"/>
  <c r="O155" i="18"/>
  <c r="E153" i="12"/>
  <c r="E55" i="12"/>
  <c r="E124" i="28"/>
  <c r="E120" i="28"/>
  <c r="E26" i="13"/>
  <c r="E30" i="13"/>
  <c r="Q10" i="18"/>
  <c r="Q54" i="18" s="1"/>
  <c r="D30" i="11"/>
  <c r="D26" i="11"/>
  <c r="D22" i="6"/>
  <c r="D25" i="6"/>
  <c r="M93" i="25"/>
  <c r="M89" i="25"/>
  <c r="H145" i="15"/>
  <c r="H149" i="15"/>
  <c r="L149" i="15"/>
  <c r="L145" i="15"/>
  <c r="Q33" i="86"/>
  <c r="Q17" i="86"/>
  <c r="I30" i="81"/>
  <c r="I26" i="81"/>
  <c r="J37" i="75"/>
  <c r="J40" i="75" s="1"/>
  <c r="J41" i="75" s="1"/>
  <c r="H78" i="69"/>
  <c r="H82" i="69"/>
  <c r="L28" i="71"/>
  <c r="L24" i="71"/>
  <c r="Q31" i="63" a="1"/>
  <c r="Q31" i="63" s="1"/>
  <c r="L90" i="63"/>
  <c r="L86" i="63"/>
  <c r="L82" i="51"/>
  <c r="L78" i="51"/>
  <c r="F30" i="55"/>
  <c r="F34" i="55"/>
  <c r="O74" i="48"/>
  <c r="O78" i="48"/>
  <c r="F82" i="48"/>
  <c r="F83" i="48" s="1"/>
  <c r="F79" i="48"/>
  <c r="H109" i="39"/>
  <c r="H113" i="39"/>
  <c r="G26" i="41"/>
  <c r="G30" i="41"/>
  <c r="E22" i="31"/>
  <c r="E75" i="31"/>
  <c r="G32" i="54"/>
  <c r="G33" i="54" s="1"/>
  <c r="G27" i="54"/>
  <c r="O158" i="12"/>
  <c r="O154" i="12"/>
  <c r="G26" i="94"/>
  <c r="G30" i="94"/>
  <c r="K26" i="92"/>
  <c r="K22" i="92"/>
  <c r="H74" i="93"/>
  <c r="H78" i="93"/>
  <c r="Q10" i="88"/>
  <c r="Q21" i="88" s="1"/>
  <c r="E38" i="86"/>
  <c r="E34" i="86"/>
  <c r="G91" i="91"/>
  <c r="G95" i="91"/>
  <c r="Q10" i="90"/>
  <c r="Q21" i="90" s="1"/>
  <c r="D93" i="82"/>
  <c r="D22" i="82"/>
  <c r="K59" i="87"/>
  <c r="K63" i="87"/>
  <c r="F48" i="84"/>
  <c r="F52" i="84"/>
  <c r="J26" i="85"/>
  <c r="J30" i="85"/>
  <c r="M25" i="81"/>
  <c r="M15" i="81"/>
  <c r="I98" i="82"/>
  <c r="I94" i="82"/>
  <c r="D30" i="81"/>
  <c r="D26" i="81"/>
  <c r="F36" i="89"/>
  <c r="F40" i="89"/>
  <c r="K30" i="80"/>
  <c r="K26" i="80"/>
  <c r="N87" i="83"/>
  <c r="N83" i="83"/>
  <c r="N21" i="75"/>
  <c r="N31" i="75"/>
  <c r="J30" i="80"/>
  <c r="J26" i="80"/>
  <c r="K89" i="76"/>
  <c r="K22" i="76"/>
  <c r="Q26" i="81"/>
  <c r="Q30" i="81"/>
  <c r="G75" i="78"/>
  <c r="G79" i="78"/>
  <c r="O34" i="79"/>
  <c r="O30" i="79"/>
  <c r="Q18" i="72"/>
  <c r="Q24" i="72"/>
  <c r="K32" i="75"/>
  <c r="K36" i="75"/>
  <c r="H88" i="73"/>
  <c r="H92" i="73"/>
  <c r="M31" i="75"/>
  <c r="M21" i="75"/>
  <c r="N24" i="71"/>
  <c r="N28" i="71"/>
  <c r="G28" i="71"/>
  <c r="G24" i="71"/>
  <c r="I88" i="65"/>
  <c r="I30" i="65"/>
  <c r="Q32" i="69" a="1"/>
  <c r="Q32" i="69" s="1"/>
  <c r="H108" i="67"/>
  <c r="H39" i="67"/>
  <c r="Q10" i="75"/>
  <c r="Q20" i="75" s="1"/>
  <c r="H76" i="70"/>
  <c r="H19" i="70"/>
  <c r="Q41" i="67" a="1"/>
  <c r="Q41" i="67" s="1"/>
  <c r="Q19" i="70"/>
  <c r="M28" i="66"/>
  <c r="M32" i="66"/>
  <c r="Q10" i="65"/>
  <c r="Q29" i="65" s="1"/>
  <c r="Q10" i="73"/>
  <c r="Q19" i="73" s="1"/>
  <c r="N81" i="70"/>
  <c r="N77" i="70"/>
  <c r="O86" i="63"/>
  <c r="O90" i="63"/>
  <c r="I114" i="67"/>
  <c r="I117" i="67" s="1"/>
  <c r="I118" i="67" s="1"/>
  <c r="E57" i="60"/>
  <c r="E61" i="60"/>
  <c r="L15" i="60"/>
  <c r="L56" i="60"/>
  <c r="O73" i="56"/>
  <c r="O77" i="56"/>
  <c r="Q17" i="61" a="1"/>
  <c r="Q17" i="61" s="1"/>
  <c r="Q52" i="61" s="1"/>
  <c r="K75" i="58"/>
  <c r="K79" i="58"/>
  <c r="G66" i="59"/>
  <c r="G62" i="59"/>
  <c r="D26" i="41"/>
  <c r="D30" i="41"/>
  <c r="Q25" i="42" a="1"/>
  <c r="Q25" i="42" s="1"/>
  <c r="M100" i="45"/>
  <c r="M104" i="45"/>
  <c r="G17" i="40"/>
  <c r="G25" i="40"/>
  <c r="D75" i="58"/>
  <c r="D79" i="58"/>
  <c r="E25" i="49"/>
  <c r="E17" i="49"/>
  <c r="M113" i="39"/>
  <c r="M109" i="39"/>
  <c r="H104" i="45"/>
  <c r="H100" i="45"/>
  <c r="Q26" i="39" a="1"/>
  <c r="Q26" i="39" s="1"/>
  <c r="O124" i="34"/>
  <c r="O128" i="34"/>
  <c r="G30" i="49"/>
  <c r="I61" i="60"/>
  <c r="I57" i="60"/>
  <c r="H57" i="61"/>
  <c r="H53" i="61"/>
  <c r="N33" i="66"/>
  <c r="N36" i="66" s="1"/>
  <c r="N37" i="66" s="1"/>
  <c r="M75" i="31"/>
  <c r="M22" i="31"/>
  <c r="F144" i="15"/>
  <c r="F49" i="15"/>
  <c r="M107" i="42"/>
  <c r="M111" i="42"/>
  <c r="E30" i="30"/>
  <c r="E26" i="30"/>
  <c r="I119" i="28"/>
  <c r="I39" i="28"/>
  <c r="Q57" i="12" a="1"/>
  <c r="Q57" i="12" s="1"/>
  <c r="O30" i="55"/>
  <c r="O34" i="55"/>
  <c r="K26" i="54"/>
  <c r="K22" i="54"/>
  <c r="D30" i="27"/>
  <c r="J158" i="12"/>
  <c r="J154" i="12"/>
  <c r="G31" i="4"/>
  <c r="G36" i="4" s="1"/>
  <c r="G37" i="4" s="1"/>
  <c r="O26" i="6"/>
  <c r="O31" i="6" s="1"/>
  <c r="O32" i="6" s="1"/>
  <c r="J145" i="15"/>
  <c r="J149" i="15"/>
  <c r="G168" i="3"/>
  <c r="G172" i="3"/>
  <c r="D25" i="8"/>
  <c r="D17" i="8"/>
  <c r="D26" i="4"/>
  <c r="D30" i="4"/>
  <c r="M151" i="18"/>
  <c r="M155" i="18"/>
  <c r="G150" i="18"/>
  <c r="G55" i="18"/>
  <c r="E30" i="22"/>
  <c r="E26" i="22"/>
  <c r="D144" i="15"/>
  <c r="D49" i="15"/>
  <c r="K91" i="88"/>
  <c r="K95" i="88"/>
  <c r="O36" i="89"/>
  <c r="O40" i="89"/>
  <c r="D26" i="80"/>
  <c r="D30" i="80"/>
  <c r="L89" i="74"/>
  <c r="L93" i="74"/>
  <c r="F28" i="71"/>
  <c r="F24" i="71"/>
  <c r="N109" i="67"/>
  <c r="N113" i="67"/>
  <c r="G32" i="75"/>
  <c r="G36" i="75"/>
  <c r="G88" i="74"/>
  <c r="G23" i="74"/>
  <c r="E88" i="65"/>
  <c r="E30" i="65"/>
  <c r="D75" i="31"/>
  <c r="D22" i="31"/>
  <c r="L128" i="34"/>
  <c r="L124" i="34"/>
  <c r="Q41" i="34"/>
  <c r="M25" i="6"/>
  <c r="M22" i="6"/>
  <c r="J30" i="25"/>
  <c r="J88" i="25"/>
  <c r="H96" i="9"/>
  <c r="H99" i="9"/>
  <c r="J24" i="21"/>
  <c r="J95" i="21"/>
  <c r="L172" i="3"/>
  <c r="L168" i="3"/>
  <c r="E73" i="93"/>
  <c r="E16" i="93"/>
  <c r="K90" i="91"/>
  <c r="K22" i="91"/>
  <c r="Q22" i="92"/>
  <c r="Q26" i="92"/>
  <c r="D26" i="92"/>
  <c r="D22" i="92"/>
  <c r="F78" i="93"/>
  <c r="F74" i="93"/>
  <c r="D40" i="89"/>
  <c r="D36" i="89"/>
  <c r="Q17" i="87" a="1"/>
  <c r="Q17" i="87" s="1"/>
  <c r="Q58" i="87" s="1"/>
  <c r="N63" i="87"/>
  <c r="N59" i="87"/>
  <c r="M93" i="82"/>
  <c r="M22" i="82"/>
  <c r="H52" i="84"/>
  <c r="H48" i="84"/>
  <c r="Q21" i="83" a="1"/>
  <c r="Q21" i="83" s="1"/>
  <c r="N26" i="80"/>
  <c r="N30" i="80"/>
  <c r="D52" i="84"/>
  <c r="D48" i="84"/>
  <c r="O26" i="81"/>
  <c r="O30" i="81"/>
  <c r="D82" i="83"/>
  <c r="D19" i="83"/>
  <c r="D24" i="77"/>
  <c r="D28" i="77"/>
  <c r="H28" i="77"/>
  <c r="H24" i="77"/>
  <c r="E22" i="76"/>
  <c r="E89" i="76"/>
  <c r="I89" i="76"/>
  <c r="I22" i="76"/>
  <c r="G34" i="79"/>
  <c r="G30" i="79"/>
  <c r="L30" i="79"/>
  <c r="L34" i="79"/>
  <c r="D88" i="74"/>
  <c r="D23" i="74"/>
  <c r="E15" i="77"/>
  <c r="E23" i="77"/>
  <c r="N35" i="79"/>
  <c r="N38" i="79"/>
  <c r="N39" i="79" s="1"/>
  <c r="F25" i="72"/>
  <c r="F29" i="72"/>
  <c r="F28" i="66"/>
  <c r="F32" i="66"/>
  <c r="F77" i="69"/>
  <c r="F30" i="69"/>
  <c r="N29" i="77"/>
  <c r="N32" i="77" s="1"/>
  <c r="N33" i="77" s="1"/>
  <c r="Q10" i="69"/>
  <c r="Q29" i="69" s="1"/>
  <c r="F88" i="65"/>
  <c r="F30" i="65"/>
  <c r="J109" i="67"/>
  <c r="J113" i="67"/>
  <c r="K28" i="66"/>
  <c r="K32" i="66"/>
  <c r="K58" i="64"/>
  <c r="K21" i="64"/>
  <c r="O66" i="59"/>
  <c r="O62" i="59"/>
  <c r="Q17" i="59" a="1"/>
  <c r="Q17" i="59" s="1"/>
  <c r="Q61" i="59" s="1"/>
  <c r="E109" i="67"/>
  <c r="E113" i="67"/>
  <c r="N57" i="60"/>
  <c r="N61" i="60"/>
  <c r="G99" i="62"/>
  <c r="G103" i="62"/>
  <c r="I74" i="58"/>
  <c r="I15" i="58"/>
  <c r="H72" i="57"/>
  <c r="H68" i="57"/>
  <c r="F59" i="64"/>
  <c r="F63" i="64"/>
  <c r="J77" i="56"/>
  <c r="J73" i="56"/>
  <c r="D77" i="51"/>
  <c r="D30" i="51"/>
  <c r="K77" i="51"/>
  <c r="K30" i="51"/>
  <c r="G61" i="60"/>
  <c r="G57" i="60"/>
  <c r="J66" i="59"/>
  <c r="J62" i="59"/>
  <c r="D73" i="56"/>
  <c r="D77" i="56"/>
  <c r="G73" i="48"/>
  <c r="G16" i="48"/>
  <c r="E119" i="36"/>
  <c r="E115" i="36"/>
  <c r="D119" i="28"/>
  <c r="D39" i="28"/>
  <c r="F77" i="56"/>
  <c r="F73" i="56"/>
  <c r="Q24" i="31" a="1"/>
  <c r="Q24" i="31" s="1"/>
  <c r="F119" i="28"/>
  <c r="F39" i="28"/>
  <c r="J150" i="18"/>
  <c r="J55" i="18"/>
  <c r="H75" i="31"/>
  <c r="H22" i="31"/>
  <c r="L119" i="28"/>
  <c r="L39" i="28"/>
  <c r="J99" i="9"/>
  <c r="J96" i="9"/>
  <c r="L55" i="12"/>
  <c r="L153" i="12"/>
  <c r="L34" i="55"/>
  <c r="L30" i="55"/>
  <c r="I144" i="15"/>
  <c r="I49" i="15"/>
  <c r="I168" i="3"/>
  <c r="I172" i="3"/>
  <c r="L100" i="21"/>
  <c r="L96" i="21"/>
  <c r="I113" i="39"/>
  <c r="I109" i="39"/>
  <c r="O76" i="31"/>
  <c r="O80" i="31"/>
  <c r="G25" i="6"/>
  <c r="G22" i="6"/>
  <c r="N76" i="31"/>
  <c r="N80" i="31"/>
  <c r="E30" i="8"/>
  <c r="E26" i="8"/>
  <c r="K167" i="3"/>
  <c r="K63" i="3"/>
  <c r="G30" i="11"/>
  <c r="G26" i="11"/>
  <c r="J26" i="6"/>
  <c r="J31" i="6" s="1"/>
  <c r="J32" i="6" s="1"/>
  <c r="E26" i="92"/>
  <c r="E22" i="92"/>
  <c r="N95" i="90"/>
  <c r="N91" i="90"/>
  <c r="H36" i="89"/>
  <c r="H40" i="89"/>
  <c r="H33" i="86"/>
  <c r="H17" i="86"/>
  <c r="E26" i="80"/>
  <c r="E30" i="80"/>
  <c r="F81" i="70"/>
  <c r="F77" i="70"/>
  <c r="D15" i="60"/>
  <c r="D56" i="60"/>
  <c r="J28" i="71"/>
  <c r="J24" i="71"/>
  <c r="E100" i="45"/>
  <c r="E104" i="45"/>
  <c r="L72" i="57"/>
  <c r="L68" i="57"/>
  <c r="D128" i="34"/>
  <c r="D124" i="34"/>
  <c r="O96" i="21"/>
  <c r="O100" i="21"/>
  <c r="H96" i="21"/>
  <c r="H100" i="21"/>
  <c r="N168" i="3"/>
  <c r="N172" i="3"/>
  <c r="J74" i="93"/>
  <c r="J78" i="93"/>
  <c r="G74" i="93"/>
  <c r="G78" i="93"/>
  <c r="E95" i="91"/>
  <c r="E91" i="91"/>
  <c r="F67" i="87"/>
  <c r="F68" i="87" s="1"/>
  <c r="F64" i="87"/>
  <c r="Q35" i="89"/>
  <c r="Q18" i="89"/>
  <c r="J36" i="89"/>
  <c r="J40" i="89"/>
  <c r="G38" i="86"/>
  <c r="G34" i="86"/>
  <c r="E93" i="82"/>
  <c r="E22" i="82"/>
  <c r="J59" i="87"/>
  <c r="J63" i="87"/>
  <c r="M82" i="83"/>
  <c r="M19" i="83"/>
  <c r="G19" i="83"/>
  <c r="G82" i="83"/>
  <c r="F38" i="86"/>
  <c r="F34" i="86"/>
  <c r="O30" i="85"/>
  <c r="O26" i="85"/>
  <c r="F30" i="81"/>
  <c r="F26" i="81"/>
  <c r="I30" i="80"/>
  <c r="I26" i="80"/>
  <c r="I48" i="84"/>
  <c r="I52" i="84"/>
  <c r="Q82" i="83"/>
  <c r="Q19" i="83"/>
  <c r="E52" i="84"/>
  <c r="E48" i="84"/>
  <c r="M30" i="79"/>
  <c r="M34" i="79"/>
  <c r="K24" i="77"/>
  <c r="K28" i="77"/>
  <c r="F88" i="83"/>
  <c r="F91" i="83" s="1"/>
  <c r="F92" i="83" s="1"/>
  <c r="Q25" i="74" a="1"/>
  <c r="Q25" i="74" s="1"/>
  <c r="N79" i="78"/>
  <c r="N75" i="78"/>
  <c r="I63" i="87"/>
  <c r="I59" i="87"/>
  <c r="Q88" i="74"/>
  <c r="Q23" i="74"/>
  <c r="K75" i="78"/>
  <c r="K79" i="78"/>
  <c r="L92" i="73"/>
  <c r="L88" i="73"/>
  <c r="E29" i="72"/>
  <c r="E25" i="72"/>
  <c r="K88" i="73"/>
  <c r="K92" i="73"/>
  <c r="H28" i="71"/>
  <c r="H24" i="71"/>
  <c r="M29" i="72"/>
  <c r="M25" i="72"/>
  <c r="N94" i="74"/>
  <c r="N97" i="74" s="1"/>
  <c r="N98" i="74" s="1"/>
  <c r="K77" i="69"/>
  <c r="K30" i="69"/>
  <c r="J89" i="74"/>
  <c r="J93" i="74"/>
  <c r="D24" i="71"/>
  <c r="D28" i="71"/>
  <c r="M29" i="63"/>
  <c r="M85" i="63"/>
  <c r="L109" i="67"/>
  <c r="L113" i="67"/>
  <c r="F88" i="73"/>
  <c r="F92" i="73"/>
  <c r="I21" i="64"/>
  <c r="I58" i="64"/>
  <c r="Q18" i="62" a="1"/>
  <c r="Q18" i="62" s="1"/>
  <c r="Q98" i="62" s="1"/>
  <c r="H76" i="68"/>
  <c r="H80" i="68"/>
  <c r="D62" i="59"/>
  <c r="D66" i="59"/>
  <c r="J89" i="65"/>
  <c r="J93" i="65"/>
  <c r="J68" i="57"/>
  <c r="J72" i="57"/>
  <c r="O67" i="57"/>
  <c r="O15" i="57"/>
  <c r="Q10" i="51"/>
  <c r="Q29" i="51" s="1"/>
  <c r="Q26" i="45" a="1"/>
  <c r="Q26" i="45" s="1"/>
  <c r="Q99" i="45" s="1"/>
  <c r="H106" i="42"/>
  <c r="H23" i="42"/>
  <c r="N41" i="34"/>
  <c r="N123" i="34"/>
  <c r="J34" i="55"/>
  <c r="J30" i="55"/>
  <c r="N74" i="48"/>
  <c r="N78" i="48"/>
  <c r="E77" i="56"/>
  <c r="E73" i="56"/>
  <c r="G24" i="39"/>
  <c r="G108" i="39"/>
  <c r="Q17" i="60" a="1"/>
  <c r="Q17" i="60" s="1"/>
  <c r="Q56" i="60" s="1"/>
  <c r="D26" i="53"/>
  <c r="D30" i="53"/>
  <c r="H35" i="55"/>
  <c r="H38" i="55"/>
  <c r="H39" i="55" s="1"/>
  <c r="G25" i="46"/>
  <c r="G17" i="46"/>
  <c r="E59" i="64"/>
  <c r="E63" i="64"/>
  <c r="Q43" i="34" a="1"/>
  <c r="Q43" i="34" s="1"/>
  <c r="Q123" i="34" s="1"/>
  <c r="G79" i="58"/>
  <c r="G75" i="58"/>
  <c r="J78" i="48"/>
  <c r="J74" i="48"/>
  <c r="O32" i="75"/>
  <c r="O36" i="75"/>
  <c r="J38" i="86"/>
  <c r="J34" i="86"/>
  <c r="L111" i="42"/>
  <c r="L107" i="42"/>
  <c r="L89" i="65"/>
  <c r="L93" i="65"/>
  <c r="E26" i="17"/>
  <c r="I153" i="12"/>
  <c r="I55" i="12"/>
  <c r="K128" i="34"/>
  <c r="K124" i="34"/>
  <c r="J76" i="31"/>
  <c r="J80" i="31"/>
  <c r="Q10" i="28"/>
  <c r="Q38" i="28" s="1"/>
  <c r="J103" i="62"/>
  <c r="J99" i="62"/>
  <c r="M144" i="15"/>
  <c r="M49" i="15"/>
  <c r="D55" i="12"/>
  <c r="D153" i="12"/>
  <c r="I88" i="25"/>
  <c r="I30" i="25"/>
  <c r="Q51" i="15" a="1"/>
  <c r="Q51" i="15" s="1"/>
  <c r="Q144" i="15" s="1"/>
  <c r="L80" i="31"/>
  <c r="L76" i="31"/>
  <c r="D30" i="22"/>
  <c r="D26" i="22"/>
  <c r="D30" i="16"/>
  <c r="D26" i="16"/>
  <c r="Q17" i="9" a="1"/>
  <c r="Q17" i="9" s="1"/>
  <c r="Q95" i="9" s="1"/>
  <c r="F168" i="3"/>
  <c r="F172" i="3"/>
  <c r="N149" i="15"/>
  <c r="N145" i="15"/>
  <c r="F150" i="18"/>
  <c r="F55" i="18"/>
  <c r="N22" i="6"/>
  <c r="N25" i="6"/>
  <c r="J78" i="51"/>
  <c r="J82" i="51"/>
  <c r="D26" i="95"/>
  <c r="D30" i="95"/>
  <c r="M95" i="91"/>
  <c r="M91" i="91"/>
  <c r="O33" i="86"/>
  <c r="O17" i="86"/>
  <c r="I40" i="89"/>
  <c r="I36" i="89"/>
  <c r="J91" i="91"/>
  <c r="J95" i="91"/>
  <c r="K52" i="84"/>
  <c r="K48" i="84"/>
  <c r="E25" i="81"/>
  <c r="E15" i="81"/>
  <c r="M52" i="84"/>
  <c r="M48" i="84"/>
  <c r="Q89" i="76"/>
  <c r="Q22" i="76"/>
  <c r="E34" i="55"/>
  <c r="E30" i="55"/>
  <c r="M59" i="64"/>
  <c r="M63" i="64"/>
  <c r="M119" i="36"/>
  <c r="M115" i="36"/>
  <c r="D25" i="33"/>
  <c r="D17" i="33"/>
  <c r="Q106" i="42"/>
  <c r="Q23" i="42"/>
  <c r="G88" i="25"/>
  <c r="G30" i="25"/>
  <c r="Q88" i="25"/>
  <c r="Q30" i="25"/>
  <c r="H66" i="59"/>
  <c r="H62" i="59"/>
  <c r="E30" i="10"/>
  <c r="E26" i="10"/>
  <c r="K18" i="89"/>
  <c r="K35" i="89"/>
  <c r="M38" i="86"/>
  <c r="M34" i="86"/>
  <c r="N34" i="86"/>
  <c r="N38" i="86"/>
  <c r="Q24" i="82" a="1"/>
  <c r="Q24" i="82" s="1"/>
  <c r="Q93" i="82" s="1"/>
  <c r="D22" i="76"/>
  <c r="D89" i="76"/>
  <c r="G94" i="82"/>
  <c r="G98" i="82"/>
  <c r="G26" i="81"/>
  <c r="G30" i="81"/>
  <c r="Q29" i="79"/>
  <c r="Q15" i="79"/>
  <c r="I28" i="77"/>
  <c r="I24" i="77"/>
  <c r="O28" i="77"/>
  <c r="O24" i="77"/>
  <c r="O26" i="80"/>
  <c r="O30" i="80"/>
  <c r="L83" i="83"/>
  <c r="L87" i="83"/>
  <c r="J26" i="81"/>
  <c r="J30" i="81"/>
  <c r="I75" i="78"/>
  <c r="I79" i="78"/>
  <c r="D30" i="79"/>
  <c r="D34" i="79"/>
  <c r="D87" i="73"/>
  <c r="D20" i="73"/>
  <c r="H32" i="75"/>
  <c r="H36" i="75"/>
  <c r="L29" i="77"/>
  <c r="L32" i="77" s="1"/>
  <c r="L33" i="77" s="1"/>
  <c r="L28" i="66"/>
  <c r="L32" i="66"/>
  <c r="E28" i="66"/>
  <c r="E32" i="66"/>
  <c r="F29" i="77"/>
  <c r="F32" i="77" s="1"/>
  <c r="F33" i="77" s="1"/>
  <c r="G25" i="72"/>
  <c r="G29" i="72"/>
  <c r="D28" i="66"/>
  <c r="D32" i="66"/>
  <c r="M15" i="61"/>
  <c r="M52" i="61"/>
  <c r="L58" i="64"/>
  <c r="L21" i="64"/>
  <c r="E29" i="63"/>
  <c r="E85" i="63"/>
  <c r="E89" i="74"/>
  <c r="E93" i="74"/>
  <c r="I77" i="69"/>
  <c r="I30" i="69"/>
  <c r="N80" i="68"/>
  <c r="N76" i="68"/>
  <c r="K86" i="63"/>
  <c r="K90" i="63"/>
  <c r="I103" i="62"/>
  <c r="I99" i="62"/>
  <c r="G36" i="66"/>
  <c r="G37" i="66" s="1"/>
  <c r="G33" i="66"/>
  <c r="H99" i="62"/>
  <c r="H103" i="62"/>
  <c r="F57" i="60"/>
  <c r="F61" i="60"/>
  <c r="Q17" i="57" a="1"/>
  <c r="Q17" i="57" s="1"/>
  <c r="Q67" i="57" s="1"/>
  <c r="G67" i="57"/>
  <c r="G15" i="57"/>
  <c r="F75" i="68"/>
  <c r="F22" i="68"/>
  <c r="E79" i="58"/>
  <c r="E75" i="58"/>
  <c r="D73" i="48"/>
  <c r="D16" i="48"/>
  <c r="J99" i="45"/>
  <c r="J24" i="45"/>
  <c r="I15" i="56"/>
  <c r="I72" i="56"/>
  <c r="E82" i="51"/>
  <c r="E78" i="51"/>
  <c r="I104" i="45"/>
  <c r="I100" i="45"/>
  <c r="N83" i="69"/>
  <c r="N86" i="69" s="1"/>
  <c r="N87" i="69" s="1"/>
  <c r="K77" i="56"/>
  <c r="K73" i="56"/>
  <c r="F119" i="36"/>
  <c r="F115" i="36"/>
  <c r="N68" i="57"/>
  <c r="N72" i="57"/>
  <c r="N77" i="56"/>
  <c r="N73" i="56"/>
  <c r="M27" i="54"/>
  <c r="M32" i="54" s="1"/>
  <c r="M33" i="54" s="1"/>
  <c r="G77" i="51"/>
  <c r="G30" i="51"/>
  <c r="K74" i="48"/>
  <c r="K78" i="48"/>
  <c r="L100" i="45"/>
  <c r="L104" i="45"/>
  <c r="M76" i="57"/>
  <c r="M77" i="57" s="1"/>
  <c r="M73" i="57"/>
  <c r="O32" i="54"/>
  <c r="O33" i="54" s="1"/>
  <c r="O27" i="54"/>
  <c r="F100" i="45"/>
  <c r="F104" i="45"/>
  <c r="J123" i="34"/>
  <c r="J41" i="34"/>
  <c r="G30" i="55"/>
  <c r="G34" i="55"/>
  <c r="G30" i="47"/>
  <c r="G26" i="47"/>
  <c r="D26" i="46"/>
  <c r="D30" i="46"/>
  <c r="E29" i="71"/>
  <c r="E32" i="71" s="1"/>
  <c r="E33" i="71" s="1"/>
  <c r="D30" i="52"/>
  <c r="D26" i="52"/>
  <c r="E25" i="32"/>
  <c r="E17" i="32"/>
  <c r="E93" i="25"/>
  <c r="E89" i="25"/>
  <c r="G76" i="31"/>
  <c r="G80" i="31"/>
  <c r="E144" i="15"/>
  <c r="E49" i="15"/>
  <c r="E30" i="11"/>
  <c r="E26" i="11"/>
  <c r="E30" i="29"/>
  <c r="E26" i="29"/>
  <c r="D31" i="14"/>
  <c r="D36" i="14" s="1"/>
  <c r="D37" i="14" s="1"/>
  <c r="D34" i="55"/>
  <c r="D30" i="55"/>
  <c r="Q75" i="31"/>
  <c r="Q22" i="31"/>
  <c r="Q26" i="21" a="1"/>
  <c r="Q26" i="21" s="1"/>
  <c r="Q95" i="21" s="1"/>
  <c r="N27" i="54"/>
  <c r="N32" i="54" s="1"/>
  <c r="N33" i="54" s="1"/>
  <c r="K115" i="36"/>
  <c r="K119" i="36"/>
  <c r="G96" i="9"/>
  <c r="G99" i="9"/>
  <c r="N154" i="12"/>
  <c r="N158" i="12"/>
  <c r="O109" i="39"/>
  <c r="O113" i="39"/>
  <c r="K96" i="9"/>
  <c r="K99" i="9"/>
  <c r="Q63" i="3"/>
  <c r="Q167" i="3"/>
  <c r="O59" i="87"/>
  <c r="O63" i="87"/>
  <c r="J75" i="78"/>
  <c r="J79" i="78"/>
  <c r="H18" i="72"/>
  <c r="H24" i="72"/>
  <c r="O30" i="72"/>
  <c r="O33" i="72" s="1"/>
  <c r="O34" i="72" s="1"/>
  <c r="L99" i="62"/>
  <c r="L103" i="62"/>
  <c r="M78" i="69"/>
  <c r="M82" i="69"/>
  <c r="J77" i="70"/>
  <c r="J81" i="70"/>
  <c r="J15" i="58"/>
  <c r="J74" i="58"/>
  <c r="N78" i="51"/>
  <c r="N82" i="51"/>
  <c r="G30" i="50"/>
  <c r="G26" i="50"/>
  <c r="G114" i="36"/>
  <c r="G26" i="36"/>
  <c r="J76" i="68"/>
  <c r="J80" i="68"/>
  <c r="N119" i="28"/>
  <c r="N39" i="28"/>
  <c r="K76" i="31"/>
  <c r="K80" i="31"/>
  <c r="E151" i="18"/>
  <c r="E155" i="18"/>
  <c r="D150" i="18"/>
  <c r="D55" i="18"/>
  <c r="O96" i="9"/>
  <c r="O99" i="9"/>
  <c r="E26" i="5"/>
  <c r="E30" i="5"/>
  <c r="Q10" i="91"/>
  <c r="Q21" i="91" s="1"/>
  <c r="J22" i="92"/>
  <c r="J26" i="92"/>
  <c r="O74" i="93"/>
  <c r="O78" i="93"/>
  <c r="H90" i="90"/>
  <c r="H22" i="90"/>
  <c r="E26" i="96"/>
  <c r="E30" i="96"/>
  <c r="O91" i="91"/>
  <c r="O95" i="91"/>
  <c r="L90" i="91"/>
  <c r="L22" i="91"/>
  <c r="K90" i="90"/>
  <c r="K22" i="90"/>
  <c r="M58" i="87"/>
  <c r="M15" i="87"/>
  <c r="N22" i="92"/>
  <c r="N26" i="92"/>
  <c r="K82" i="93"/>
  <c r="K83" i="93" s="1"/>
  <c r="K79" i="93"/>
  <c r="Q24" i="91" a="1"/>
  <c r="Q24" i="91" s="1"/>
  <c r="E96" i="88"/>
  <c r="E99" i="88" s="1"/>
  <c r="E100" i="88" s="1"/>
  <c r="N25" i="85"/>
  <c r="N15" i="85"/>
  <c r="I90" i="88"/>
  <c r="I22" i="88"/>
  <c r="K82" i="83"/>
  <c r="K19" i="83"/>
  <c r="J91" i="90"/>
  <c r="J95" i="90"/>
  <c r="K22" i="82"/>
  <c r="K93" i="82"/>
  <c r="M26" i="80"/>
  <c r="M30" i="80"/>
  <c r="L40" i="89"/>
  <c r="L36" i="89"/>
  <c r="J94" i="82"/>
  <c r="J98" i="82"/>
  <c r="H29" i="79"/>
  <c r="H15" i="79"/>
  <c r="N52" i="84"/>
  <c r="N48" i="84"/>
  <c r="N90" i="76"/>
  <c r="N94" i="76"/>
  <c r="H59" i="87"/>
  <c r="H63" i="87"/>
  <c r="G26" i="80"/>
  <c r="G30" i="80"/>
  <c r="O94" i="76"/>
  <c r="O90" i="76"/>
  <c r="H89" i="74"/>
  <c r="H93" i="74"/>
  <c r="G94" i="76"/>
  <c r="G90" i="76"/>
  <c r="J24" i="77"/>
  <c r="J28" i="77"/>
  <c r="J27" i="66"/>
  <c r="J15" i="66"/>
  <c r="L75" i="68"/>
  <c r="L22" i="68"/>
  <c r="I32" i="66"/>
  <c r="I28" i="66"/>
  <c r="Q28" i="63"/>
  <c r="E52" i="61"/>
  <c r="E15" i="61"/>
  <c r="M109" i="67"/>
  <c r="M113" i="67"/>
  <c r="D58" i="64"/>
  <c r="D21" i="64"/>
  <c r="G86" i="63"/>
  <c r="G90" i="63"/>
  <c r="O28" i="71"/>
  <c r="O24" i="71"/>
  <c r="D39" i="67"/>
  <c r="D108" i="67"/>
  <c r="H32" i="66"/>
  <c r="H28" i="66"/>
  <c r="N63" i="64"/>
  <c r="N59" i="64"/>
  <c r="G113" i="67"/>
  <c r="G109" i="67"/>
  <c r="L73" i="56"/>
  <c r="L77" i="56"/>
  <c r="L57" i="61"/>
  <c r="L53" i="61"/>
  <c r="F103" i="62"/>
  <c r="F99" i="62"/>
  <c r="K56" i="60"/>
  <c r="K15" i="60"/>
  <c r="Q73" i="48"/>
  <c r="Q16" i="48"/>
  <c r="L108" i="39"/>
  <c r="L24" i="39"/>
  <c r="H61" i="60"/>
  <c r="H57" i="60"/>
  <c r="K30" i="55"/>
  <c r="K34" i="55"/>
  <c r="K108" i="39"/>
  <c r="K24" i="39"/>
  <c r="E99" i="62"/>
  <c r="E103" i="62"/>
  <c r="M62" i="59"/>
  <c r="M66" i="59"/>
  <c r="Q17" i="55" a="1"/>
  <c r="Q17" i="55" s="1"/>
  <c r="Q29" i="55" s="1"/>
  <c r="M74" i="48"/>
  <c r="M78" i="48"/>
  <c r="F79" i="58"/>
  <c r="F75" i="58"/>
  <c r="G124" i="34"/>
  <c r="G128" i="34"/>
  <c r="D31" i="40"/>
  <c r="D36" i="40" s="1"/>
  <c r="D37" i="40" s="1"/>
  <c r="E25" i="46"/>
  <c r="E17" i="46"/>
  <c r="I114" i="36"/>
  <c r="I26" i="36"/>
  <c r="Q41" i="28" a="1"/>
  <c r="Q41" i="28" s="1"/>
  <c r="E30" i="52"/>
  <c r="E26" i="52"/>
  <c r="I30" i="51"/>
  <c r="I77" i="51"/>
  <c r="M128" i="34"/>
  <c r="M124" i="34"/>
  <c r="I80" i="31"/>
  <c r="I76" i="31"/>
  <c r="E26" i="16"/>
  <c r="E30" i="16"/>
  <c r="O78" i="51"/>
  <c r="O82" i="51"/>
  <c r="G30" i="29"/>
  <c r="G26" i="29"/>
  <c r="E30" i="43"/>
  <c r="E26" i="43"/>
  <c r="G26" i="30"/>
  <c r="I24" i="21"/>
  <c r="I95" i="21"/>
  <c r="H119" i="28"/>
  <c r="H39" i="28"/>
  <c r="M95" i="21"/>
  <c r="M24" i="21"/>
  <c r="D26" i="10"/>
  <c r="D30" i="10"/>
  <c r="K150" i="18"/>
  <c r="K55" i="18"/>
  <c r="M153" i="12"/>
  <c r="M55" i="12"/>
  <c r="G55" i="12"/>
  <c r="G153" i="12"/>
  <c r="F22" i="6"/>
  <c r="F25" i="6"/>
  <c r="Q65" i="3" a="1"/>
  <c r="Q65" i="3" s="1"/>
  <c r="E31" i="14"/>
  <c r="E36" i="14" s="1"/>
  <c r="E37" i="14" s="1"/>
  <c r="J167" i="3"/>
  <c r="J63" i="3"/>
  <c r="F76" i="31"/>
  <c r="F80" i="31"/>
  <c r="G30" i="7"/>
  <c r="G26" i="7"/>
  <c r="E31" i="75"/>
  <c r="E21" i="75"/>
  <c r="H75" i="78"/>
  <c r="H79" i="78"/>
  <c r="J82" i="69"/>
  <c r="J78" i="69"/>
  <c r="J29" i="63"/>
  <c r="J85" i="63"/>
  <c r="N100" i="45"/>
  <c r="N104" i="45"/>
  <c r="N111" i="42"/>
  <c r="N107" i="42"/>
  <c r="Q18" i="93" a="1"/>
  <c r="Q18" i="93" s="1"/>
  <c r="Q73" i="93" s="1"/>
  <c r="H22" i="92"/>
  <c r="H26" i="92"/>
  <c r="D73" i="93"/>
  <c r="D16" i="93"/>
  <c r="D31" i="96"/>
  <c r="D36" i="96" s="1"/>
  <c r="D37" i="96" s="1"/>
  <c r="E26" i="95"/>
  <c r="E30" i="95"/>
  <c r="L78" i="93"/>
  <c r="L74" i="93"/>
  <c r="I15" i="92"/>
  <c r="I21" i="92"/>
  <c r="L26" i="92"/>
  <c r="L22" i="92"/>
  <c r="N78" i="93"/>
  <c r="N74" i="93"/>
  <c r="N18" i="89"/>
  <c r="N35" i="89"/>
  <c r="E58" i="87"/>
  <c r="E15" i="87"/>
  <c r="F95" i="90"/>
  <c r="F91" i="90"/>
  <c r="L22" i="88"/>
  <c r="L90" i="88"/>
  <c r="M91" i="90"/>
  <c r="M95" i="90"/>
  <c r="F25" i="85"/>
  <c r="F15" i="85"/>
  <c r="L91" i="90"/>
  <c r="L95" i="90"/>
  <c r="I30" i="85"/>
  <c r="I26" i="85"/>
  <c r="G91" i="88"/>
  <c r="G95" i="88"/>
  <c r="E26" i="85"/>
  <c r="E30" i="85"/>
  <c r="Q17" i="84" a="1"/>
  <c r="Q17" i="84" s="1"/>
  <c r="Q47" i="84" s="1"/>
  <c r="H93" i="82"/>
  <c r="H22" i="82"/>
  <c r="L30" i="81"/>
  <c r="L26" i="81"/>
  <c r="K26" i="81"/>
  <c r="K30" i="81"/>
  <c r="L39" i="86"/>
  <c r="L42" i="86" s="1"/>
  <c r="L43" i="86" s="1"/>
  <c r="G28" i="77"/>
  <c r="G24" i="77"/>
  <c r="J29" i="79"/>
  <c r="J15" i="79"/>
  <c r="Q26" i="80"/>
  <c r="Q30" i="80"/>
  <c r="F79" i="78"/>
  <c r="F75" i="78"/>
  <c r="Q22" i="73" a="1"/>
  <c r="Q22" i="73" s="1"/>
  <c r="M90" i="76"/>
  <c r="M94" i="76"/>
  <c r="L98" i="76"/>
  <c r="L99" i="76" s="1"/>
  <c r="L95" i="76"/>
  <c r="I25" i="72"/>
  <c r="I29" i="72"/>
  <c r="F38" i="79"/>
  <c r="F39" i="79" s="1"/>
  <c r="F35" i="79"/>
  <c r="Q21" i="70" a="1"/>
  <c r="Q21" i="70" s="1"/>
  <c r="Q76" i="70" s="1"/>
  <c r="D75" i="68"/>
  <c r="D22" i="68"/>
  <c r="I40" i="75"/>
  <c r="I41" i="75" s="1"/>
  <c r="I37" i="75"/>
  <c r="O76" i="70"/>
  <c r="O19" i="70"/>
  <c r="L31" i="75"/>
  <c r="L21" i="75"/>
  <c r="I24" i="71"/>
  <c r="I28" i="71"/>
  <c r="F29" i="63"/>
  <c r="F85" i="63"/>
  <c r="Q10" i="64"/>
  <c r="Q20" i="64" s="1"/>
  <c r="Q10" i="67"/>
  <c r="Q38" i="67" s="1"/>
  <c r="N88" i="73"/>
  <c r="N92" i="73"/>
  <c r="D53" i="61"/>
  <c r="D57" i="61"/>
  <c r="O93" i="65"/>
  <c r="O89" i="65"/>
  <c r="K32" i="71"/>
  <c r="K33" i="71" s="1"/>
  <c r="K29" i="71"/>
  <c r="D108" i="39"/>
  <c r="D24" i="39"/>
  <c r="Q15" i="54"/>
  <c r="Q21" i="54"/>
  <c r="O36" i="66"/>
  <c r="O37" i="66" s="1"/>
  <c r="O33" i="66"/>
  <c r="M62" i="60"/>
  <c r="M65" i="60" s="1"/>
  <c r="M66" i="60" s="1"/>
  <c r="J26" i="54"/>
  <c r="J22" i="54"/>
  <c r="F72" i="57"/>
  <c r="F68" i="57"/>
  <c r="Q18" i="48" a="1"/>
  <c r="Q18" i="48" s="1"/>
  <c r="G26" i="38"/>
  <c r="H73" i="56"/>
  <c r="H77" i="56"/>
  <c r="D100" i="45"/>
  <c r="D104" i="45"/>
  <c r="N38" i="55"/>
  <c r="N39" i="55" s="1"/>
  <c r="N35" i="55"/>
  <c r="E73" i="57"/>
  <c r="E76" i="57"/>
  <c r="E77" i="57" s="1"/>
  <c r="I76" i="57"/>
  <c r="I77" i="57" s="1"/>
  <c r="I73" i="57"/>
  <c r="G30" i="44"/>
  <c r="G26" i="44"/>
  <c r="Q28" i="36" a="1"/>
  <c r="Q28" i="36" s="1"/>
  <c r="Q10" i="36"/>
  <c r="Q25" i="36" s="1"/>
  <c r="Q32" i="65" a="1"/>
  <c r="Q32" i="65" s="1"/>
  <c r="I38" i="86"/>
  <c r="I34" i="86"/>
  <c r="E17" i="4"/>
  <c r="E25" i="4"/>
  <c r="K39" i="28"/>
  <c r="K119" i="28"/>
  <c r="N95" i="21"/>
  <c r="N24" i="21"/>
  <c r="D26" i="13"/>
  <c r="D30" i="13"/>
  <c r="L89" i="25"/>
  <c r="L93" i="25"/>
  <c r="D30" i="30"/>
  <c r="D26" i="30"/>
  <c r="N93" i="25"/>
  <c r="N89" i="25"/>
  <c r="F95" i="21"/>
  <c r="F24" i="21"/>
  <c r="M29" i="71"/>
  <c r="M32" i="71" s="1"/>
  <c r="M33" i="71" s="1"/>
  <c r="F27" i="54"/>
  <c r="F32" i="54" s="1"/>
  <c r="F33" i="54" s="1"/>
  <c r="E95" i="21"/>
  <c r="E24" i="21"/>
  <c r="D25" i="7"/>
  <c r="D17" i="7"/>
  <c r="L22" i="6"/>
  <c r="L25" i="6"/>
  <c r="K145" i="15"/>
  <c r="K149" i="15"/>
  <c r="H154" i="12"/>
  <c r="H158" i="12"/>
  <c r="E26" i="7"/>
  <c r="E30" i="7"/>
  <c r="G26" i="27"/>
  <c r="G30" i="27"/>
  <c r="F154" i="12"/>
  <c r="F158" i="12"/>
  <c r="E25" i="6"/>
  <c r="E22" i="6"/>
  <c r="H172" i="3"/>
  <c r="H168" i="3"/>
  <c r="G26" i="8" l="1"/>
  <c r="D26" i="23"/>
  <c r="E26" i="44"/>
  <c r="D26" i="35"/>
  <c r="G30" i="37"/>
  <c r="E26" i="26"/>
  <c r="E30" i="47"/>
  <c r="E26" i="37"/>
  <c r="G30" i="32"/>
  <c r="G31" i="32" s="1"/>
  <c r="G36" i="32" s="1"/>
  <c r="G37" i="32" s="1"/>
  <c r="G26" i="13"/>
  <c r="G30" i="10"/>
  <c r="D30" i="49"/>
  <c r="G26" i="96"/>
  <c r="G26" i="19"/>
  <c r="E26" i="41"/>
  <c r="D26" i="38"/>
  <c r="D26" i="32"/>
  <c r="D26" i="44"/>
  <c r="G30" i="24"/>
  <c r="G31" i="24" s="1"/>
  <c r="G36" i="24" s="1"/>
  <c r="G37" i="24" s="1"/>
  <c r="E26" i="23"/>
  <c r="D30" i="24"/>
  <c r="D31" i="24" s="1"/>
  <c r="D36" i="24" s="1"/>
  <c r="D37" i="24" s="1"/>
  <c r="G26" i="26"/>
  <c r="D26" i="37"/>
  <c r="E30" i="53"/>
  <c r="E31" i="53" s="1"/>
  <c r="E36" i="53" s="1"/>
  <c r="E37" i="53" s="1"/>
  <c r="E30" i="50"/>
  <c r="E31" i="50" s="1"/>
  <c r="E36" i="50" s="1"/>
  <c r="E37" i="50" s="1"/>
  <c r="D26" i="19"/>
  <c r="E26" i="27"/>
  <c r="E30" i="35"/>
  <c r="E31" i="35" s="1"/>
  <c r="E36" i="35" s="1"/>
  <c r="E37" i="35" s="1"/>
  <c r="G26" i="43"/>
  <c r="D26" i="29"/>
  <c r="D36" i="47"/>
  <c r="D37" i="47" s="1"/>
  <c r="G26" i="16"/>
  <c r="G30" i="16"/>
  <c r="G31" i="16" s="1"/>
  <c r="G36" i="16" s="1"/>
  <c r="G37" i="16" s="1"/>
  <c r="G26" i="52"/>
  <c r="G30" i="52"/>
  <c r="G31" i="52" s="1"/>
  <c r="G36" i="52" s="1"/>
  <c r="G37" i="52" s="1"/>
  <c r="G31" i="33"/>
  <c r="G36" i="33" s="1"/>
  <c r="G37" i="33" s="1"/>
  <c r="E26" i="19"/>
  <c r="E30" i="19"/>
  <c r="E31" i="19" s="1"/>
  <c r="E36" i="19" s="1"/>
  <c r="E37" i="19" s="1"/>
  <c r="D31" i="20"/>
  <c r="D36" i="20" s="1"/>
  <c r="D37" i="20" s="1"/>
  <c r="G31" i="23"/>
  <c r="G36" i="23" s="1"/>
  <c r="G37" i="23" s="1"/>
  <c r="G30" i="22"/>
  <c r="G26" i="22"/>
  <c r="E30" i="40"/>
  <c r="E31" i="40" s="1"/>
  <c r="E36" i="40" s="1"/>
  <c r="E37" i="40" s="1"/>
  <c r="E26" i="40"/>
  <c r="E26" i="33"/>
  <c r="E30" i="33"/>
  <c r="E26" i="20"/>
  <c r="E30" i="20"/>
  <c r="E31" i="20" s="1"/>
  <c r="E36" i="20" s="1"/>
  <c r="E37" i="20" s="1"/>
  <c r="Q74" i="93"/>
  <c r="Q78" i="93"/>
  <c r="Q145" i="15"/>
  <c r="Q149" i="15"/>
  <c r="Q128" i="34"/>
  <c r="Q124" i="34"/>
  <c r="Q104" i="45"/>
  <c r="Q100" i="45"/>
  <c r="Q96" i="21"/>
  <c r="Q100" i="21"/>
  <c r="Q98" i="82"/>
  <c r="Q94" i="82"/>
  <c r="Q81" i="70"/>
  <c r="Q77" i="70"/>
  <c r="D58" i="61"/>
  <c r="D61" i="61"/>
  <c r="D62" i="61" s="1"/>
  <c r="G31" i="10"/>
  <c r="G36" i="10" s="1"/>
  <c r="G37" i="10" s="1"/>
  <c r="E31" i="44"/>
  <c r="E36" i="44" s="1"/>
  <c r="E37" i="44" s="1"/>
  <c r="L95" i="91"/>
  <c r="L91" i="91"/>
  <c r="E31" i="11"/>
  <c r="E36" i="11" s="1"/>
  <c r="E37" i="11" s="1"/>
  <c r="G30" i="72"/>
  <c r="G33" i="72" s="1"/>
  <c r="G34" i="72" s="1"/>
  <c r="Q89" i="25"/>
  <c r="Q93" i="25"/>
  <c r="J94" i="65"/>
  <c r="J97" i="65" s="1"/>
  <c r="J98" i="65" s="1"/>
  <c r="E31" i="47"/>
  <c r="E36" i="47" s="1"/>
  <c r="E37" i="47" s="1"/>
  <c r="J78" i="56"/>
  <c r="J81" i="56" s="1"/>
  <c r="J82" i="56" s="1"/>
  <c r="D31" i="30"/>
  <c r="D36" i="30" s="1"/>
  <c r="D37" i="30" s="1"/>
  <c r="L26" i="6"/>
  <c r="L31" i="6"/>
  <c r="L32" i="6" s="1"/>
  <c r="L94" i="25"/>
  <c r="L97" i="25" s="1"/>
  <c r="L98" i="25" s="1"/>
  <c r="K120" i="28"/>
  <c r="K124" i="28"/>
  <c r="F90" i="63"/>
  <c r="F86" i="63"/>
  <c r="Q31" i="80"/>
  <c r="Q34" i="80" s="1"/>
  <c r="Q35" i="80" s="1"/>
  <c r="K31" i="81"/>
  <c r="K34" i="81" s="1"/>
  <c r="K35" i="81" s="1"/>
  <c r="F30" i="85"/>
  <c r="F26" i="85"/>
  <c r="E63" i="87"/>
  <c r="E59" i="87"/>
  <c r="D78" i="93"/>
  <c r="D74" i="93"/>
  <c r="J86" i="63"/>
  <c r="J90" i="63"/>
  <c r="K155" i="18"/>
  <c r="K151" i="18"/>
  <c r="H120" i="28"/>
  <c r="H124" i="28"/>
  <c r="E31" i="43"/>
  <c r="E36" i="43" s="1"/>
  <c r="E37" i="43" s="1"/>
  <c r="E31" i="52"/>
  <c r="E36" i="52" s="1"/>
  <c r="E37" i="52" s="1"/>
  <c r="G129" i="34"/>
  <c r="G132" i="34" s="1"/>
  <c r="G133" i="34" s="1"/>
  <c r="M79" i="48"/>
  <c r="M82" i="48" s="1"/>
  <c r="M83" i="48" s="1"/>
  <c r="K109" i="39"/>
  <c r="K113" i="39"/>
  <c r="L113" i="39"/>
  <c r="L109" i="39"/>
  <c r="L58" i="61"/>
  <c r="L61" i="61" s="1"/>
  <c r="L62" i="61" s="1"/>
  <c r="H33" i="66"/>
  <c r="H36" i="66"/>
  <c r="H37" i="66" s="1"/>
  <c r="D59" i="64"/>
  <c r="D63" i="64"/>
  <c r="H94" i="74"/>
  <c r="H97" i="74"/>
  <c r="H98" i="74" s="1"/>
  <c r="N95" i="76"/>
  <c r="N98" i="76" s="1"/>
  <c r="N99" i="76" s="1"/>
  <c r="K91" i="90"/>
  <c r="K95" i="90"/>
  <c r="H95" i="90"/>
  <c r="H91" i="90"/>
  <c r="O100" i="9"/>
  <c r="O103" i="9"/>
  <c r="O104" i="9" s="1"/>
  <c r="N83" i="51"/>
  <c r="N86" i="51" s="1"/>
  <c r="N87" i="51" s="1"/>
  <c r="L104" i="62"/>
  <c r="L107" i="62"/>
  <c r="L108" i="62" s="1"/>
  <c r="O64" i="87"/>
  <c r="O67" i="87"/>
  <c r="O68" i="87" s="1"/>
  <c r="K100" i="9"/>
  <c r="K103" i="9" s="1"/>
  <c r="K104" i="9" s="1"/>
  <c r="E31" i="29"/>
  <c r="E36" i="29" s="1"/>
  <c r="E37" i="29" s="1"/>
  <c r="E94" i="25"/>
  <c r="E97" i="25"/>
  <c r="E98" i="25" s="1"/>
  <c r="N78" i="56"/>
  <c r="N81" i="56" s="1"/>
  <c r="N82" i="56" s="1"/>
  <c r="J104" i="45"/>
  <c r="J100" i="45"/>
  <c r="G68" i="57"/>
  <c r="G72" i="57"/>
  <c r="E94" i="74"/>
  <c r="E97" i="74" s="1"/>
  <c r="E98" i="74" s="1"/>
  <c r="D33" i="66"/>
  <c r="D36" i="66"/>
  <c r="D37" i="66" s="1"/>
  <c r="L33" i="66"/>
  <c r="L36" i="66"/>
  <c r="L37" i="66" s="1"/>
  <c r="D35" i="79"/>
  <c r="D38" i="79" s="1"/>
  <c r="D39" i="79" s="1"/>
  <c r="O31" i="80"/>
  <c r="O34" i="80" s="1"/>
  <c r="O35" i="80" s="1"/>
  <c r="G31" i="81"/>
  <c r="G34" i="81" s="1"/>
  <c r="G35" i="81" s="1"/>
  <c r="H67" i="59"/>
  <c r="H70" i="59" s="1"/>
  <c r="H71" i="59" s="1"/>
  <c r="D26" i="33"/>
  <c r="D30" i="33"/>
  <c r="Q94" i="76"/>
  <c r="Q90" i="76"/>
  <c r="F151" i="18"/>
  <c r="F155" i="18"/>
  <c r="G31" i="26"/>
  <c r="G36" i="26" s="1"/>
  <c r="G37" i="26" s="1"/>
  <c r="J81" i="31"/>
  <c r="J84" i="31" s="1"/>
  <c r="J85" i="31" s="1"/>
  <c r="L94" i="65"/>
  <c r="L97" i="65" s="1"/>
  <c r="L98" i="65" s="1"/>
  <c r="D31" i="37"/>
  <c r="D36" i="37" s="1"/>
  <c r="D37" i="37" s="1"/>
  <c r="G109" i="39"/>
  <c r="G113" i="39"/>
  <c r="N124" i="34"/>
  <c r="N128" i="34"/>
  <c r="J73" i="57"/>
  <c r="J76" i="57" s="1"/>
  <c r="J77" i="57" s="1"/>
  <c r="Q99" i="62"/>
  <c r="Q103" i="62"/>
  <c r="E30" i="72"/>
  <c r="E33" i="72"/>
  <c r="E34" i="72" s="1"/>
  <c r="I64" i="87"/>
  <c r="I67" i="87" s="1"/>
  <c r="I68" i="87" s="1"/>
  <c r="M35" i="79"/>
  <c r="M38" i="79" s="1"/>
  <c r="M39" i="79" s="1"/>
  <c r="G83" i="83"/>
  <c r="G87" i="83"/>
  <c r="N173" i="3"/>
  <c r="N178" i="3"/>
  <c r="N179" i="3" s="1"/>
  <c r="D31" i="44"/>
  <c r="D36" i="44" s="1"/>
  <c r="D37" i="44" s="1"/>
  <c r="D31" i="19"/>
  <c r="D36" i="19" s="1"/>
  <c r="D37" i="19" s="1"/>
  <c r="F78" i="56"/>
  <c r="F81" i="56" s="1"/>
  <c r="F82" i="56" s="1"/>
  <c r="D82" i="51"/>
  <c r="D78" i="51"/>
  <c r="I79" i="58"/>
  <c r="I75" i="58"/>
  <c r="D89" i="74"/>
  <c r="D93" i="74"/>
  <c r="D41" i="89"/>
  <c r="D44" i="89" s="1"/>
  <c r="D45" i="89" s="1"/>
  <c r="K95" i="91"/>
  <c r="K91" i="91"/>
  <c r="L129" i="34"/>
  <c r="L132" i="34" s="1"/>
  <c r="L133" i="34" s="1"/>
  <c r="D149" i="15"/>
  <c r="D145" i="15"/>
  <c r="K27" i="54"/>
  <c r="K32" i="54" s="1"/>
  <c r="K33" i="54" s="1"/>
  <c r="D31" i="41"/>
  <c r="D36" i="41" s="1"/>
  <c r="D37" i="41" s="1"/>
  <c r="H93" i="73"/>
  <c r="H96" i="73" s="1"/>
  <c r="H97" i="73" s="1"/>
  <c r="G80" i="78"/>
  <c r="G83" i="78"/>
  <c r="G84" i="78" s="1"/>
  <c r="N36" i="75"/>
  <c r="N32" i="75"/>
  <c r="F53" i="84"/>
  <c r="F56" i="84"/>
  <c r="F57" i="84" s="1"/>
  <c r="E76" i="31"/>
  <c r="E80" i="31"/>
  <c r="O79" i="48"/>
  <c r="O82" i="48" s="1"/>
  <c r="O83" i="48" s="1"/>
  <c r="L150" i="15"/>
  <c r="L153" i="15" s="1"/>
  <c r="L154" i="15" s="1"/>
  <c r="D31" i="11"/>
  <c r="D36" i="11" s="1"/>
  <c r="D37" i="11" s="1"/>
  <c r="O156" i="18"/>
  <c r="O159" i="18" s="1"/>
  <c r="O160" i="18" s="1"/>
  <c r="D31" i="43"/>
  <c r="D36" i="43" s="1"/>
  <c r="D37" i="43" s="1"/>
  <c r="H83" i="51"/>
  <c r="H86" i="51" s="1"/>
  <c r="H87" i="51" s="1"/>
  <c r="K104" i="62"/>
  <c r="K107" i="62" s="1"/>
  <c r="K108" i="62" s="1"/>
  <c r="I57" i="61"/>
  <c r="I53" i="61"/>
  <c r="H95" i="76"/>
  <c r="H98" i="76"/>
  <c r="H99" i="76" s="1"/>
  <c r="L48" i="84"/>
  <c r="L52" i="84"/>
  <c r="D91" i="90"/>
  <c r="D95" i="90"/>
  <c r="N93" i="65"/>
  <c r="N89" i="65"/>
  <c r="H96" i="88"/>
  <c r="H99" i="88"/>
  <c r="H100" i="88" s="1"/>
  <c r="O150" i="15"/>
  <c r="O153" i="15" s="1"/>
  <c r="O154" i="15" s="1"/>
  <c r="J112" i="42"/>
  <c r="J115" i="42"/>
  <c r="J116" i="42" s="1"/>
  <c r="Q80" i="58"/>
  <c r="Q83" i="58" s="1"/>
  <c r="Q84" i="58" s="1"/>
  <c r="I112" i="42"/>
  <c r="I115" i="42" s="1"/>
  <c r="I116" i="42" s="1"/>
  <c r="K94" i="74"/>
  <c r="K97" i="74" s="1"/>
  <c r="K98" i="74" s="1"/>
  <c r="E67" i="59"/>
  <c r="E70" i="59" s="1"/>
  <c r="E71" i="59" s="1"/>
  <c r="K82" i="70"/>
  <c r="K85" i="70" s="1"/>
  <c r="K86" i="70" s="1"/>
  <c r="O99" i="82"/>
  <c r="O102" i="82"/>
  <c r="O103" i="82" s="1"/>
  <c r="O104" i="62"/>
  <c r="O107" i="62" s="1"/>
  <c r="O108" i="62" s="1"/>
  <c r="O58" i="61"/>
  <c r="O61" i="61" s="1"/>
  <c r="O62" i="61" s="1"/>
  <c r="G93" i="73"/>
  <c r="G96" i="73" s="1"/>
  <c r="G97" i="73" s="1"/>
  <c r="D83" i="69"/>
  <c r="D86" i="69"/>
  <c r="D87" i="69" s="1"/>
  <c r="N156" i="18"/>
  <c r="N159" i="18" s="1"/>
  <c r="N160" i="18" s="1"/>
  <c r="G53" i="84"/>
  <c r="G56" i="84" s="1"/>
  <c r="G57" i="84" s="1"/>
  <c r="G78" i="56"/>
  <c r="G81" i="56" s="1"/>
  <c r="G82" i="56" s="1"/>
  <c r="M82" i="70"/>
  <c r="M85" i="70" s="1"/>
  <c r="M86" i="70" s="1"/>
  <c r="H96" i="91"/>
  <c r="H99" i="91" s="1"/>
  <c r="H100" i="91" s="1"/>
  <c r="Q34" i="55"/>
  <c r="Q30" i="55"/>
  <c r="M31" i="80"/>
  <c r="M34" i="80" s="1"/>
  <c r="M35" i="80" s="1"/>
  <c r="E26" i="32"/>
  <c r="E30" i="32"/>
  <c r="J44" i="89"/>
  <c r="J45" i="89" s="1"/>
  <c r="J41" i="89"/>
  <c r="H173" i="3"/>
  <c r="H178" i="3" s="1"/>
  <c r="H179" i="3" s="1"/>
  <c r="D31" i="23"/>
  <c r="D36" i="23" s="1"/>
  <c r="D37" i="23" s="1"/>
  <c r="Q114" i="36"/>
  <c r="Q26" i="36"/>
  <c r="O94" i="65"/>
  <c r="O97" i="65" s="1"/>
  <c r="O98" i="65" s="1"/>
  <c r="G96" i="88"/>
  <c r="G99" i="88" s="1"/>
  <c r="G100" i="88" s="1"/>
  <c r="M96" i="90"/>
  <c r="M99" i="90" s="1"/>
  <c r="M100" i="90" s="1"/>
  <c r="N36" i="89"/>
  <c r="N40" i="89"/>
  <c r="H30" i="92"/>
  <c r="H31" i="92" s="1"/>
  <c r="H27" i="92"/>
  <c r="G31" i="7"/>
  <c r="G36" i="7" s="1"/>
  <c r="G37" i="7" s="1"/>
  <c r="F26" i="6"/>
  <c r="F31" i="6" s="1"/>
  <c r="F32" i="6" s="1"/>
  <c r="D31" i="10"/>
  <c r="D36" i="10" s="1"/>
  <c r="D37" i="10" s="1"/>
  <c r="L78" i="56"/>
  <c r="L81" i="56"/>
  <c r="L82" i="56" s="1"/>
  <c r="D109" i="67"/>
  <c r="D113" i="67"/>
  <c r="M114" i="67"/>
  <c r="M117" i="67" s="1"/>
  <c r="M118" i="67" s="1"/>
  <c r="L80" i="68"/>
  <c r="L76" i="68"/>
  <c r="L41" i="89"/>
  <c r="L44" i="89"/>
  <c r="L45" i="89" s="1"/>
  <c r="K83" i="83"/>
  <c r="K87" i="83"/>
  <c r="O79" i="93"/>
  <c r="O82" i="93"/>
  <c r="O83" i="93" s="1"/>
  <c r="N124" i="28"/>
  <c r="N120" i="28"/>
  <c r="G31" i="13"/>
  <c r="G36" i="13" s="1"/>
  <c r="G37" i="13" s="1"/>
  <c r="N73" i="57"/>
  <c r="N76" i="57" s="1"/>
  <c r="N77" i="57" s="1"/>
  <c r="Q72" i="57"/>
  <c r="Q68" i="57"/>
  <c r="I104" i="62"/>
  <c r="I107" i="62" s="1"/>
  <c r="I108" i="62" s="1"/>
  <c r="J83" i="51"/>
  <c r="J86" i="51" s="1"/>
  <c r="J87" i="51" s="1"/>
  <c r="D31" i="22"/>
  <c r="D36" i="22" s="1"/>
  <c r="D37" i="22" s="1"/>
  <c r="D154" i="12"/>
  <c r="D158" i="12"/>
  <c r="J79" i="48"/>
  <c r="J82" i="48" s="1"/>
  <c r="J83" i="48" s="1"/>
  <c r="I59" i="64"/>
  <c r="I63" i="64"/>
  <c r="D29" i="71"/>
  <c r="D32" i="71" s="1"/>
  <c r="D33" i="71" s="1"/>
  <c r="I31" i="80"/>
  <c r="I34" i="80"/>
  <c r="I35" i="80" s="1"/>
  <c r="G39" i="86"/>
  <c r="G42" i="86" s="1"/>
  <c r="G43" i="86" s="1"/>
  <c r="E96" i="91"/>
  <c r="E99" i="91"/>
  <c r="E100" i="91" s="1"/>
  <c r="J29" i="71"/>
  <c r="J32" i="71" s="1"/>
  <c r="J33" i="71" s="1"/>
  <c r="H38" i="86"/>
  <c r="H34" i="86"/>
  <c r="E31" i="8"/>
  <c r="E36" i="8" s="1"/>
  <c r="E37" i="8" s="1"/>
  <c r="I114" i="39"/>
  <c r="I117" i="39"/>
  <c r="I118" i="39" s="1"/>
  <c r="I149" i="15"/>
  <c r="I145" i="15"/>
  <c r="F124" i="28"/>
  <c r="F120" i="28"/>
  <c r="G107" i="62"/>
  <c r="G108" i="62" s="1"/>
  <c r="G104" i="62"/>
  <c r="O67" i="59"/>
  <c r="O70" i="59"/>
  <c r="O71" i="59" s="1"/>
  <c r="F93" i="65"/>
  <c r="F89" i="65"/>
  <c r="F30" i="72"/>
  <c r="F33" i="72"/>
  <c r="F34" i="72" s="1"/>
  <c r="L38" i="79"/>
  <c r="L39" i="79" s="1"/>
  <c r="L35" i="79"/>
  <c r="M98" i="82"/>
  <c r="M94" i="82"/>
  <c r="J89" i="25"/>
  <c r="J93" i="25"/>
  <c r="N114" i="67"/>
  <c r="N117" i="67" s="1"/>
  <c r="N118" i="67" s="1"/>
  <c r="O41" i="89"/>
  <c r="O44" i="89" s="1"/>
  <c r="O45" i="89" s="1"/>
  <c r="O35" i="55"/>
  <c r="O38" i="55" s="1"/>
  <c r="O39" i="55" s="1"/>
  <c r="F149" i="15"/>
  <c r="F145" i="15"/>
  <c r="I62" i="60"/>
  <c r="I65" i="60"/>
  <c r="I66" i="60" s="1"/>
  <c r="G26" i="40"/>
  <c r="G30" i="40"/>
  <c r="L61" i="60"/>
  <c r="L57" i="60"/>
  <c r="I89" i="65"/>
  <c r="I93" i="65"/>
  <c r="D31" i="81"/>
  <c r="D34" i="81"/>
  <c r="D35" i="81" s="1"/>
  <c r="K27" i="92"/>
  <c r="K30" i="92" s="1"/>
  <c r="K31" i="92" s="1"/>
  <c r="L83" i="51"/>
  <c r="L86" i="51"/>
  <c r="L87" i="51" s="1"/>
  <c r="H150" i="15"/>
  <c r="H153" i="15" s="1"/>
  <c r="H154" i="15" s="1"/>
  <c r="Q55" i="18"/>
  <c r="Q150" i="18"/>
  <c r="H31" i="6"/>
  <c r="H32" i="6" s="1"/>
  <c r="H26" i="6"/>
  <c r="G26" i="14"/>
  <c r="G30" i="14"/>
  <c r="H119" i="36"/>
  <c r="H115" i="36"/>
  <c r="K114" i="67"/>
  <c r="K117" i="67"/>
  <c r="K118" i="67" s="1"/>
  <c r="G86" i="69"/>
  <c r="G87" i="69" s="1"/>
  <c r="G83" i="69"/>
  <c r="K89" i="65"/>
  <c r="K93" i="65"/>
  <c r="M94" i="74"/>
  <c r="M97" i="74" s="1"/>
  <c r="M98" i="74" s="1"/>
  <c r="K29" i="72"/>
  <c r="K25" i="72"/>
  <c r="L31" i="80"/>
  <c r="L34" i="80" s="1"/>
  <c r="L35" i="80" s="1"/>
  <c r="K159" i="12"/>
  <c r="K162" i="12"/>
  <c r="K163" i="12" s="1"/>
  <c r="E88" i="73"/>
  <c r="E92" i="73"/>
  <c r="D80" i="78"/>
  <c r="D83" i="78"/>
  <c r="D84" i="78" s="1"/>
  <c r="J120" i="36"/>
  <c r="J123" i="36" s="1"/>
  <c r="J124" i="36" s="1"/>
  <c r="G82" i="70"/>
  <c r="G85" i="70"/>
  <c r="G86" i="70" s="1"/>
  <c r="D39" i="86"/>
  <c r="D42" i="86" s="1"/>
  <c r="D43" i="86" s="1"/>
  <c r="D173" i="3"/>
  <c r="D178" i="3"/>
  <c r="D179" i="3" s="1"/>
  <c r="I132" i="34"/>
  <c r="I133" i="34" s="1"/>
  <c r="I129" i="34"/>
  <c r="Q26" i="6"/>
  <c r="Q31" i="6" s="1"/>
  <c r="Q32" i="6" s="1"/>
  <c r="I35" i="55"/>
  <c r="I38" i="55" s="1"/>
  <c r="I39" i="55" s="1"/>
  <c r="N67" i="59"/>
  <c r="N70" i="59"/>
  <c r="N71" i="59" s="1"/>
  <c r="I88" i="83"/>
  <c r="I91" i="83" s="1"/>
  <c r="I92" i="83" s="1"/>
  <c r="D100" i="9"/>
  <c r="D103" i="9" s="1"/>
  <c r="D104" i="9" s="1"/>
  <c r="I91" i="63"/>
  <c r="I94" i="63" s="1"/>
  <c r="I95" i="63" s="1"/>
  <c r="E80" i="78"/>
  <c r="E83" i="78"/>
  <c r="E84" i="78" s="1"/>
  <c r="L67" i="59"/>
  <c r="L70" i="59" s="1"/>
  <c r="L71" i="59" s="1"/>
  <c r="D64" i="87"/>
  <c r="D67" i="87"/>
  <c r="D68" i="87" s="1"/>
  <c r="F94" i="25"/>
  <c r="F97" i="25" s="1"/>
  <c r="F98" i="25" s="1"/>
  <c r="Q31" i="85"/>
  <c r="Q34" i="85" s="1"/>
  <c r="Q35" i="85" s="1"/>
  <c r="Q31" i="81"/>
  <c r="Q34" i="81" s="1"/>
  <c r="Q35" i="81" s="1"/>
  <c r="K64" i="87"/>
  <c r="K67" i="87" s="1"/>
  <c r="K68" i="87" s="1"/>
  <c r="E39" i="86"/>
  <c r="E42" i="86" s="1"/>
  <c r="E43" i="86" s="1"/>
  <c r="G31" i="94"/>
  <c r="G36" i="94" s="1"/>
  <c r="G37" i="94" s="1"/>
  <c r="G31" i="41"/>
  <c r="G36" i="41" s="1"/>
  <c r="G37" i="41" s="1"/>
  <c r="F35" i="55"/>
  <c r="F38" i="55" s="1"/>
  <c r="F39" i="55" s="1"/>
  <c r="E31" i="13"/>
  <c r="E36" i="13" s="1"/>
  <c r="E37" i="13" s="1"/>
  <c r="G31" i="35"/>
  <c r="G36" i="35" s="1"/>
  <c r="G37" i="35" s="1"/>
  <c r="D31" i="32"/>
  <c r="D36" i="32" s="1"/>
  <c r="D37" i="32" s="1"/>
  <c r="J125" i="28"/>
  <c r="J128" i="28" s="1"/>
  <c r="J129" i="28" s="1"/>
  <c r="I27" i="54"/>
  <c r="I32" i="54" s="1"/>
  <c r="I33" i="54" s="1"/>
  <c r="Q108" i="39"/>
  <c r="Q24" i="39"/>
  <c r="M81" i="68"/>
  <c r="M84" i="68" s="1"/>
  <c r="M85" i="68" s="1"/>
  <c r="D36" i="75"/>
  <c r="D32" i="75"/>
  <c r="L80" i="78"/>
  <c r="L83" i="78" s="1"/>
  <c r="L84" i="78" s="1"/>
  <c r="J88" i="83"/>
  <c r="J91" i="83" s="1"/>
  <c r="J92" i="83" s="1"/>
  <c r="O96" i="88"/>
  <c r="O99" i="88" s="1"/>
  <c r="O100" i="88" s="1"/>
  <c r="I91" i="90"/>
  <c r="I95" i="90"/>
  <c r="N96" i="91"/>
  <c r="N99" i="91" s="1"/>
  <c r="N100" i="91" s="1"/>
  <c r="G94" i="65"/>
  <c r="G97" i="65"/>
  <c r="G98" i="65" s="1"/>
  <c r="M24" i="77"/>
  <c r="M28" i="77"/>
  <c r="I96" i="91"/>
  <c r="I99" i="91" s="1"/>
  <c r="I100" i="91" s="1"/>
  <c r="E112" i="42"/>
  <c r="E115" i="42" s="1"/>
  <c r="E116" i="42" s="1"/>
  <c r="J62" i="60"/>
  <c r="J65" i="60" s="1"/>
  <c r="J66" i="60" s="1"/>
  <c r="L120" i="36"/>
  <c r="L123" i="36" s="1"/>
  <c r="L124" i="36" s="1"/>
  <c r="D82" i="70"/>
  <c r="D85" i="70" s="1"/>
  <c r="D86" i="70" s="1"/>
  <c r="G105" i="45"/>
  <c r="G108" i="45" s="1"/>
  <c r="G109" i="45" s="1"/>
  <c r="G58" i="61"/>
  <c r="G61" i="61" s="1"/>
  <c r="G62" i="61" s="1"/>
  <c r="F96" i="91"/>
  <c r="F99" i="91" s="1"/>
  <c r="F100" i="91" s="1"/>
  <c r="I156" i="18"/>
  <c r="I159" i="18" s="1"/>
  <c r="I160" i="18" s="1"/>
  <c r="O173" i="3"/>
  <c r="O178" i="3" s="1"/>
  <c r="O179" i="3" s="1"/>
  <c r="O64" i="64"/>
  <c r="O67" i="64" s="1"/>
  <c r="O68" i="64" s="1"/>
  <c r="N91" i="63"/>
  <c r="N94" i="63" s="1"/>
  <c r="N95" i="63" s="1"/>
  <c r="J95" i="76"/>
  <c r="J98" i="76"/>
  <c r="J99" i="76" s="1"/>
  <c r="K39" i="86"/>
  <c r="K42" i="86" s="1"/>
  <c r="K43" i="86" s="1"/>
  <c r="L156" i="18"/>
  <c r="L159" i="18"/>
  <c r="L160" i="18" s="1"/>
  <c r="O96" i="73"/>
  <c r="O97" i="73" s="1"/>
  <c r="O93" i="73"/>
  <c r="O105" i="45"/>
  <c r="O108" i="45" s="1"/>
  <c r="O109" i="45" s="1"/>
  <c r="L83" i="69"/>
  <c r="L86" i="69" s="1"/>
  <c r="L87" i="69" s="1"/>
  <c r="I79" i="93"/>
  <c r="I82" i="93" s="1"/>
  <c r="I83" i="93" s="1"/>
  <c r="M178" i="3"/>
  <c r="M179" i="3" s="1"/>
  <c r="M173" i="3"/>
  <c r="G150" i="15"/>
  <c r="G153" i="15"/>
  <c r="G154" i="15" s="1"/>
  <c r="I29" i="71"/>
  <c r="I32" i="71" s="1"/>
  <c r="I33" i="71" s="1"/>
  <c r="J81" i="68"/>
  <c r="J84" i="68" s="1"/>
  <c r="J85" i="68" s="1"/>
  <c r="G100" i="9"/>
  <c r="G103" i="9" s="1"/>
  <c r="G104" i="9" s="1"/>
  <c r="D74" i="48"/>
  <c r="D78" i="48"/>
  <c r="I41" i="89"/>
  <c r="I44" i="89" s="1"/>
  <c r="I45" i="89" s="1"/>
  <c r="G26" i="46"/>
  <c r="G30" i="46"/>
  <c r="M30" i="72"/>
  <c r="M33" i="72" s="1"/>
  <c r="M34" i="72" s="1"/>
  <c r="G79" i="93"/>
  <c r="G82" i="93"/>
  <c r="G83" i="93" s="1"/>
  <c r="N81" i="31"/>
  <c r="N84" i="31" s="1"/>
  <c r="N85" i="31" s="1"/>
  <c r="J67" i="59"/>
  <c r="J70" i="59"/>
  <c r="J71" i="59" s="1"/>
  <c r="D53" i="84"/>
  <c r="D56" i="84" s="1"/>
  <c r="D57" i="84" s="1"/>
  <c r="E26" i="6"/>
  <c r="E31" i="6" s="1"/>
  <c r="E32" i="6" s="1"/>
  <c r="D26" i="7"/>
  <c r="D30" i="7"/>
  <c r="F100" i="21"/>
  <c r="F96" i="21"/>
  <c r="G31" i="8"/>
  <c r="G36" i="8" s="1"/>
  <c r="G37" i="8" s="1"/>
  <c r="D105" i="45"/>
  <c r="D108" i="45"/>
  <c r="D109" i="45" s="1"/>
  <c r="F73" i="57"/>
  <c r="F76" i="57" s="1"/>
  <c r="F77" i="57" s="1"/>
  <c r="D80" i="68"/>
  <c r="D76" i="68"/>
  <c r="M98" i="76"/>
  <c r="M99" i="76" s="1"/>
  <c r="M95" i="76"/>
  <c r="J30" i="79"/>
  <c r="J34" i="79"/>
  <c r="L31" i="81"/>
  <c r="L34" i="81" s="1"/>
  <c r="L35" i="81" s="1"/>
  <c r="L91" i="88"/>
  <c r="L95" i="88"/>
  <c r="E31" i="95"/>
  <c r="E36" i="95" s="1"/>
  <c r="E37" i="95" s="1"/>
  <c r="J83" i="69"/>
  <c r="J86" i="69"/>
  <c r="J87" i="69" s="1"/>
  <c r="G158" i="12"/>
  <c r="G154" i="12"/>
  <c r="I96" i="21"/>
  <c r="I100" i="21"/>
  <c r="I119" i="36"/>
  <c r="I115" i="36"/>
  <c r="G31" i="43"/>
  <c r="G36" i="43" s="1"/>
  <c r="G37" i="43" s="1"/>
  <c r="M67" i="59"/>
  <c r="M70" i="59" s="1"/>
  <c r="M71" i="59" s="1"/>
  <c r="K35" i="55"/>
  <c r="K38" i="55"/>
  <c r="K39" i="55" s="1"/>
  <c r="J28" i="66"/>
  <c r="J32" i="66"/>
  <c r="O95" i="76"/>
  <c r="O98" i="76"/>
  <c r="O99" i="76" s="1"/>
  <c r="N53" i="84"/>
  <c r="N56" i="84" s="1"/>
  <c r="N57" i="84" s="1"/>
  <c r="I91" i="88"/>
  <c r="I95" i="88"/>
  <c r="N27" i="92"/>
  <c r="N30" i="92" s="1"/>
  <c r="N31" i="92" s="1"/>
  <c r="O96" i="91"/>
  <c r="O99" i="91"/>
  <c r="O100" i="91" s="1"/>
  <c r="J27" i="92"/>
  <c r="J30" i="92" s="1"/>
  <c r="J31" i="92" s="1"/>
  <c r="D151" i="18"/>
  <c r="D155" i="18"/>
  <c r="G38" i="55"/>
  <c r="G39" i="55" s="1"/>
  <c r="G35" i="55"/>
  <c r="O29" i="77"/>
  <c r="O32" i="77"/>
  <c r="O33" i="77" s="1"/>
  <c r="K36" i="89"/>
  <c r="K40" i="89"/>
  <c r="M64" i="64"/>
  <c r="M67" i="64"/>
  <c r="M68" i="64" s="1"/>
  <c r="N26" i="6"/>
  <c r="N31" i="6" s="1"/>
  <c r="N32" i="6" s="1"/>
  <c r="F173" i="3"/>
  <c r="F178" i="3"/>
  <c r="F179" i="3" s="1"/>
  <c r="L81" i="31"/>
  <c r="L84" i="31" s="1"/>
  <c r="L85" i="31" s="1"/>
  <c r="K129" i="34"/>
  <c r="K132" i="34"/>
  <c r="K133" i="34" s="1"/>
  <c r="L115" i="42"/>
  <c r="L116" i="42" s="1"/>
  <c r="L112" i="42"/>
  <c r="G80" i="58"/>
  <c r="G83" i="58"/>
  <c r="G84" i="58" s="1"/>
  <c r="E78" i="56"/>
  <c r="E81" i="56" s="1"/>
  <c r="E82" i="56" s="1"/>
  <c r="H111" i="42"/>
  <c r="H107" i="42"/>
  <c r="F96" i="73"/>
  <c r="F97" i="73" s="1"/>
  <c r="F93" i="73"/>
  <c r="J94" i="74"/>
  <c r="J97" i="74"/>
  <c r="J98" i="74" s="1"/>
  <c r="K80" i="78"/>
  <c r="K83" i="78" s="1"/>
  <c r="K84" i="78" s="1"/>
  <c r="E53" i="84"/>
  <c r="E56" i="84" s="1"/>
  <c r="E57" i="84" s="1"/>
  <c r="F34" i="81"/>
  <c r="F35" i="81" s="1"/>
  <c r="F31" i="81"/>
  <c r="M87" i="83"/>
  <c r="M83" i="83"/>
  <c r="G31" i="11"/>
  <c r="G36" i="11" s="1"/>
  <c r="G37" i="11" s="1"/>
  <c r="E31" i="27"/>
  <c r="E36" i="27" s="1"/>
  <c r="E37" i="27" s="1"/>
  <c r="L35" i="55"/>
  <c r="L38" i="55" s="1"/>
  <c r="L39" i="55" s="1"/>
  <c r="L120" i="28"/>
  <c r="L124" i="28"/>
  <c r="F64" i="64"/>
  <c r="F67" i="64" s="1"/>
  <c r="F68" i="64" s="1"/>
  <c r="N62" i="60"/>
  <c r="N65" i="60" s="1"/>
  <c r="N66" i="60" s="1"/>
  <c r="K63" i="64"/>
  <c r="K59" i="64"/>
  <c r="D29" i="77"/>
  <c r="D32" i="77" s="1"/>
  <c r="D33" i="77" s="1"/>
  <c r="N31" i="80"/>
  <c r="N34" i="80" s="1"/>
  <c r="N35" i="80" s="1"/>
  <c r="N64" i="87"/>
  <c r="N67" i="87"/>
  <c r="N68" i="87" s="1"/>
  <c r="K99" i="88"/>
  <c r="K100" i="88" s="1"/>
  <c r="K96" i="88"/>
  <c r="G173" i="3"/>
  <c r="G178" i="3" s="1"/>
  <c r="G179" i="3" s="1"/>
  <c r="M76" i="31"/>
  <c r="M80" i="31"/>
  <c r="D31" i="38"/>
  <c r="D36" i="38" s="1"/>
  <c r="D37" i="38" s="1"/>
  <c r="M108" i="45"/>
  <c r="M109" i="45" s="1"/>
  <c r="M105" i="45"/>
  <c r="G67" i="59"/>
  <c r="G70" i="59" s="1"/>
  <c r="G71" i="59" s="1"/>
  <c r="E62" i="60"/>
  <c r="E65" i="60" s="1"/>
  <c r="E66" i="60" s="1"/>
  <c r="Q87" i="73"/>
  <c r="Q20" i="73"/>
  <c r="H77" i="70"/>
  <c r="H81" i="70"/>
  <c r="G29" i="71"/>
  <c r="G32" i="71"/>
  <c r="G33" i="71" s="1"/>
  <c r="N88" i="83"/>
  <c r="N91" i="83" s="1"/>
  <c r="N92" i="83" s="1"/>
  <c r="I99" i="82"/>
  <c r="I102" i="82"/>
  <c r="I103" i="82" s="1"/>
  <c r="Q90" i="88"/>
  <c r="Q22" i="88"/>
  <c r="L91" i="63"/>
  <c r="L94" i="63"/>
  <c r="L95" i="63" s="1"/>
  <c r="D31" i="26"/>
  <c r="D36" i="26" s="1"/>
  <c r="D37" i="26" s="1"/>
  <c r="H151" i="18"/>
  <c r="H155" i="18"/>
  <c r="D115" i="36"/>
  <c r="D119" i="36"/>
  <c r="D26" i="50"/>
  <c r="D30" i="50"/>
  <c r="G111" i="42"/>
  <c r="G107" i="42"/>
  <c r="L80" i="58"/>
  <c r="L83" i="58" s="1"/>
  <c r="L84" i="58" s="1"/>
  <c r="E83" i="69"/>
  <c r="E86" i="69" s="1"/>
  <c r="E87" i="69" s="1"/>
  <c r="D94" i="65"/>
  <c r="D97" i="65" s="1"/>
  <c r="D98" i="65" s="1"/>
  <c r="H88" i="83"/>
  <c r="H91" i="83" s="1"/>
  <c r="H92" i="83" s="1"/>
  <c r="H31" i="81"/>
  <c r="H34" i="81" s="1"/>
  <c r="H35" i="81" s="1"/>
  <c r="F27" i="92"/>
  <c r="F30" i="92" s="1"/>
  <c r="F31" i="92" s="1"/>
  <c r="E173" i="3"/>
  <c r="E178" i="3" s="1"/>
  <c r="E179" i="3" s="1"/>
  <c r="D112" i="42"/>
  <c r="D115" i="42" s="1"/>
  <c r="D116" i="42" s="1"/>
  <c r="J96" i="88"/>
  <c r="J99" i="88" s="1"/>
  <c r="J100" i="88" s="1"/>
  <c r="J56" i="84"/>
  <c r="J57" i="84" s="1"/>
  <c r="J53" i="84"/>
  <c r="D101" i="21"/>
  <c r="D104" i="21"/>
  <c r="D105" i="21" s="1"/>
  <c r="K67" i="59"/>
  <c r="K70" i="59" s="1"/>
  <c r="K71" i="59" s="1"/>
  <c r="I79" i="48"/>
  <c r="I82" i="48"/>
  <c r="I83" i="48" s="1"/>
  <c r="F114" i="39"/>
  <c r="F117" i="39" s="1"/>
  <c r="F118" i="39" s="1"/>
  <c r="F96" i="88"/>
  <c r="F99" i="88"/>
  <c r="F100" i="88" s="1"/>
  <c r="M80" i="58"/>
  <c r="M83" i="58" s="1"/>
  <c r="M84" i="58" s="1"/>
  <c r="Q33" i="66"/>
  <c r="Q36" i="66"/>
  <c r="Q37" i="66" s="1"/>
  <c r="E81" i="68"/>
  <c r="E84" i="68" s="1"/>
  <c r="E85" i="68" s="1"/>
  <c r="D96" i="91"/>
  <c r="D99" i="91"/>
  <c r="D100" i="91" s="1"/>
  <c r="M79" i="93"/>
  <c r="M82" i="93" s="1"/>
  <c r="M83" i="93" s="1"/>
  <c r="E31" i="7"/>
  <c r="E36" i="7" s="1"/>
  <c r="E37" i="7" s="1"/>
  <c r="Q22" i="54"/>
  <c r="Q26" i="54"/>
  <c r="Q78" i="48"/>
  <c r="Q74" i="48"/>
  <c r="G31" i="47"/>
  <c r="G36" i="47" s="1"/>
  <c r="G37" i="47" s="1"/>
  <c r="K91" i="63"/>
  <c r="K94" i="63" s="1"/>
  <c r="K95" i="63" s="1"/>
  <c r="M56" i="84"/>
  <c r="M57" i="84" s="1"/>
  <c r="M53" i="84"/>
  <c r="L93" i="73"/>
  <c r="L96" i="73"/>
  <c r="L97" i="73" s="1"/>
  <c r="D61" i="60"/>
  <c r="D57" i="60"/>
  <c r="F79" i="93"/>
  <c r="F82" i="93"/>
  <c r="F83" i="93" s="1"/>
  <c r="D80" i="31"/>
  <c r="D76" i="31"/>
  <c r="E31" i="22"/>
  <c r="E36" i="22" s="1"/>
  <c r="E37" i="22" s="1"/>
  <c r="D26" i="8"/>
  <c r="D30" i="8"/>
  <c r="H105" i="45"/>
  <c r="H108" i="45"/>
  <c r="H109" i="45" s="1"/>
  <c r="F159" i="12"/>
  <c r="F162" i="12" s="1"/>
  <c r="F163" i="12" s="1"/>
  <c r="H159" i="12"/>
  <c r="H162" i="12" s="1"/>
  <c r="H163" i="12" s="1"/>
  <c r="D31" i="13"/>
  <c r="D36" i="13" s="1"/>
  <c r="D37" i="13" s="1"/>
  <c r="E30" i="4"/>
  <c r="E26" i="4"/>
  <c r="G31" i="44"/>
  <c r="G36" i="44" s="1"/>
  <c r="G37" i="44" s="1"/>
  <c r="N93" i="73"/>
  <c r="N96" i="73" s="1"/>
  <c r="N97" i="73" s="1"/>
  <c r="I31" i="85"/>
  <c r="I34" i="85" s="1"/>
  <c r="I35" i="85" s="1"/>
  <c r="N79" i="93"/>
  <c r="N82" i="93"/>
  <c r="N83" i="93" s="1"/>
  <c r="H80" i="78"/>
  <c r="H83" i="78" s="1"/>
  <c r="H84" i="78" s="1"/>
  <c r="G31" i="29"/>
  <c r="G36" i="29" s="1"/>
  <c r="G37" i="29" s="1"/>
  <c r="M129" i="34"/>
  <c r="M132" i="34" s="1"/>
  <c r="M133" i="34" s="1"/>
  <c r="K61" i="60"/>
  <c r="K57" i="60"/>
  <c r="G114" i="67"/>
  <c r="G117" i="67" s="1"/>
  <c r="G118" i="67" s="1"/>
  <c r="O29" i="71"/>
  <c r="O32" i="71"/>
  <c r="O33" i="71" s="1"/>
  <c r="E57" i="61"/>
  <c r="E53" i="61"/>
  <c r="J29" i="77"/>
  <c r="J32" i="77"/>
  <c r="J33" i="77" s="1"/>
  <c r="G31" i="80"/>
  <c r="G34" i="80" s="1"/>
  <c r="G35" i="80" s="1"/>
  <c r="K94" i="82"/>
  <c r="K98" i="82"/>
  <c r="E156" i="18"/>
  <c r="E159" i="18" s="1"/>
  <c r="E160" i="18" s="1"/>
  <c r="J82" i="70"/>
  <c r="J85" i="70"/>
  <c r="J86" i="70" s="1"/>
  <c r="H25" i="72"/>
  <c r="H29" i="72"/>
  <c r="O114" i="39"/>
  <c r="O117" i="39" s="1"/>
  <c r="O118" i="39" s="1"/>
  <c r="K120" i="36"/>
  <c r="K123" i="36" s="1"/>
  <c r="K124" i="36" s="1"/>
  <c r="D35" i="55"/>
  <c r="D38" i="55"/>
  <c r="D39" i="55" s="1"/>
  <c r="E149" i="15"/>
  <c r="E145" i="15"/>
  <c r="D31" i="52"/>
  <c r="D36" i="52" s="1"/>
  <c r="D37" i="52" s="1"/>
  <c r="G78" i="51"/>
  <c r="G82" i="51"/>
  <c r="F120" i="36"/>
  <c r="F123" i="36" s="1"/>
  <c r="F124" i="36" s="1"/>
  <c r="E83" i="51"/>
  <c r="E86" i="51" s="1"/>
  <c r="E87" i="51" s="1"/>
  <c r="E80" i="58"/>
  <c r="E83" i="58"/>
  <c r="E84" i="58" s="1"/>
  <c r="H104" i="62"/>
  <c r="H107" i="62" s="1"/>
  <c r="H108" i="62" s="1"/>
  <c r="H37" i="75"/>
  <c r="H40" i="75"/>
  <c r="H41" i="75" s="1"/>
  <c r="J31" i="81"/>
  <c r="J34" i="81" s="1"/>
  <c r="J35" i="81" s="1"/>
  <c r="D90" i="76"/>
  <c r="D94" i="76"/>
  <c r="G89" i="25"/>
  <c r="G93" i="25"/>
  <c r="E30" i="81"/>
  <c r="E26" i="81"/>
  <c r="O34" i="86"/>
  <c r="O38" i="86"/>
  <c r="M149" i="15"/>
  <c r="M145" i="15"/>
  <c r="N79" i="48"/>
  <c r="N82" i="48" s="1"/>
  <c r="N83" i="48" s="1"/>
  <c r="D67" i="59"/>
  <c r="D70" i="59" s="1"/>
  <c r="D71" i="59" s="1"/>
  <c r="H29" i="71"/>
  <c r="H32" i="71" s="1"/>
  <c r="H33" i="71" s="1"/>
  <c r="J64" i="87"/>
  <c r="J67" i="87" s="1"/>
  <c r="J68" i="87" s="1"/>
  <c r="J79" i="93"/>
  <c r="J82" i="93" s="1"/>
  <c r="J83" i="93" s="1"/>
  <c r="O101" i="21"/>
  <c r="O104" i="21"/>
  <c r="O105" i="21" s="1"/>
  <c r="L154" i="12"/>
  <c r="L158" i="12"/>
  <c r="E31" i="41"/>
  <c r="E36" i="41" s="1"/>
  <c r="E37" i="41" s="1"/>
  <c r="E120" i="36"/>
  <c r="E123" i="36" s="1"/>
  <c r="E124" i="36" s="1"/>
  <c r="G62" i="60"/>
  <c r="G65" i="60"/>
  <c r="G66" i="60" s="1"/>
  <c r="K33" i="66"/>
  <c r="K36" i="66" s="1"/>
  <c r="K37" i="66" s="1"/>
  <c r="G35" i="79"/>
  <c r="G38" i="79"/>
  <c r="G39" i="79" s="1"/>
  <c r="D27" i="92"/>
  <c r="D30" i="92" s="1"/>
  <c r="D31" i="92" s="1"/>
  <c r="L173" i="3"/>
  <c r="L178" i="3"/>
  <c r="L179" i="3" s="1"/>
  <c r="M26" i="6"/>
  <c r="M31" i="6" s="1"/>
  <c r="M32" i="6" s="1"/>
  <c r="E93" i="65"/>
  <c r="E89" i="65"/>
  <c r="F29" i="71"/>
  <c r="F32" i="71" s="1"/>
  <c r="F33" i="71" s="1"/>
  <c r="G151" i="18"/>
  <c r="G155" i="18"/>
  <c r="J159" i="12"/>
  <c r="J162" i="12" s="1"/>
  <c r="J163" i="12" s="1"/>
  <c r="G31" i="49"/>
  <c r="G36" i="49" s="1"/>
  <c r="G37" i="49" s="1"/>
  <c r="M114" i="39"/>
  <c r="M117" i="39" s="1"/>
  <c r="M118" i="39" s="1"/>
  <c r="K80" i="58"/>
  <c r="K83" i="58" s="1"/>
  <c r="K84" i="58" s="1"/>
  <c r="Q88" i="65"/>
  <c r="Q30" i="65"/>
  <c r="Q31" i="75"/>
  <c r="Q21" i="75"/>
  <c r="N29" i="71"/>
  <c r="N32" i="71" s="1"/>
  <c r="N33" i="71" s="1"/>
  <c r="Q25" i="72"/>
  <c r="Q29" i="72"/>
  <c r="H79" i="93"/>
  <c r="H82" i="93" s="1"/>
  <c r="H83" i="93" s="1"/>
  <c r="H114" i="39"/>
  <c r="H117" i="39"/>
  <c r="H118" i="39" s="1"/>
  <c r="D31" i="35"/>
  <c r="D36" i="35" s="1"/>
  <c r="D37" i="35" s="1"/>
  <c r="I31" i="81"/>
  <c r="I34" i="81"/>
  <c r="I35" i="81" s="1"/>
  <c r="M94" i="25"/>
  <c r="M97" i="25" s="1"/>
  <c r="M98" i="25" s="1"/>
  <c r="G31" i="5"/>
  <c r="G36" i="5" s="1"/>
  <c r="G37" i="5" s="1"/>
  <c r="G31" i="37"/>
  <c r="G36" i="37" s="1"/>
  <c r="G37" i="37" s="1"/>
  <c r="E31" i="38"/>
  <c r="E36" i="38" s="1"/>
  <c r="E37" i="38" s="1"/>
  <c r="H64" i="64"/>
  <c r="H67" i="64" s="1"/>
  <c r="H68" i="64" s="1"/>
  <c r="H79" i="48"/>
  <c r="H82" i="48"/>
  <c r="H83" i="48" s="1"/>
  <c r="Q76" i="68"/>
  <c r="Q80" i="68"/>
  <c r="J93" i="73"/>
  <c r="J96" i="73"/>
  <c r="J97" i="73" s="1"/>
  <c r="I94" i="74"/>
  <c r="I97" i="74" s="1"/>
  <c r="I98" i="74" s="1"/>
  <c r="L98" i="82"/>
  <c r="L94" i="82"/>
  <c r="E91" i="90"/>
  <c r="E95" i="90"/>
  <c r="I82" i="70"/>
  <c r="I85" i="70" s="1"/>
  <c r="I86" i="70" s="1"/>
  <c r="F95" i="76"/>
  <c r="F98" i="76" s="1"/>
  <c r="F99" i="76" s="1"/>
  <c r="I70" i="59"/>
  <c r="I71" i="59" s="1"/>
  <c r="I67" i="59"/>
  <c r="N99" i="82"/>
  <c r="N102" i="82" s="1"/>
  <c r="N103" i="82" s="1"/>
  <c r="F58" i="61"/>
  <c r="F61" i="61" s="1"/>
  <c r="F62" i="61" s="1"/>
  <c r="G64" i="64"/>
  <c r="G67" i="64" s="1"/>
  <c r="G68" i="64" s="1"/>
  <c r="K105" i="45"/>
  <c r="K108" i="45" s="1"/>
  <c r="K109" i="45" s="1"/>
  <c r="O80" i="78"/>
  <c r="O83" i="78"/>
  <c r="O84" i="78" s="1"/>
  <c r="G101" i="21"/>
  <c r="G104" i="21" s="1"/>
  <c r="G105" i="21" s="1"/>
  <c r="Q78" i="56"/>
  <c r="Q81" i="56" s="1"/>
  <c r="Q82" i="56" s="1"/>
  <c r="E82" i="70"/>
  <c r="E85" i="70" s="1"/>
  <c r="E86" i="70" s="1"/>
  <c r="M93" i="73"/>
  <c r="M96" i="73"/>
  <c r="M97" i="73" s="1"/>
  <c r="I100" i="9"/>
  <c r="I103" i="9" s="1"/>
  <c r="I104" i="9" s="1"/>
  <c r="K58" i="61"/>
  <c r="K61" i="61" s="1"/>
  <c r="K62" i="61" s="1"/>
  <c r="L79" i="93"/>
  <c r="L82" i="93" s="1"/>
  <c r="L83" i="93" s="1"/>
  <c r="I81" i="31"/>
  <c r="I84" i="31" s="1"/>
  <c r="I85" i="31" s="1"/>
  <c r="J75" i="58"/>
  <c r="J79" i="58"/>
  <c r="Q80" i="31"/>
  <c r="Q76" i="31"/>
  <c r="I105" i="45"/>
  <c r="I108" i="45" s="1"/>
  <c r="I109" i="45" s="1"/>
  <c r="M120" i="36"/>
  <c r="M123" i="36"/>
  <c r="M124" i="36" s="1"/>
  <c r="N80" i="78"/>
  <c r="N83" i="78" s="1"/>
  <c r="N84" i="78" s="1"/>
  <c r="Q30" i="69"/>
  <c r="Q77" i="69"/>
  <c r="E78" i="93"/>
  <c r="E74" i="93"/>
  <c r="N82" i="70"/>
  <c r="N85" i="70"/>
  <c r="N86" i="70" s="1"/>
  <c r="E100" i="21"/>
  <c r="E96" i="21"/>
  <c r="N94" i="25"/>
  <c r="N97" i="25"/>
  <c r="N98" i="25" s="1"/>
  <c r="H78" i="56"/>
  <c r="H81" i="56" s="1"/>
  <c r="H82" i="56" s="1"/>
  <c r="J27" i="54"/>
  <c r="J32" i="54"/>
  <c r="J33" i="54" s="1"/>
  <c r="D113" i="39"/>
  <c r="D109" i="39"/>
  <c r="L36" i="75"/>
  <c r="L32" i="75"/>
  <c r="G29" i="77"/>
  <c r="G32" i="77" s="1"/>
  <c r="G33" i="77" s="1"/>
  <c r="H98" i="82"/>
  <c r="H94" i="82"/>
  <c r="L99" i="90"/>
  <c r="L100" i="90" s="1"/>
  <c r="L96" i="90"/>
  <c r="N112" i="42"/>
  <c r="N115" i="42"/>
  <c r="N116" i="42" s="1"/>
  <c r="J172" i="3"/>
  <c r="J168" i="3"/>
  <c r="G31" i="30"/>
  <c r="G36" i="30" s="1"/>
  <c r="G37" i="30" s="1"/>
  <c r="O83" i="51"/>
  <c r="O86" i="51" s="1"/>
  <c r="O87" i="51" s="1"/>
  <c r="I78" i="51"/>
  <c r="I82" i="51"/>
  <c r="E26" i="46"/>
  <c r="E30" i="46"/>
  <c r="E104" i="62"/>
  <c r="E107" i="62"/>
  <c r="E108" i="62" s="1"/>
  <c r="G91" i="63"/>
  <c r="G94" i="63" s="1"/>
  <c r="G95" i="63" s="1"/>
  <c r="Q85" i="63"/>
  <c r="Q29" i="63"/>
  <c r="H34" i="79"/>
  <c r="H30" i="79"/>
  <c r="N30" i="85"/>
  <c r="N26" i="85"/>
  <c r="E31" i="96"/>
  <c r="E36" i="96" s="1"/>
  <c r="E37" i="96" s="1"/>
  <c r="Q22" i="91"/>
  <c r="Q90" i="91"/>
  <c r="G115" i="36"/>
  <c r="G119" i="36"/>
  <c r="G81" i="31"/>
  <c r="G84" i="31" s="1"/>
  <c r="G85" i="31" s="1"/>
  <c r="L105" i="45"/>
  <c r="L108" i="45" s="1"/>
  <c r="L109" i="45" s="1"/>
  <c r="I77" i="56"/>
  <c r="I73" i="56"/>
  <c r="N81" i="68"/>
  <c r="N84" i="68" s="1"/>
  <c r="N85" i="68" s="1"/>
  <c r="L63" i="64"/>
  <c r="L59" i="64"/>
  <c r="I29" i="77"/>
  <c r="I32" i="77" s="1"/>
  <c r="I33" i="77" s="1"/>
  <c r="E31" i="23"/>
  <c r="E36" i="23" s="1"/>
  <c r="E37" i="23" s="1"/>
  <c r="Q96" i="9"/>
  <c r="Q99" i="9"/>
  <c r="I154" i="12"/>
  <c r="I158" i="12"/>
  <c r="J39" i="86"/>
  <c r="J42" i="86" s="1"/>
  <c r="J43" i="86" s="1"/>
  <c r="E64" i="64"/>
  <c r="E67" i="64"/>
  <c r="E68" i="64" s="1"/>
  <c r="D31" i="53"/>
  <c r="D36" i="53" s="1"/>
  <c r="D37" i="53" s="1"/>
  <c r="Q77" i="51"/>
  <c r="Q30" i="51"/>
  <c r="L114" i="67"/>
  <c r="L117" i="67" s="1"/>
  <c r="L118" i="67" s="1"/>
  <c r="K93" i="73"/>
  <c r="K96" i="73"/>
  <c r="K97" i="73" s="1"/>
  <c r="Q87" i="83"/>
  <c r="Q83" i="83"/>
  <c r="O31" i="85"/>
  <c r="O34" i="85"/>
  <c r="O35" i="85" s="1"/>
  <c r="Q36" i="89"/>
  <c r="Q40" i="89"/>
  <c r="L73" i="57"/>
  <c r="L76" i="57"/>
  <c r="L77" i="57" s="1"/>
  <c r="F82" i="70"/>
  <c r="F85" i="70"/>
  <c r="F86" i="70" s="1"/>
  <c r="N96" i="90"/>
  <c r="N99" i="90"/>
  <c r="N100" i="90" s="1"/>
  <c r="G26" i="6"/>
  <c r="G31" i="6" s="1"/>
  <c r="G32" i="6" s="1"/>
  <c r="L101" i="21"/>
  <c r="L104" i="21"/>
  <c r="L105" i="21" s="1"/>
  <c r="H80" i="31"/>
  <c r="H76" i="31"/>
  <c r="E114" i="67"/>
  <c r="E117" i="67" s="1"/>
  <c r="E118" i="67" s="1"/>
  <c r="E24" i="77"/>
  <c r="E28" i="77"/>
  <c r="G31" i="96"/>
  <c r="G36" i="96" s="1"/>
  <c r="G37" i="96" s="1"/>
  <c r="Q27" i="92"/>
  <c r="Q30" i="92" s="1"/>
  <c r="Q31" i="92" s="1"/>
  <c r="J96" i="21"/>
  <c r="J100" i="21"/>
  <c r="L94" i="74"/>
  <c r="L97" i="74" s="1"/>
  <c r="L98" i="74" s="1"/>
  <c r="M156" i="18"/>
  <c r="M159" i="18"/>
  <c r="M160" i="18" s="1"/>
  <c r="J150" i="15"/>
  <c r="J153" i="15" s="1"/>
  <c r="J154" i="15" s="1"/>
  <c r="D31" i="29"/>
  <c r="D36" i="29" s="1"/>
  <c r="D37" i="29" s="1"/>
  <c r="E31" i="30"/>
  <c r="E36" i="30" s="1"/>
  <c r="E37" i="30" s="1"/>
  <c r="M33" i="66"/>
  <c r="M36" i="66" s="1"/>
  <c r="M37" i="66" s="1"/>
  <c r="K90" i="76"/>
  <c r="K94" i="76"/>
  <c r="K31" i="80"/>
  <c r="K34" i="80" s="1"/>
  <c r="K35" i="80" s="1"/>
  <c r="M30" i="81"/>
  <c r="M26" i="81"/>
  <c r="D98" i="82"/>
  <c r="D94" i="82"/>
  <c r="O159" i="12"/>
  <c r="O162" i="12"/>
  <c r="O163" i="12" s="1"/>
  <c r="D26" i="6"/>
  <c r="D31" i="6" s="1"/>
  <c r="D32" i="6" s="1"/>
  <c r="E125" i="28"/>
  <c r="E128" i="28"/>
  <c r="E129" i="28" s="1"/>
  <c r="D31" i="17"/>
  <c r="D36" i="17" s="1"/>
  <c r="D37" i="17" s="1"/>
  <c r="G26" i="20"/>
  <c r="G30" i="20"/>
  <c r="E129" i="34"/>
  <c r="E132" i="34" s="1"/>
  <c r="E133" i="34" s="1"/>
  <c r="M35" i="55"/>
  <c r="M38" i="55" s="1"/>
  <c r="M39" i="55" s="1"/>
  <c r="O80" i="58"/>
  <c r="O83" i="58"/>
  <c r="O84" i="58" s="1"/>
  <c r="H94" i="65"/>
  <c r="H97" i="65"/>
  <c r="H98" i="65" s="1"/>
  <c r="D30" i="72"/>
  <c r="D33" i="72" s="1"/>
  <c r="D34" i="72" s="1"/>
  <c r="F37" i="75"/>
  <c r="F40" i="75"/>
  <c r="F41" i="75" s="1"/>
  <c r="L31" i="85"/>
  <c r="L34" i="85" s="1"/>
  <c r="L35" i="85" s="1"/>
  <c r="K31" i="85"/>
  <c r="K34" i="85"/>
  <c r="K35" i="85" s="1"/>
  <c r="G41" i="89"/>
  <c r="G44" i="89" s="1"/>
  <c r="G45" i="89" s="1"/>
  <c r="N31" i="81"/>
  <c r="N34" i="81" s="1"/>
  <c r="N35" i="81" s="1"/>
  <c r="D31" i="94"/>
  <c r="D36" i="94" s="1"/>
  <c r="D37" i="94" s="1"/>
  <c r="E114" i="39"/>
  <c r="E117" i="39"/>
  <c r="E118" i="39" s="1"/>
  <c r="M83" i="51"/>
  <c r="M86" i="51" s="1"/>
  <c r="M87" i="51" s="1"/>
  <c r="L64" i="87"/>
  <c r="L67" i="87"/>
  <c r="L68" i="87" s="1"/>
  <c r="O96" i="90"/>
  <c r="O99" i="90"/>
  <c r="O100" i="90" s="1"/>
  <c r="O94" i="25"/>
  <c r="O97" i="25"/>
  <c r="O98" i="25" s="1"/>
  <c r="N120" i="36"/>
  <c r="N123" i="36" s="1"/>
  <c r="N124" i="36" s="1"/>
  <c r="Q29" i="71"/>
  <c r="Q32" i="71"/>
  <c r="Q33" i="71" s="1"/>
  <c r="J114" i="39"/>
  <c r="J117" i="39" s="1"/>
  <c r="J118" i="39" s="1"/>
  <c r="O125" i="28"/>
  <c r="O128" i="28"/>
  <c r="O129" i="28" s="1"/>
  <c r="O112" i="42"/>
  <c r="O115" i="42" s="1"/>
  <c r="O116" i="42" s="1"/>
  <c r="E100" i="9"/>
  <c r="E103" i="9" s="1"/>
  <c r="E104" i="9" s="1"/>
  <c r="D91" i="63"/>
  <c r="D94" i="63"/>
  <c r="D95" i="63" s="1"/>
  <c r="E41" i="89"/>
  <c r="E44" i="89"/>
  <c r="E45" i="89" s="1"/>
  <c r="F100" i="9"/>
  <c r="F103" i="9" s="1"/>
  <c r="F104" i="9" s="1"/>
  <c r="M41" i="89"/>
  <c r="M44" i="89"/>
  <c r="M45" i="89" s="1"/>
  <c r="F112" i="42"/>
  <c r="F115" i="42"/>
  <c r="F116" i="42" s="1"/>
  <c r="M125" i="28"/>
  <c r="M128" i="28"/>
  <c r="M129" i="28" s="1"/>
  <c r="M80" i="78"/>
  <c r="M83" i="78" s="1"/>
  <c r="M84" i="78" s="1"/>
  <c r="N96" i="88"/>
  <c r="N99" i="88"/>
  <c r="N100" i="88" s="1"/>
  <c r="E88" i="83"/>
  <c r="E91" i="83" s="1"/>
  <c r="E92" i="83" s="1"/>
  <c r="F81" i="31"/>
  <c r="F84" i="31" s="1"/>
  <c r="F85" i="31" s="1"/>
  <c r="E90" i="63"/>
  <c r="E86" i="63"/>
  <c r="G99" i="82"/>
  <c r="G102" i="82"/>
  <c r="G103" i="82" s="1"/>
  <c r="N150" i="15"/>
  <c r="N153" i="15"/>
  <c r="N154" i="15" s="1"/>
  <c r="H41" i="89"/>
  <c r="H44" i="89"/>
  <c r="H45" i="89" s="1"/>
  <c r="D120" i="28"/>
  <c r="D124" i="28"/>
  <c r="H29" i="77"/>
  <c r="H32" i="77"/>
  <c r="H33" i="77" s="1"/>
  <c r="K37" i="75"/>
  <c r="K40" i="75" s="1"/>
  <c r="K41" i="75" s="1"/>
  <c r="G31" i="27"/>
  <c r="G36" i="27" s="1"/>
  <c r="G37" i="27" s="1"/>
  <c r="K150" i="15"/>
  <c r="K153" i="15" s="1"/>
  <c r="K154" i="15" s="1"/>
  <c r="Q108" i="67"/>
  <c r="Q39" i="67"/>
  <c r="Q52" i="84"/>
  <c r="Q48" i="84"/>
  <c r="F96" i="90"/>
  <c r="F99" i="90"/>
  <c r="F100" i="90" s="1"/>
  <c r="L27" i="92"/>
  <c r="L30" i="92"/>
  <c r="L31" i="92" s="1"/>
  <c r="N105" i="45"/>
  <c r="N108" i="45" s="1"/>
  <c r="N109" i="45" s="1"/>
  <c r="M154" i="12"/>
  <c r="M158" i="12"/>
  <c r="M100" i="21"/>
  <c r="M96" i="21"/>
  <c r="H62" i="60"/>
  <c r="H65" i="60"/>
  <c r="H66" i="60" s="1"/>
  <c r="F104" i="62"/>
  <c r="F107" i="62"/>
  <c r="F108" i="62" s="1"/>
  <c r="N64" i="64"/>
  <c r="N67" i="64"/>
  <c r="N68" i="64" s="1"/>
  <c r="H64" i="87"/>
  <c r="H67" i="87"/>
  <c r="H68" i="87" s="1"/>
  <c r="J99" i="82"/>
  <c r="J102" i="82" s="1"/>
  <c r="J103" i="82" s="1"/>
  <c r="J96" i="90"/>
  <c r="J99" i="90"/>
  <c r="J100" i="90" s="1"/>
  <c r="M63" i="87"/>
  <c r="M59" i="87"/>
  <c r="E31" i="5"/>
  <c r="E36" i="5" s="1"/>
  <c r="E37" i="5" s="1"/>
  <c r="K81" i="31"/>
  <c r="K84" i="31"/>
  <c r="K85" i="31" s="1"/>
  <c r="M83" i="69"/>
  <c r="M86" i="69"/>
  <c r="M87" i="69" s="1"/>
  <c r="J80" i="78"/>
  <c r="J83" i="78" s="1"/>
  <c r="J84" i="78" s="1"/>
  <c r="N159" i="12"/>
  <c r="N162" i="12"/>
  <c r="N163" i="12" s="1"/>
  <c r="J124" i="34"/>
  <c r="J128" i="34"/>
  <c r="K78" i="56"/>
  <c r="K81" i="56" s="1"/>
  <c r="K82" i="56" s="1"/>
  <c r="F76" i="68"/>
  <c r="F80" i="68"/>
  <c r="M57" i="61"/>
  <c r="M53" i="61"/>
  <c r="E33" i="66"/>
  <c r="E36" i="66" s="1"/>
  <c r="E37" i="66" s="1"/>
  <c r="L88" i="83"/>
  <c r="L91" i="83" s="1"/>
  <c r="L92" i="83" s="1"/>
  <c r="E31" i="10"/>
  <c r="E36" i="10" s="1"/>
  <c r="E37" i="10" s="1"/>
  <c r="Q111" i="42"/>
  <c r="Q107" i="42"/>
  <c r="E35" i="55"/>
  <c r="E38" i="55" s="1"/>
  <c r="E39" i="55" s="1"/>
  <c r="K53" i="84"/>
  <c r="K56" i="84" s="1"/>
  <c r="K57" i="84" s="1"/>
  <c r="M96" i="91"/>
  <c r="M99" i="91"/>
  <c r="M100" i="91" s="1"/>
  <c r="I89" i="25"/>
  <c r="I93" i="25"/>
  <c r="J104" i="62"/>
  <c r="J107" i="62"/>
  <c r="J108" i="62" s="1"/>
  <c r="E31" i="17"/>
  <c r="E36" i="17" s="1"/>
  <c r="E37" i="17" s="1"/>
  <c r="O37" i="75"/>
  <c r="O40" i="75"/>
  <c r="O41" i="75" s="1"/>
  <c r="H81" i="68"/>
  <c r="H84" i="68"/>
  <c r="H85" i="68" s="1"/>
  <c r="K82" i="69"/>
  <c r="K78" i="69"/>
  <c r="Q89" i="74"/>
  <c r="Q93" i="74"/>
  <c r="K29" i="77"/>
  <c r="K32" i="77"/>
  <c r="K33" i="77" s="1"/>
  <c r="I53" i="84"/>
  <c r="I56" i="84" s="1"/>
  <c r="I57" i="84" s="1"/>
  <c r="E105" i="45"/>
  <c r="E108" i="45" s="1"/>
  <c r="E109" i="45" s="1"/>
  <c r="E31" i="80"/>
  <c r="E34" i="80"/>
  <c r="E35" i="80" s="1"/>
  <c r="O81" i="31"/>
  <c r="O84" i="31" s="1"/>
  <c r="O85" i="31" s="1"/>
  <c r="I173" i="3"/>
  <c r="I178" i="3" s="1"/>
  <c r="I179" i="3" s="1"/>
  <c r="G74" i="48"/>
  <c r="G78" i="48"/>
  <c r="K78" i="51"/>
  <c r="K82" i="51"/>
  <c r="H73" i="57"/>
  <c r="H76" i="57"/>
  <c r="H77" i="57" s="1"/>
  <c r="J114" i="67"/>
  <c r="J117" i="67"/>
  <c r="J118" i="67" s="1"/>
  <c r="F78" i="69"/>
  <c r="F82" i="69"/>
  <c r="I90" i="76"/>
  <c r="I94" i="76"/>
  <c r="D83" i="83"/>
  <c r="D87" i="83"/>
  <c r="Q59" i="87"/>
  <c r="Q63" i="87"/>
  <c r="G93" i="74"/>
  <c r="G89" i="74"/>
  <c r="D31" i="27"/>
  <c r="D36" i="27" s="1"/>
  <c r="D37" i="27" s="1"/>
  <c r="M112" i="42"/>
  <c r="M115" i="42" s="1"/>
  <c r="M116" i="42" s="1"/>
  <c r="O129" i="34"/>
  <c r="O132" i="34"/>
  <c r="O133" i="34" s="1"/>
  <c r="E26" i="49"/>
  <c r="E30" i="49"/>
  <c r="Q53" i="61"/>
  <c r="Q57" i="61"/>
  <c r="H113" i="67"/>
  <c r="H109" i="67"/>
  <c r="F41" i="89"/>
  <c r="F44" i="89"/>
  <c r="F45" i="89" s="1"/>
  <c r="J31" i="85"/>
  <c r="J34" i="85" s="1"/>
  <c r="J35" i="85" s="1"/>
  <c r="Q90" i="90"/>
  <c r="Q22" i="90"/>
  <c r="L29" i="71"/>
  <c r="L32" i="71"/>
  <c r="L33" i="71" s="1"/>
  <c r="Q38" i="86"/>
  <c r="Q34" i="86"/>
  <c r="Q55" i="12"/>
  <c r="Q153" i="12"/>
  <c r="D89" i="25"/>
  <c r="D93" i="25"/>
  <c r="D31" i="49"/>
  <c r="D36" i="49" s="1"/>
  <c r="D37" i="49" s="1"/>
  <c r="L79" i="48"/>
  <c r="L82" i="48"/>
  <c r="L83" i="48" s="1"/>
  <c r="H80" i="58"/>
  <c r="H83" i="58"/>
  <c r="H84" i="58" s="1"/>
  <c r="E79" i="48"/>
  <c r="E82" i="48" s="1"/>
  <c r="E83" i="48" s="1"/>
  <c r="H22" i="54"/>
  <c r="H26" i="54"/>
  <c r="N104" i="62"/>
  <c r="N107" i="62" s="1"/>
  <c r="N108" i="62" s="1"/>
  <c r="N58" i="61"/>
  <c r="N61" i="61" s="1"/>
  <c r="N62" i="61" s="1"/>
  <c r="M93" i="65"/>
  <c r="M89" i="65"/>
  <c r="O94" i="74"/>
  <c r="O97" i="74"/>
  <c r="O98" i="74" s="1"/>
  <c r="M27" i="92"/>
  <c r="M30" i="92"/>
  <c r="M31" i="92" s="1"/>
  <c r="E31" i="94"/>
  <c r="E36" i="94" s="1"/>
  <c r="E37" i="94" s="1"/>
  <c r="M78" i="56"/>
  <c r="M81" i="56"/>
  <c r="M82" i="56" s="1"/>
  <c r="K35" i="79"/>
  <c r="K38" i="79" s="1"/>
  <c r="K39" i="79" s="1"/>
  <c r="K101" i="21"/>
  <c r="K104" i="21" s="1"/>
  <c r="K105" i="21" s="1"/>
  <c r="H94" i="25"/>
  <c r="H97" i="25"/>
  <c r="H98" i="25" s="1"/>
  <c r="F114" i="67"/>
  <c r="F117" i="67" s="1"/>
  <c r="F118" i="67" s="1"/>
  <c r="O53" i="84"/>
  <c r="O56" i="84" s="1"/>
  <c r="O57" i="84" s="1"/>
  <c r="M100" i="9"/>
  <c r="M103" i="9"/>
  <c r="M104" i="9" s="1"/>
  <c r="G81" i="68"/>
  <c r="G84" i="68"/>
  <c r="G85" i="68" s="1"/>
  <c r="K73" i="57"/>
  <c r="K76" i="57" s="1"/>
  <c r="K77" i="57" s="1"/>
  <c r="I81" i="68"/>
  <c r="I84" i="68" s="1"/>
  <c r="I85" i="68" s="1"/>
  <c r="Q80" i="78"/>
  <c r="Q83" i="78"/>
  <c r="Q84" i="78" s="1"/>
  <c r="D104" i="62"/>
  <c r="D107" i="62"/>
  <c r="D108" i="62" s="1"/>
  <c r="K94" i="25"/>
  <c r="K97" i="25" s="1"/>
  <c r="K98" i="25" s="1"/>
  <c r="F67" i="59"/>
  <c r="F70" i="59"/>
  <c r="F71" i="59" s="1"/>
  <c r="F129" i="34"/>
  <c r="F132" i="34" s="1"/>
  <c r="F133" i="34" s="1"/>
  <c r="G31" i="85"/>
  <c r="G34" i="85"/>
  <c r="G35" i="85" s="1"/>
  <c r="O120" i="36"/>
  <c r="O123" i="36" s="1"/>
  <c r="O124" i="36" s="1"/>
  <c r="M104" i="62"/>
  <c r="M107" i="62"/>
  <c r="M108" i="62" s="1"/>
  <c r="K81" i="68"/>
  <c r="K84" i="68" s="1"/>
  <c r="K85" i="68" s="1"/>
  <c r="N114" i="39"/>
  <c r="N117" i="39" s="1"/>
  <c r="N118" i="39" s="1"/>
  <c r="O81" i="68"/>
  <c r="O84" i="68"/>
  <c r="O85" i="68" s="1"/>
  <c r="E35" i="79"/>
  <c r="E38" i="79" s="1"/>
  <c r="E39" i="79" s="1"/>
  <c r="G64" i="87"/>
  <c r="G67" i="87"/>
  <c r="G68" i="87" s="1"/>
  <c r="F99" i="82"/>
  <c r="F102" i="82" s="1"/>
  <c r="F103" i="82" s="1"/>
  <c r="Q172" i="3"/>
  <c r="Q168" i="3"/>
  <c r="F62" i="60"/>
  <c r="F65" i="60" s="1"/>
  <c r="F66" i="60" s="1"/>
  <c r="I80" i="78"/>
  <c r="I83" i="78" s="1"/>
  <c r="I84" i="78" s="1"/>
  <c r="M39" i="86"/>
  <c r="M42" i="86" s="1"/>
  <c r="M43" i="86" s="1"/>
  <c r="H101" i="21"/>
  <c r="H104" i="21"/>
  <c r="H105" i="21" s="1"/>
  <c r="N96" i="21"/>
  <c r="N100" i="21"/>
  <c r="I39" i="86"/>
  <c r="I42" i="86"/>
  <c r="I43" i="86" s="1"/>
  <c r="G31" i="38"/>
  <c r="G36" i="38" s="1"/>
  <c r="G37" i="38" s="1"/>
  <c r="Q21" i="64"/>
  <c r="Q58" i="64"/>
  <c r="O81" i="70"/>
  <c r="O77" i="70"/>
  <c r="I30" i="72"/>
  <c r="I33" i="72" s="1"/>
  <c r="I34" i="72" s="1"/>
  <c r="F80" i="78"/>
  <c r="F83" i="78"/>
  <c r="F84" i="78" s="1"/>
  <c r="E31" i="85"/>
  <c r="E34" i="85"/>
  <c r="E35" i="85" s="1"/>
  <c r="I22" i="92"/>
  <c r="I26" i="92"/>
  <c r="E36" i="75"/>
  <c r="E32" i="75"/>
  <c r="E31" i="16"/>
  <c r="E36" i="16" s="1"/>
  <c r="E37" i="16" s="1"/>
  <c r="F80" i="58"/>
  <c r="F83" i="58"/>
  <c r="F84" i="58" s="1"/>
  <c r="I33" i="66"/>
  <c r="I36" i="66"/>
  <c r="I37" i="66" s="1"/>
  <c r="G95" i="76"/>
  <c r="G98" i="76"/>
  <c r="G99" i="76" s="1"/>
  <c r="G31" i="50"/>
  <c r="G36" i="50" s="1"/>
  <c r="G37" i="50" s="1"/>
  <c r="D31" i="46"/>
  <c r="D36" i="46" s="1"/>
  <c r="D37" i="46" s="1"/>
  <c r="F105" i="45"/>
  <c r="F108" i="45" s="1"/>
  <c r="F109" i="45" s="1"/>
  <c r="K79" i="48"/>
  <c r="K82" i="48"/>
  <c r="K83" i="48" s="1"/>
  <c r="I82" i="69"/>
  <c r="I78" i="69"/>
  <c r="D92" i="73"/>
  <c r="D88" i="73"/>
  <c r="Q30" i="79"/>
  <c r="Q34" i="79"/>
  <c r="N39" i="86"/>
  <c r="N42" i="86" s="1"/>
  <c r="N43" i="86" s="1"/>
  <c r="J96" i="91"/>
  <c r="J99" i="91" s="1"/>
  <c r="J100" i="91" s="1"/>
  <c r="D31" i="95"/>
  <c r="D36" i="95" s="1"/>
  <c r="D37" i="95" s="1"/>
  <c r="D31" i="16"/>
  <c r="D36" i="16" s="1"/>
  <c r="D37" i="16" s="1"/>
  <c r="Q119" i="28"/>
  <c r="Q39" i="28"/>
  <c r="Q61" i="60"/>
  <c r="Q57" i="60"/>
  <c r="J35" i="55"/>
  <c r="J38" i="55" s="1"/>
  <c r="J39" i="55" s="1"/>
  <c r="O68" i="57"/>
  <c r="O72" i="57"/>
  <c r="M90" i="63"/>
  <c r="M86" i="63"/>
  <c r="F39" i="86"/>
  <c r="F42" i="86" s="1"/>
  <c r="F43" i="86" s="1"/>
  <c r="E98" i="82"/>
  <c r="E94" i="82"/>
  <c r="D129" i="34"/>
  <c r="D132" i="34"/>
  <c r="D133" i="34" s="1"/>
  <c r="E27" i="92"/>
  <c r="E30" i="92"/>
  <c r="E31" i="92" s="1"/>
  <c r="K172" i="3"/>
  <c r="K168" i="3"/>
  <c r="J100" i="9"/>
  <c r="J103" i="9" s="1"/>
  <c r="J104" i="9" s="1"/>
  <c r="J155" i="18"/>
  <c r="J151" i="18"/>
  <c r="D78" i="56"/>
  <c r="D81" i="56"/>
  <c r="D82" i="56" s="1"/>
  <c r="Q62" i="59"/>
  <c r="Q66" i="59"/>
  <c r="F33" i="66"/>
  <c r="F36" i="66" s="1"/>
  <c r="F37" i="66" s="1"/>
  <c r="E90" i="76"/>
  <c r="E94" i="76"/>
  <c r="O31" i="81"/>
  <c r="O34" i="81" s="1"/>
  <c r="O35" i="81" s="1"/>
  <c r="H53" i="84"/>
  <c r="H56" i="84"/>
  <c r="H57" i="84" s="1"/>
  <c r="H100" i="9"/>
  <c r="H103" i="9" s="1"/>
  <c r="H104" i="9" s="1"/>
  <c r="G37" i="75"/>
  <c r="G40" i="75"/>
  <c r="G41" i="75" s="1"/>
  <c r="D31" i="80"/>
  <c r="D34" i="80"/>
  <c r="D35" i="80" s="1"/>
  <c r="D31" i="4"/>
  <c r="D36" i="4" s="1"/>
  <c r="D37" i="4" s="1"/>
  <c r="I120" i="28"/>
  <c r="I124" i="28"/>
  <c r="H58" i="61"/>
  <c r="H61" i="61"/>
  <c r="H62" i="61" s="1"/>
  <c r="D80" i="58"/>
  <c r="D83" i="58" s="1"/>
  <c r="D84" i="58" s="1"/>
  <c r="O78" i="56"/>
  <c r="O81" i="56" s="1"/>
  <c r="O82" i="56" s="1"/>
  <c r="O91" i="63"/>
  <c r="O94" i="63"/>
  <c r="O95" i="63" s="1"/>
  <c r="M36" i="75"/>
  <c r="M32" i="75"/>
  <c r="O35" i="79"/>
  <c r="O38" i="79"/>
  <c r="O39" i="79" s="1"/>
  <c r="J31" i="80"/>
  <c r="J34" i="80"/>
  <c r="J35" i="80" s="1"/>
  <c r="G96" i="91"/>
  <c r="G99" i="91"/>
  <c r="G100" i="91" s="1"/>
  <c r="E31" i="37"/>
  <c r="E36" i="37" s="1"/>
  <c r="E37" i="37" s="1"/>
  <c r="H83" i="69"/>
  <c r="H86" i="69" s="1"/>
  <c r="H87" i="69" s="1"/>
  <c r="E154" i="12"/>
  <c r="E158" i="12"/>
  <c r="E31" i="26"/>
  <c r="E36" i="26" s="1"/>
  <c r="E37" i="26" s="1"/>
  <c r="K107" i="42"/>
  <c r="K111" i="42"/>
  <c r="H91" i="63"/>
  <c r="H94" i="63"/>
  <c r="H95" i="63" s="1"/>
  <c r="O62" i="60"/>
  <c r="O65" i="60"/>
  <c r="O66" i="60" s="1"/>
  <c r="L82" i="70"/>
  <c r="L85" i="70" s="1"/>
  <c r="L86" i="70" s="1"/>
  <c r="O83" i="69"/>
  <c r="O86" i="69" s="1"/>
  <c r="O87" i="69" s="1"/>
  <c r="N30" i="72"/>
  <c r="N33" i="72"/>
  <c r="N34" i="72" s="1"/>
  <c r="I92" i="73"/>
  <c r="I88" i="73"/>
  <c r="F31" i="80"/>
  <c r="F34" i="80" s="1"/>
  <c r="F35" i="80" s="1"/>
  <c r="D91" i="88"/>
  <c r="D95" i="88"/>
  <c r="O114" i="67"/>
  <c r="O117" i="67"/>
  <c r="O118" i="67" s="1"/>
  <c r="L100" i="9"/>
  <c r="L103" i="9" s="1"/>
  <c r="L104" i="9" s="1"/>
  <c r="N80" i="58"/>
  <c r="N83" i="58" s="1"/>
  <c r="N84" i="58" s="1"/>
  <c r="G125" i="28"/>
  <c r="G128" i="28"/>
  <c r="G129" i="28" s="1"/>
  <c r="H129" i="34"/>
  <c r="H132" i="34" s="1"/>
  <c r="H133" i="34" s="1"/>
  <c r="D73" i="57"/>
  <c r="D76" i="57"/>
  <c r="D77" i="57" s="1"/>
  <c r="J64" i="64"/>
  <c r="J67" i="64"/>
  <c r="J68" i="64" s="1"/>
  <c r="G96" i="90"/>
  <c r="G99" i="90"/>
  <c r="G100" i="90" s="1"/>
  <c r="Q29" i="77"/>
  <c r="Q32" i="77"/>
  <c r="Q33" i="77" s="1"/>
  <c r="O88" i="83"/>
  <c r="O91" i="83" s="1"/>
  <c r="O92" i="83" s="1"/>
  <c r="N100" i="9"/>
  <c r="N103" i="9"/>
  <c r="N104" i="9" s="1"/>
  <c r="F83" i="51"/>
  <c r="F86" i="51"/>
  <c r="F87" i="51" s="1"/>
  <c r="E31" i="33" l="1"/>
  <c r="E36" i="33" s="1"/>
  <c r="E37" i="33" s="1"/>
  <c r="G31" i="22"/>
  <c r="G36" i="22" s="1"/>
  <c r="G37" i="22" s="1"/>
  <c r="Q59" i="64"/>
  <c r="Q63" i="64"/>
  <c r="E99" i="82"/>
  <c r="E102" i="82" s="1"/>
  <c r="E103" i="82" s="1"/>
  <c r="H114" i="67"/>
  <c r="H117" i="67" s="1"/>
  <c r="H118" i="67" s="1"/>
  <c r="M64" i="87"/>
  <c r="M67" i="87"/>
  <c r="M68" i="87" s="1"/>
  <c r="Q88" i="83"/>
  <c r="Q91" i="83" s="1"/>
  <c r="Q92" i="83" s="1"/>
  <c r="Q70" i="59"/>
  <c r="Q71" i="59" s="1"/>
  <c r="Q67" i="59"/>
  <c r="D97" i="25"/>
  <c r="D98" i="25" s="1"/>
  <c r="D94" i="25"/>
  <c r="Q58" i="61"/>
  <c r="Q61" i="61"/>
  <c r="Q62" i="61" s="1"/>
  <c r="I95" i="76"/>
  <c r="I98" i="76"/>
  <c r="I99" i="76" s="1"/>
  <c r="K86" i="51"/>
  <c r="K87" i="51" s="1"/>
  <c r="K83" i="51"/>
  <c r="Q94" i="74"/>
  <c r="Q97" i="74" s="1"/>
  <c r="Q98" i="74" s="1"/>
  <c r="Q91" i="91"/>
  <c r="Q95" i="91"/>
  <c r="I83" i="51"/>
  <c r="I86" i="51" s="1"/>
  <c r="I87" i="51" s="1"/>
  <c r="Q78" i="69"/>
  <c r="Q82" i="69"/>
  <c r="D98" i="76"/>
  <c r="D99" i="76" s="1"/>
  <c r="D95" i="76"/>
  <c r="K99" i="82"/>
  <c r="K102" i="82" s="1"/>
  <c r="K103" i="82" s="1"/>
  <c r="D31" i="50"/>
  <c r="D36" i="50" s="1"/>
  <c r="D37" i="50" s="1"/>
  <c r="L128" i="28"/>
  <c r="L129" i="28" s="1"/>
  <c r="L125" i="28"/>
  <c r="J35" i="79"/>
  <c r="J38" i="79" s="1"/>
  <c r="J39" i="79" s="1"/>
  <c r="D79" i="48"/>
  <c r="D82" i="48"/>
  <c r="D83" i="48" s="1"/>
  <c r="I96" i="90"/>
  <c r="I99" i="90"/>
  <c r="I100" i="90" s="1"/>
  <c r="K97" i="65"/>
  <c r="K98" i="65" s="1"/>
  <c r="K94" i="65"/>
  <c r="G31" i="14"/>
  <c r="G36" i="14" s="1"/>
  <c r="G37" i="14" s="1"/>
  <c r="I64" i="64"/>
  <c r="I67" i="64" s="1"/>
  <c r="I68" i="64" s="1"/>
  <c r="D96" i="90"/>
  <c r="D99" i="90" s="1"/>
  <c r="D100" i="90" s="1"/>
  <c r="G117" i="39"/>
  <c r="G118" i="39" s="1"/>
  <c r="G114" i="39"/>
  <c r="J94" i="63"/>
  <c r="J95" i="63" s="1"/>
  <c r="J91" i="63"/>
  <c r="Q53" i="84"/>
  <c r="Q56" i="84"/>
  <c r="Q57" i="84" s="1"/>
  <c r="D99" i="82"/>
  <c r="D102" i="82"/>
  <c r="D103" i="82" s="1"/>
  <c r="H81" i="31"/>
  <c r="H84" i="31" s="1"/>
  <c r="H85" i="31" s="1"/>
  <c r="E159" i="12"/>
  <c r="E162" i="12" s="1"/>
  <c r="E163" i="12" s="1"/>
  <c r="I93" i="73"/>
  <c r="I96" i="73" s="1"/>
  <c r="I97" i="73" s="1"/>
  <c r="K173" i="3"/>
  <c r="K178" i="3"/>
  <c r="K179" i="3" s="1"/>
  <c r="Q65" i="60"/>
  <c r="Q66" i="60" s="1"/>
  <c r="Q62" i="60"/>
  <c r="I83" i="69"/>
  <c r="I86" i="69" s="1"/>
  <c r="I87" i="69" s="1"/>
  <c r="Q173" i="3"/>
  <c r="Q178" i="3" s="1"/>
  <c r="Q179" i="3" s="1"/>
  <c r="M94" i="65"/>
  <c r="M97" i="65"/>
  <c r="M98" i="65" s="1"/>
  <c r="Q95" i="90"/>
  <c r="Q91" i="90"/>
  <c r="Q113" i="67"/>
  <c r="Q109" i="67"/>
  <c r="M31" i="81"/>
  <c r="M34" i="81" s="1"/>
  <c r="M35" i="81" s="1"/>
  <c r="I78" i="56"/>
  <c r="I81" i="56"/>
  <c r="I82" i="56" s="1"/>
  <c r="Q86" i="63"/>
  <c r="Q90" i="63"/>
  <c r="L37" i="75"/>
  <c r="L40" i="75" s="1"/>
  <c r="L41" i="75" s="1"/>
  <c r="Q81" i="31"/>
  <c r="Q84" i="31"/>
  <c r="Q85" i="31" s="1"/>
  <c r="L99" i="82"/>
  <c r="L102" i="82"/>
  <c r="L103" i="82" s="1"/>
  <c r="Q32" i="75"/>
  <c r="Q36" i="75"/>
  <c r="E94" i="65"/>
  <c r="E97" i="65" s="1"/>
  <c r="E98" i="65" s="1"/>
  <c r="M150" i="15"/>
  <c r="M153" i="15"/>
  <c r="M154" i="15" s="1"/>
  <c r="Q79" i="48"/>
  <c r="Q82" i="48"/>
  <c r="Q83" i="48" s="1"/>
  <c r="M88" i="83"/>
  <c r="M91" i="83" s="1"/>
  <c r="M92" i="83" s="1"/>
  <c r="D37" i="75"/>
  <c r="D40" i="75" s="1"/>
  <c r="D41" i="75" s="1"/>
  <c r="L62" i="60"/>
  <c r="L65" i="60" s="1"/>
  <c r="L66" i="60" s="1"/>
  <c r="M99" i="82"/>
  <c r="M102" i="82"/>
  <c r="M103" i="82" s="1"/>
  <c r="Q35" i="55"/>
  <c r="Q38" i="55" s="1"/>
  <c r="Q39" i="55" s="1"/>
  <c r="K96" i="91"/>
  <c r="K99" i="91" s="1"/>
  <c r="K100" i="91" s="1"/>
  <c r="D83" i="51"/>
  <c r="D86" i="51"/>
  <c r="D87" i="51" s="1"/>
  <c r="J105" i="45"/>
  <c r="J108" i="45"/>
  <c r="J109" i="45" s="1"/>
  <c r="L114" i="39"/>
  <c r="L117" i="39" s="1"/>
  <c r="L118" i="39" s="1"/>
  <c r="Q105" i="45"/>
  <c r="Q108" i="45" s="1"/>
  <c r="Q109" i="45" s="1"/>
  <c r="E29" i="77"/>
  <c r="E32" i="77" s="1"/>
  <c r="E33" i="77" s="1"/>
  <c r="Q41" i="89"/>
  <c r="Q44" i="89"/>
  <c r="Q45" i="89" s="1"/>
  <c r="J83" i="58"/>
  <c r="J84" i="58" s="1"/>
  <c r="J80" i="58"/>
  <c r="L162" i="12"/>
  <c r="L163" i="12" s="1"/>
  <c r="L159" i="12"/>
  <c r="O39" i="86"/>
  <c r="O42" i="86" s="1"/>
  <c r="O43" i="86" s="1"/>
  <c r="H30" i="72"/>
  <c r="H33" i="72" s="1"/>
  <c r="H34" i="72" s="1"/>
  <c r="Q32" i="54"/>
  <c r="Q33" i="54" s="1"/>
  <c r="Q27" i="54"/>
  <c r="D120" i="36"/>
  <c r="D123" i="36" s="1"/>
  <c r="D124" i="36" s="1"/>
  <c r="H82" i="70"/>
  <c r="H85" i="70"/>
  <c r="H86" i="70" s="1"/>
  <c r="J33" i="66"/>
  <c r="J36" i="66"/>
  <c r="J37" i="66" s="1"/>
  <c r="M32" i="77"/>
  <c r="M33" i="77" s="1"/>
  <c r="M29" i="77"/>
  <c r="G31" i="40"/>
  <c r="G36" i="40" s="1"/>
  <c r="G37" i="40" s="1"/>
  <c r="L53" i="84"/>
  <c r="L56" i="84"/>
  <c r="L57" i="84" s="1"/>
  <c r="G88" i="83"/>
  <c r="G91" i="83"/>
  <c r="G92" i="83" s="1"/>
  <c r="Q107" i="62"/>
  <c r="Q108" i="62" s="1"/>
  <c r="Q104" i="62"/>
  <c r="F156" i="18"/>
  <c r="F159" i="18" s="1"/>
  <c r="F160" i="18" s="1"/>
  <c r="D64" i="64"/>
  <c r="D67" i="64"/>
  <c r="D68" i="64" s="1"/>
  <c r="K114" i="39"/>
  <c r="K117" i="39" s="1"/>
  <c r="K118" i="39" s="1"/>
  <c r="D91" i="83"/>
  <c r="D92" i="83" s="1"/>
  <c r="D88" i="83"/>
  <c r="Q154" i="12"/>
  <c r="Q158" i="12"/>
  <c r="E31" i="49"/>
  <c r="E36" i="49" s="1"/>
  <c r="E37" i="49" s="1"/>
  <c r="F83" i="69"/>
  <c r="F86" i="69" s="1"/>
  <c r="F87" i="69" s="1"/>
  <c r="G82" i="48"/>
  <c r="G83" i="48" s="1"/>
  <c r="G79" i="48"/>
  <c r="J132" i="34"/>
  <c r="J133" i="34" s="1"/>
  <c r="J129" i="34"/>
  <c r="D125" i="28"/>
  <c r="D128" i="28" s="1"/>
  <c r="D129" i="28" s="1"/>
  <c r="M91" i="63"/>
  <c r="M94" i="63"/>
  <c r="M95" i="63" s="1"/>
  <c r="Q120" i="28"/>
  <c r="Q124" i="28"/>
  <c r="E37" i="75"/>
  <c r="E40" i="75" s="1"/>
  <c r="E41" i="75" s="1"/>
  <c r="G94" i="74"/>
  <c r="G97" i="74"/>
  <c r="G98" i="74" s="1"/>
  <c r="K83" i="69"/>
  <c r="K86" i="69"/>
  <c r="K87" i="69" s="1"/>
  <c r="E91" i="63"/>
  <c r="E94" i="63" s="1"/>
  <c r="E95" i="63" s="1"/>
  <c r="D114" i="39"/>
  <c r="D117" i="39" s="1"/>
  <c r="D118" i="39" s="1"/>
  <c r="E101" i="21"/>
  <c r="E104" i="21"/>
  <c r="E105" i="21" s="1"/>
  <c r="Q89" i="65"/>
  <c r="Q93" i="65"/>
  <c r="E150" i="15"/>
  <c r="E153" i="15" s="1"/>
  <c r="E154" i="15" s="1"/>
  <c r="D81" i="31"/>
  <c r="D84" i="31" s="1"/>
  <c r="D85" i="31" s="1"/>
  <c r="Q91" i="88"/>
  <c r="Q95" i="88"/>
  <c r="K64" i="64"/>
  <c r="K67" i="64"/>
  <c r="K68" i="64" s="1"/>
  <c r="I120" i="36"/>
  <c r="I123" i="36" s="1"/>
  <c r="I124" i="36" s="1"/>
  <c r="N125" i="28"/>
  <c r="N128" i="28" s="1"/>
  <c r="N129" i="28" s="1"/>
  <c r="L81" i="68"/>
  <c r="L84" i="68"/>
  <c r="L85" i="68" s="1"/>
  <c r="N37" i="75"/>
  <c r="N40" i="75"/>
  <c r="N41" i="75" s="1"/>
  <c r="H96" i="90"/>
  <c r="H99" i="90" s="1"/>
  <c r="H100" i="90" s="1"/>
  <c r="D79" i="93"/>
  <c r="D82" i="93" s="1"/>
  <c r="D83" i="93" s="1"/>
  <c r="L96" i="91"/>
  <c r="L99" i="91"/>
  <c r="L100" i="91" s="1"/>
  <c r="Q82" i="70"/>
  <c r="Q85" i="70"/>
  <c r="Q86" i="70" s="1"/>
  <c r="Q132" i="34"/>
  <c r="Q133" i="34" s="1"/>
  <c r="Q129" i="34"/>
  <c r="I125" i="28"/>
  <c r="I128" i="28" s="1"/>
  <c r="I129" i="28" s="1"/>
  <c r="D96" i="88"/>
  <c r="D99" i="88" s="1"/>
  <c r="D100" i="88" s="1"/>
  <c r="K112" i="42"/>
  <c r="K115" i="42" s="1"/>
  <c r="K116" i="42" s="1"/>
  <c r="I30" i="92"/>
  <c r="I31" i="92" s="1"/>
  <c r="I27" i="92"/>
  <c r="G31" i="20"/>
  <c r="G36" i="20" s="1"/>
  <c r="G37" i="20" s="1"/>
  <c r="I159" i="12"/>
  <c r="I162" i="12" s="1"/>
  <c r="I163" i="12" s="1"/>
  <c r="Q30" i="72"/>
  <c r="Q33" i="72" s="1"/>
  <c r="Q34" i="72" s="1"/>
  <c r="G159" i="18"/>
  <c r="G160" i="18" s="1"/>
  <c r="G156" i="18"/>
  <c r="H159" i="18"/>
  <c r="H160" i="18" s="1"/>
  <c r="H156" i="18"/>
  <c r="D156" i="18"/>
  <c r="D159" i="18"/>
  <c r="D160" i="18" s="1"/>
  <c r="I96" i="88"/>
  <c r="I99" i="88"/>
  <c r="I100" i="88" s="1"/>
  <c r="I104" i="21"/>
  <c r="I105" i="21" s="1"/>
  <c r="I101" i="21"/>
  <c r="L99" i="88"/>
  <c r="L100" i="88" s="1"/>
  <c r="L96" i="88"/>
  <c r="G31" i="46"/>
  <c r="G36" i="46" s="1"/>
  <c r="G37" i="46" s="1"/>
  <c r="Q151" i="18"/>
  <c r="Q155" i="18"/>
  <c r="D162" i="12"/>
  <c r="D163" i="12" s="1"/>
  <c r="D159" i="12"/>
  <c r="N44" i="89"/>
  <c r="N45" i="89" s="1"/>
  <c r="N41" i="89"/>
  <c r="E31" i="32"/>
  <c r="E36" i="32" s="1"/>
  <c r="E37" i="32" s="1"/>
  <c r="D94" i="74"/>
  <c r="D97" i="74" s="1"/>
  <c r="D98" i="74" s="1"/>
  <c r="K99" i="90"/>
  <c r="K100" i="90" s="1"/>
  <c r="K96" i="90"/>
  <c r="H125" i="28"/>
  <c r="H128" i="28" s="1"/>
  <c r="H129" i="28" s="1"/>
  <c r="Q94" i="25"/>
  <c r="Q97" i="25"/>
  <c r="Q98" i="25" s="1"/>
  <c r="Q150" i="15"/>
  <c r="Q153" i="15"/>
  <c r="Q154" i="15" s="1"/>
  <c r="M159" i="12"/>
  <c r="M162" i="12" s="1"/>
  <c r="M163" i="12" s="1"/>
  <c r="D93" i="73"/>
  <c r="D96" i="73" s="1"/>
  <c r="D97" i="73" s="1"/>
  <c r="E95" i="76"/>
  <c r="E98" i="76" s="1"/>
  <c r="E99" i="76" s="1"/>
  <c r="O73" i="57"/>
  <c r="O76" i="57"/>
  <c r="O77" i="57" s="1"/>
  <c r="Q35" i="79"/>
  <c r="Q38" i="79" s="1"/>
  <c r="Q39" i="79" s="1"/>
  <c r="N101" i="21"/>
  <c r="N104" i="21" s="1"/>
  <c r="N105" i="21" s="1"/>
  <c r="Q64" i="87"/>
  <c r="Q67" i="87"/>
  <c r="Q68" i="87" s="1"/>
  <c r="I94" i="25"/>
  <c r="I97" i="25"/>
  <c r="I98" i="25" s="1"/>
  <c r="K95" i="76"/>
  <c r="K98" i="76" s="1"/>
  <c r="K99" i="76" s="1"/>
  <c r="J104" i="21"/>
  <c r="J105" i="21" s="1"/>
  <c r="J101" i="21"/>
  <c r="M37" i="75"/>
  <c r="M40" i="75"/>
  <c r="M41" i="75" s="1"/>
  <c r="J156" i="18"/>
  <c r="J159" i="18"/>
  <c r="J160" i="18" s="1"/>
  <c r="O82" i="70"/>
  <c r="O85" i="70" s="1"/>
  <c r="O86" i="70" s="1"/>
  <c r="Q39" i="86"/>
  <c r="Q42" i="86" s="1"/>
  <c r="Q43" i="86" s="1"/>
  <c r="Q112" i="42"/>
  <c r="Q115" i="42"/>
  <c r="Q116" i="42" s="1"/>
  <c r="M58" i="61"/>
  <c r="M61" i="61" s="1"/>
  <c r="M62" i="61" s="1"/>
  <c r="M101" i="21"/>
  <c r="M104" i="21" s="1"/>
  <c r="M105" i="21" s="1"/>
  <c r="Q78" i="51"/>
  <c r="Q82" i="51"/>
  <c r="L64" i="64"/>
  <c r="L67" i="64"/>
  <c r="L68" i="64" s="1"/>
  <c r="N31" i="85"/>
  <c r="N34" i="85" s="1"/>
  <c r="N35" i="85" s="1"/>
  <c r="H99" i="82"/>
  <c r="H102" i="82" s="1"/>
  <c r="H103" i="82" s="1"/>
  <c r="E34" i="81"/>
  <c r="E35" i="81" s="1"/>
  <c r="E31" i="81"/>
  <c r="K62" i="60"/>
  <c r="K65" i="60"/>
  <c r="K66" i="60" s="1"/>
  <c r="E31" i="4"/>
  <c r="E36" i="4" s="1"/>
  <c r="E37" i="4" s="1"/>
  <c r="Q88" i="73"/>
  <c r="Q92" i="73"/>
  <c r="H112" i="42"/>
  <c r="H115" i="42" s="1"/>
  <c r="H116" i="42" s="1"/>
  <c r="D81" i="68"/>
  <c r="D84" i="68"/>
  <c r="D85" i="68" s="1"/>
  <c r="F101" i="21"/>
  <c r="F104" i="21"/>
  <c r="F105" i="21" s="1"/>
  <c r="Q109" i="39"/>
  <c r="Q113" i="39"/>
  <c r="K30" i="72"/>
  <c r="K33" i="72" s="1"/>
  <c r="K34" i="72" s="1"/>
  <c r="F125" i="28"/>
  <c r="F128" i="28"/>
  <c r="F129" i="28" s="1"/>
  <c r="H39" i="86"/>
  <c r="H42" i="86"/>
  <c r="H43" i="86" s="1"/>
  <c r="Q73" i="57"/>
  <c r="Q76" i="57" s="1"/>
  <c r="Q77" i="57" s="1"/>
  <c r="Q119" i="36"/>
  <c r="Q115" i="36"/>
  <c r="D150" i="15"/>
  <c r="D153" i="15"/>
  <c r="D154" i="15" s="1"/>
  <c r="Q95" i="76"/>
  <c r="Q98" i="76"/>
  <c r="Q99" i="76" s="1"/>
  <c r="E64" i="87"/>
  <c r="E67" i="87" s="1"/>
  <c r="E68" i="87" s="1"/>
  <c r="F91" i="63"/>
  <c r="F94" i="63" s="1"/>
  <c r="F95" i="63" s="1"/>
  <c r="Q99" i="82"/>
  <c r="Q102" i="82"/>
  <c r="Q103" i="82" s="1"/>
  <c r="H27" i="54"/>
  <c r="H32" i="54"/>
  <c r="H33" i="54" s="1"/>
  <c r="F81" i="68"/>
  <c r="F84" i="68" s="1"/>
  <c r="F85" i="68" s="1"/>
  <c r="Q103" i="9"/>
  <c r="Q104" i="9" s="1"/>
  <c r="Q100" i="9"/>
  <c r="G120" i="36"/>
  <c r="G123" i="36" s="1"/>
  <c r="G124" i="36" s="1"/>
  <c r="E31" i="46"/>
  <c r="E36" i="46" s="1"/>
  <c r="E37" i="46" s="1"/>
  <c r="E99" i="90"/>
  <c r="E100" i="90" s="1"/>
  <c r="E96" i="90"/>
  <c r="Q81" i="68"/>
  <c r="Q84" i="68" s="1"/>
  <c r="Q85" i="68" s="1"/>
  <c r="G94" i="25"/>
  <c r="G97" i="25"/>
  <c r="G98" i="25" s="1"/>
  <c r="G83" i="51"/>
  <c r="G86" i="51"/>
  <c r="G87" i="51" s="1"/>
  <c r="D31" i="8"/>
  <c r="D36" i="8" s="1"/>
  <c r="D37" i="8" s="1"/>
  <c r="M84" i="31"/>
  <c r="M85" i="31" s="1"/>
  <c r="M81" i="31"/>
  <c r="K41" i="89"/>
  <c r="K44" i="89" s="1"/>
  <c r="K45" i="89" s="1"/>
  <c r="D31" i="7"/>
  <c r="D36" i="7" s="1"/>
  <c r="D37" i="7" s="1"/>
  <c r="E93" i="73"/>
  <c r="E96" i="73" s="1"/>
  <c r="E97" i="73" s="1"/>
  <c r="I94" i="65"/>
  <c r="I97" i="65" s="1"/>
  <c r="I98" i="65" s="1"/>
  <c r="J94" i="25"/>
  <c r="J97" i="25" s="1"/>
  <c r="J98" i="25" s="1"/>
  <c r="K88" i="83"/>
  <c r="K91" i="83"/>
  <c r="K92" i="83" s="1"/>
  <c r="D117" i="67"/>
  <c r="D118" i="67" s="1"/>
  <c r="D114" i="67"/>
  <c r="E84" i="31"/>
  <c r="E85" i="31" s="1"/>
  <c r="E81" i="31"/>
  <c r="N129" i="34"/>
  <c r="N132" i="34" s="1"/>
  <c r="N133" i="34" s="1"/>
  <c r="D31" i="33"/>
  <c r="D36" i="33" s="1"/>
  <c r="D37" i="33" s="1"/>
  <c r="G73" i="57"/>
  <c r="G76" i="57" s="1"/>
  <c r="G77" i="57" s="1"/>
  <c r="K128" i="28"/>
  <c r="K129" i="28" s="1"/>
  <c r="K125" i="28"/>
  <c r="Q101" i="21"/>
  <c r="Q104" i="21"/>
  <c r="Q105" i="21" s="1"/>
  <c r="Q79" i="93"/>
  <c r="Q82" i="93"/>
  <c r="Q83" i="93" s="1"/>
  <c r="H35" i="79"/>
  <c r="H38" i="79" s="1"/>
  <c r="H39" i="79" s="1"/>
  <c r="J173" i="3"/>
  <c r="J178" i="3" s="1"/>
  <c r="J179" i="3" s="1"/>
  <c r="E79" i="93"/>
  <c r="E82" i="93"/>
  <c r="E83" i="93" s="1"/>
  <c r="E58" i="61"/>
  <c r="E61" i="61"/>
  <c r="E62" i="61" s="1"/>
  <c r="D65" i="60"/>
  <c r="D66" i="60" s="1"/>
  <c r="D62" i="60"/>
  <c r="G112" i="42"/>
  <c r="G115" i="42" s="1"/>
  <c r="G116" i="42" s="1"/>
  <c r="G159" i="12"/>
  <c r="G162" i="12"/>
  <c r="G163" i="12" s="1"/>
  <c r="H120" i="36"/>
  <c r="H123" i="36"/>
  <c r="H124" i="36" s="1"/>
  <c r="F150" i="15"/>
  <c r="F153" i="15" s="1"/>
  <c r="F154" i="15" s="1"/>
  <c r="F97" i="65"/>
  <c r="F98" i="65" s="1"/>
  <c r="F94" i="65"/>
  <c r="I150" i="15"/>
  <c r="I153" i="15"/>
  <c r="I154" i="15" s="1"/>
  <c r="N94" i="65"/>
  <c r="N97" i="65"/>
  <c r="N98" i="65" s="1"/>
  <c r="I61" i="61"/>
  <c r="I62" i="61" s="1"/>
  <c r="I58" i="61"/>
  <c r="I80" i="58"/>
  <c r="I83" i="58" s="1"/>
  <c r="I84" i="58" s="1"/>
  <c r="K156" i="18"/>
  <c r="K159" i="18"/>
  <c r="K160" i="18" s="1"/>
  <c r="F31" i="85"/>
  <c r="F34" i="85" s="1"/>
  <c r="F35" i="85" s="1"/>
  <c r="Q96" i="88" l="1"/>
  <c r="Q99" i="88"/>
  <c r="Q100" i="88" s="1"/>
  <c r="Q96" i="91"/>
  <c r="Q99" i="91" s="1"/>
  <c r="Q100" i="91" s="1"/>
  <c r="Q83" i="51"/>
  <c r="Q86" i="51"/>
  <c r="Q87" i="51" s="1"/>
  <c r="Q159" i="12"/>
  <c r="Q162" i="12" s="1"/>
  <c r="Q163" i="12" s="1"/>
  <c r="Q120" i="36"/>
  <c r="Q123" i="36"/>
  <c r="Q124" i="36" s="1"/>
  <c r="Q114" i="67"/>
  <c r="Q117" i="67" s="1"/>
  <c r="Q118" i="67" s="1"/>
  <c r="Q114" i="39"/>
  <c r="Q117" i="39"/>
  <c r="Q118" i="39" s="1"/>
  <c r="Q93" i="73"/>
  <c r="Q96" i="73" s="1"/>
  <c r="Q97" i="73" s="1"/>
  <c r="Q125" i="28"/>
  <c r="Q128" i="28"/>
  <c r="Q129" i="28" s="1"/>
  <c r="Q37" i="75"/>
  <c r="Q40" i="75" s="1"/>
  <c r="Q41" i="75" s="1"/>
  <c r="Q91" i="63"/>
  <c r="Q94" i="63"/>
  <c r="Q95" i="63" s="1"/>
  <c r="Q83" i="69"/>
  <c r="Q86" i="69" s="1"/>
  <c r="Q87" i="69" s="1"/>
  <c r="Q96" i="90"/>
  <c r="Q99" i="90"/>
  <c r="Q100" i="90" s="1"/>
  <c r="Q156" i="18"/>
  <c r="Q159" i="18" s="1"/>
  <c r="Q160" i="18" s="1"/>
  <c r="Q94" i="65"/>
  <c r="Q97" i="65"/>
  <c r="Q98" i="65" s="1"/>
  <c r="Q64" i="64"/>
  <c r="Q67" i="64" s="1"/>
  <c r="Q68" i="6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<sst xmlns="http://schemas.openxmlformats.org/spreadsheetml/2006/main" count="2446" uniqueCount="315">
  <si>
    <t>Interface Setting Grid Number</t>
  </si>
  <si>
    <t>Active Grid Number</t>
  </si>
  <si>
    <t>Sheet Name</t>
  </si>
  <si>
    <t>Running Actual Sheet row Number</t>
  </si>
  <si>
    <t>Running Actual Grid Number</t>
  </si>
  <si>
    <t>Grid Title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</si>
  <si>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</si>
  <si>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</si>
  <si>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</si>
  <si>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</si>
  <si>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</si>
  <si>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</si>
  <si>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</si>
  <si>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</si>
  <si>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</si>
  <si>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</si>
  <si>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</si>
  <si>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</si>
  <si>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</si>
  <si>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</si>
  <si>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</si>
  <si>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</si>
  <si>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</si>
  <si>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</si>
  <si>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</si>
  <si>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</si>
  <si>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</si>
  <si>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</si>
  <si>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</si>
  <si>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</si>
  <si>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</si>
  <si>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</si>
  <si>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</si>
  <si>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</si>
  <si>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</si>
  <si>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</si>
  <si>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</si>
  <si>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</si>
  <si>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</si>
  <si>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</si>
  <si>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</si>
  <si>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</si>
  <si>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</si>
  <si>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</si>
  <si>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</si>
  <si>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</si>
  <si>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</si>
  <si>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Chart 6th Data Series</t>
  </si>
  <si>
    <t>Chart 6th Data Series Name</t>
  </si>
  <si>
    <t>MinChart</t>
  </si>
  <si>
    <t>MinDG</t>
  </si>
  <si>
    <t>EnableCustomSpreading</t>
  </si>
  <si>
    <t>Created Date</t>
  </si>
  <si>
    <t>Updated Date</t>
  </si>
  <si>
    <t>InfoManager Number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</si>
  <si>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</si>
  <si>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</si>
  <si>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</si>
  <si>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</si>
  <si>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</si>
  <si>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</si>
  <si>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</si>
  <si>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</si>
  <si>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</si>
  <si>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</si>
  <si>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</si>
  <si>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</si>
  <si>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</si>
  <si>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</si>
  <si>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</si>
  <si>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</si>
  <si>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</si>
  <si>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</si>
  <si>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</si>
  <si>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</si>
  <si>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</si>
  <si>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</si>
  <si>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</si>
  <si>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</si>
  <si>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</si>
  <si>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</si>
  <si>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</si>
  <si>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</si>
  <si>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</si>
  <si>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</si>
  <si>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</si>
  <si>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</si>
  <si>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</si>
  <si>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</si>
  <si>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</si>
  <si>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</si>
  <si>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</si>
  <si>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</si>
  <si>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</si>
  <si>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</si>
  <si>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</si>
  <si>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</si>
  <si>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</si>
  <si>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</si>
  <si>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</si>
  <si>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</si>
  <si>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</si>
  <si>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</si>
  <si>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</si>
  <si>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</si>
  <si>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</si>
  <si>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</si>
  <si>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</si>
  <si>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</si>
  <si>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</si>
  <si>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</si>
  <si>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</si>
  <si>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</si>
  <si>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</si>
  <si>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</si>
  <si>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</si>
  <si>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</si>
  <si>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</si>
  <si>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</si>
  <si>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</si>
  <si>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</si>
  <si>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</si>
  <si>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</si>
  <si>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</si>
  <si>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</si>
  <si>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</si>
  <si>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</si>
  <si>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</si>
  <si>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</si>
  <si>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</si>
  <si>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</si>
  <si>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</si>
  <si>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</si>
  <si>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</si>
  <si>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</si>
  <si>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</si>
  <si>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</si>
  <si>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</si>
  <si>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</si>
  <si>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</si>
  <si>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</si>
  <si>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</si>
  <si>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</si>
  <si>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</si>
  <si>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</si>
  <si>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</si>
  <si>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</si>
  <si>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</si>
  <si>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</si>
  <si>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</si>
  <si>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</si>
  <si>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</si>
  <si>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</si>
  <si>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</si>
  <si>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</si>
  <si>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</si>
  <si>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</si>
  <si>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</si>
  <si>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</si>
  <si>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</si>
  <si>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</si>
  <si>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</si>
  <si>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</si>
  <si>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</si>
  <si>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</si>
  <si>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</si>
  <si>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</si>
  <si>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</si>
  <si>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</si>
  <si>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</si>
  <si>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</si>
  <si>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</si>
  <si>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</si>
  <si>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</si>
  <si>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</si>
  <si>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</si>
  <si>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</si>
  <si>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</si>
  <si>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</si>
  <si>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</si>
  <si>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</si>
  <si>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</si>
  <si>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</si>
  <si>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</si>
  <si>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</si>
  <si>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</si>
  <si>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</si>
  <si>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</si>
  <si>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</si>
  <si>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</si>
  <si>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</si>
  <si>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</si>
  <si>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</si>
  <si>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</si>
  <si>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</si>
  <si>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</si>
  <si>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</si>
  <si>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</si>
  <si>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</si>
  <si>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</si>
  <si>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</si>
  <si>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</si>
  <si>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</si>
  <si>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</si>
  <si>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</si>
  <si>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</si>
  <si>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</si>
  <si>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</si>
  <si>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</si>
  <si>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</si>
  <si>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</si>
  <si>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</si>
  <si>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</si>
  <si>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</si>
  <si>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</si>
  <si>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</si>
  <si>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</si>
  <si>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</si>
  <si>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</si>
  <si>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</si>
  <si>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</si>
  <si>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</si>
  <si>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</si>
  <si>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</si>
  <si>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</si>
  <si>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</si>
  <si>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</si>
  <si>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</si>
  <si>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</si>
  <si>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</si>
  <si>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</si>
  <si>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</si>
  <si>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</si>
  <si>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</si>
  <si>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</si>
  <si>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</si>
  <si>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</si>
  <si>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</si>
  <si>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</si>
  <si>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</si>
  <si>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</si>
  <si>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</si>
  <si>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</si>
  <si>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</si>
  <si>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</si>
  <si>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</si>
  <si>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</si>
  <si>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</si>
  <si>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</si>
  <si>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</si>
  <si>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</si>
  <si>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</si>
  <si>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</si>
  <si>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</si>
  <si>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</si>
  <si>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</si>
  <si>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</si>
  <si>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</si>
  <si>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</si>
  <si>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</si>
  <si>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</si>
  <si>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</si>
  <si>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</si>
  <si>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</si>
  <si>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</si>
  <si>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</si>
  <si>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</si>
  <si>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</si>
  <si>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Enable SIMWindow</t>
  </si>
  <si>
    <t>Period Type</t>
  </si>
  <si>
    <t>Storage Type</t>
  </si>
  <si>
    <t>Retain Zero Value</t>
  </si>
  <si>
    <t>DimGridName</t>
  </si>
  <si>
    <t>DimSheetName</t>
  </si>
  <si>
    <t>StorageGridName</t>
  </si>
  <si>
    <t>StorageSheetName</t>
  </si>
  <si>
    <t xml:space="preserve">Forty Niner Shops, Inc. </t>
  </si>
  <si>
    <t>Combined Operating Statement Forecast</t>
  </si>
  <si>
    <t>FY 21-22</t>
  </si>
  <si>
    <t>All Departments</t>
  </si>
  <si>
    <t>Actual</t>
  </si>
  <si>
    <t>Budget</t>
  </si>
  <si>
    <t>Total</t>
  </si>
  <si>
    <t>Total Sales</t>
  </si>
  <si>
    <t>Total Cost of Goods Sold</t>
  </si>
  <si>
    <t>GROSS MARGIN</t>
  </si>
  <si>
    <t>Total Operating Expenses</t>
  </si>
  <si>
    <t>Credits &amp; Revenues</t>
  </si>
  <si>
    <t>OPERATING INCOME</t>
  </si>
  <si>
    <t>G &amp; A Allocation</t>
  </si>
  <si>
    <t>OPERATING CONTRIBUTION</t>
  </si>
  <si>
    <t>Gain/(Loss) on FMV of Investments</t>
  </si>
  <si>
    <t>Interest Income/Other</t>
  </si>
  <si>
    <t>NET CONTRIBUTION</t>
  </si>
  <si>
    <t>Tess.Monzon@csulb.edu</t>
  </si>
  <si>
    <t>FY 20-21 Revised Budget</t>
  </si>
  <si>
    <t>Revised Budget</t>
  </si>
  <si>
    <t>Operating Statement Forecast</t>
  </si>
  <si>
    <t>Division 1 - Corporate</t>
  </si>
  <si>
    <t>Division 2 - Administration</t>
  </si>
  <si>
    <t>Division 3 - Bookstore &amp; C-Stores</t>
  </si>
  <si>
    <t>Division 300 - Bookstore</t>
  </si>
  <si>
    <t>Division 300 &amp; 317 - Bookstore &amp; Computer Store</t>
  </si>
  <si>
    <t>Division 310 - C-Stores</t>
  </si>
  <si>
    <t>Division 330 - Combined 307 &amp; 314</t>
  </si>
  <si>
    <t>Division 308 - Combined Textbooks</t>
  </si>
  <si>
    <t>Division 331 - Combined 315 &amp; 326</t>
  </si>
  <si>
    <t>Division 332 - Combined 316, 320, &amp; 323</t>
  </si>
  <si>
    <t>Division 333 - Combined 307, 315, &amp; 326</t>
  </si>
  <si>
    <t>Division 4 - Food Services</t>
  </si>
  <si>
    <t>Division 310 &amp; 491 - C-Stores &amp; Cash Food Operations</t>
  </si>
  <si>
    <t>Division 491 - Cash Food Operations</t>
  </si>
  <si>
    <t>Division 492 - Residential Dining</t>
  </si>
  <si>
    <t>Division 5 - ID Card Services</t>
  </si>
  <si>
    <t>Division 6 - Computer Store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</si>
</sst>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[$-409]m/d/yy\ h:mm\ AM/PM;@"/>
  </numFmts>
  <fonts count="8" x14ac:knownFonts="1">
    <font>
      <sz val="11"/>
      <color theme="1"/>
      <name val="Calibri"/>
      <scheme val="minor"/>
    </font>
    <font>
      <sz val="11"/>
      <color indexed="0"/>
      <name val="Calibri"/>
      <family val="2"/>
    </font>
    <font>
      <b/>
      <sz val="11"/>
      <color theme="1"/>
      <name val="Calibri"/>
      <scheme val="minor"/>
    </font>
    <font>
      <i/>
      <sz val="11"/>
      <color theme="1"/>
      <name val="Calibri"/>
      <scheme val="minor"/>
    </font>
    <font>
      <i/>
      <sz val="11"/>
      <color theme="0" tint="-0.499984740745262"/>
      <name val="Calibri"/>
      <scheme val="minor"/>
    </font>
    <font>
      <sz val="11"/>
      <color theme="0" tint="-0.499984740745262"/>
      <name val="Calibri"/>
      <scheme val="minor"/>
    </font>
    <font>
      <b/>
      <sz val="12"/>
      <color theme="1"/>
      <name val="Calibri"/>
      <scheme val="minor"/>
    </font>
    <font>
      <sz val="8"/>
      <color theme="0" tint="-0.499984740745262"/>
      <name val="Calibri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</patternFill>
    </fill>
    <fill>
      <patternFill patternType="solid">
        <fgColor rgb="FFFFFF99"/>
      </patternFill>
    </fill>
  </fills>
  <borders count="4">
    <border>
      <left/>
      <right/>
      <top/>
      <bottom/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 applyFill="0" applyBorder="0"/>
    <xf numFmtId="0" fontId="1" fillId="0" borderId="0" applyFont="0" applyFill="0" applyBorder="0">
      <alignment vertical="top"/>
    </xf>
    <xf numFmtId="44" fontId="1" fillId="0" borderId="0" applyFont="0" applyFill="0" applyBorder="0">
      <alignment vertical="top"/>
    </xf>
    <xf numFmtId="9" fontId="1" fillId="0" borderId="0" applyFont="0" applyFill="0" applyBorder="0">
      <alignment vertical="top"/>
    </xf>
  </cellStyleXfs>
  <cellXfs count="44">
    <xf numFmtId="0" fontId="0" fillId="0" borderId="0" xfId="0" applyNumberFormat="1" applyFont="1"/>
    <xf numFmtId="0" fontId="0" fillId="0" borderId="0" xfId="0" applyNumberFormat="1" applyFont="1"/>
    <xf numFmtId="164" fontId="0" fillId="0" borderId="0" xfId="1" applyNumberFormat="1" applyFont="1" applyAlignment="1"/>
    <xf numFmtId="164" fontId="3" fillId="0" borderId="0" xfId="1" applyNumberFormat="1" applyFont="1" applyAlignment="1"/>
    <xf numFmtId="164" fontId="0" fillId="0" borderId="0" xfId="1" applyNumberFormat="1" applyFont="1" applyAlignment="1"/>
    <xf numFmtId="10" fontId="4" fillId="0" borderId="0" xfId="3" applyNumberFormat="1" applyFont="1" applyAlignment="1"/>
    <xf numFmtId="0" fontId="0" fillId="0" borderId="0" xfId="0" applyNumberFormat="1" applyFont="1"/>
    <xf numFmtId="0" fontId="2" fillId="0" borderId="0" xfId="0" applyNumberFormat="1" applyFont="1"/>
    <xf numFmtId="165" fontId="2" fillId="2" borderId="1" xfId="2" applyNumberFormat="1" applyFont="1" applyFill="1" applyBorder="1" applyAlignment="1"/>
    <xf numFmtId="165" fontId="2" fillId="2" borderId="2" xfId="2" applyNumberFormat="1" applyFont="1" applyFill="1" applyBorder="1" applyAlignment="1"/>
    <xf numFmtId="0" fontId="3" fillId="0" borderId="0" xfId="0" applyNumberFormat="1" applyFont="1"/>
    <xf numFmtId="0" fontId="3" fillId="0" borderId="0" xfId="0" applyNumberFormat="1" applyFont="1"/>
    <xf numFmtId="164" fontId="2" fillId="0" borderId="0" xfId="1" applyNumberFormat="1" applyFont="1" applyAlignment="1"/>
    <xf numFmtId="0" fontId="2" fillId="2" borderId="0" xfId="0" applyNumberFormat="1" applyFont="1" applyFill="1" applyAlignment="1">
      <alignment horizontal="center"/>
    </xf>
    <xf numFmtId="164" fontId="0" fillId="0" borderId="0" xfId="1" applyNumberFormat="1" applyFont="1" applyAlignment="1"/>
    <xf numFmtId="0" fontId="0" fillId="0" borderId="0" xfId="0" applyNumberFormat="1" applyFont="1"/>
    <xf numFmtId="0" fontId="2" fillId="0" borderId="0" xfId="0" applyNumberFormat="1" applyFont="1"/>
    <xf numFmtId="0" fontId="2" fillId="0" borderId="0" xfId="0" applyNumberFormat="1" applyFont="1" applyAlignment="1">
      <alignment horizontal="left"/>
    </xf>
    <xf numFmtId="0" fontId="2" fillId="2" borderId="0" xfId="0" applyNumberFormat="1" applyFont="1" applyFill="1" applyAlignment="1">
      <alignment horizontal="left"/>
    </xf>
    <xf numFmtId="10" fontId="0" fillId="0" borderId="0" xfId="0" applyNumberFormat="1" applyFont="1"/>
    <xf numFmtId="0" fontId="0" fillId="3" borderId="3" xfId="0" applyNumberFormat="1" applyFont="1" applyFill="1" applyBorder="1" applyAlignment="1">
      <alignment horizontal="center" vertical="center" wrapText="1"/>
    </xf>
    <xf numFmtId="164" fontId="3" fillId="0" borderId="0" xfId="1" applyNumberFormat="1" applyFont="1" applyAlignment="1"/>
    <xf numFmtId="0" fontId="0" fillId="0" borderId="0" xfId="0" applyNumberFormat="1" applyFont="1"/>
    <xf numFmtId="0" fontId="3" fillId="0" borderId="0" xfId="0" applyNumberFormat="1" applyFont="1"/>
    <xf numFmtId="49" fontId="3" fillId="0" borderId="0" xfId="0" applyNumberFormat="1" applyFont="1"/>
    <xf numFmtId="0" fontId="0" fillId="0" borderId="0" xfId="0" applyNumberFormat="1" applyFont="1"/>
    <xf numFmtId="49" fontId="2" fillId="0" borderId="0" xfId="0" applyNumberFormat="1" applyFont="1"/>
    <xf numFmtId="0" fontId="5" fillId="0" borderId="0" xfId="0" applyNumberFormat="1" applyFont="1"/>
    <xf numFmtId="0" fontId="2" fillId="0" borderId="0" xfId="0" applyNumberFormat="1" applyFont="1"/>
    <xf numFmtId="0" fontId="6" fillId="0" borderId="0" xfId="0" applyNumberFormat="1" applyFont="1"/>
    <xf numFmtId="0" fontId="2" fillId="0" borderId="0" xfId="0" quotePrefix="1" applyNumberFormat="1" applyFont="1"/>
    <xf numFmtId="0" fontId="7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166" fontId="7" fillId="0" borderId="0" xfId="0" applyNumberFormat="1" applyFont="1" applyAlignment="1">
      <alignment horizontal="left"/>
    </xf>
    <xf numFmtId="49" fontId="0" fillId="0" borderId="0" xfId="0" applyNumberFormat="1" applyFont="1" applyAlignment="1">
      <alignment horizontal="right"/>
    </xf>
    <xf numFmtId="0" fontId="3" fillId="0" borderId="0" xfId="0" applyNumberFormat="1" applyFont="1"/>
    <xf numFmtId="49" fontId="0" fillId="3" borderId="3" xfId="0" applyNumberFormat="1" applyFont="1" applyFill="1" applyBorder="1" applyAlignment="1">
      <alignment horizontal="center" vertical="center" wrapText="1"/>
    </xf>
    <xf numFmtId="0" fontId="2" fillId="0" borderId="0" xfId="0" applyNumberFormat="1" applyFont="1"/>
    <xf numFmtId="0" fontId="2" fillId="0" borderId="0" xfId="0" applyNumberFormat="1" applyFont="1"/>
    <xf numFmtId="0" fontId="3" fillId="0" borderId="0" xfId="0" applyNumberFormat="1" applyFont="1"/>
    <xf numFmtId="0" fontId="0" fillId="0" borderId="0" xfId="0" applyNumberFormat="1" applyFont="1"/>
    <xf numFmtId="0" fontId="0" fillId="0" borderId="0" xfId="0" applyNumberFormat="1" applyFont="1"/>
    <xf numFmtId="0" fontId="0" fillId="0" borderId="0" xfId="0" applyNumberFormat="1" applyFont="1"/>
    <xf numFmtId="49" fontId="0" fillId="0" borderId="0" xfId="0" applyNumberFormat="1" applyFon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haredStrings" Target="sharedString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heetMetadata" Target="metadata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styles" Target="styles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F131F-64F4-46E7-9FBD-A1B7ACA9CBB7}">
  <dimension ref="A1:DZ3"/>
  <sheetViews>
    <sheetView showGridLines="0" defaultGridColor="0" colorId="8" workbookViewId="0"/>
  </sheetViews>
  <sheetFormatPr defaultRowHeight="15" customHeight="1" x14ac:dyDescent="0.3"/>
  <cols>
    <col min="1" max="130" width="20.6640625" style="41" customWidth="1"/>
  </cols>
  <sheetData>
    <row r="1" spans="1:130" ht="15" customHeight="1" x14ac:dyDescent="0.3">
      <c r="B1" s="1">
        <v>4</v>
      </c>
    </row>
    <row r="3" spans="1:130" ht="30" customHeight="1" x14ac:dyDescent="0.3">
      <c r="A3" s="20" t="s">
        <v>0</v>
      </c>
      <c r="B3" s="20" t="s">
        <v>1</v>
      </c>
      <c r="C3" s="20" t="s">
        <v>2</v>
      </c>
      <c r="D3" s="20" t="s">
        <v>3</v>
      </c>
      <c r="E3" s="20" t="s">
        <v>4</v>
      </c>
      <c r="F3" s="20" t="s">
        <v>5</v>
      </c>
      <c r="G3" s="20" t="s">
        <v>6</v>
      </c>
      <c r="H3" s="20" t="s">
        <v>7</v>
      </c>
      <c r="I3" s="20" t="s">
        <v>8</v>
      </c>
      <c r="J3" s="20" t="s">
        <v>9</v>
      </c>
      <c r="K3" s="20" t="s">
        <v>10</v>
      </c>
      <c r="L3" s="20" t="s">
        <v>11</v>
      </c>
      <c r="M3" s="20" t="s">
        <v>12</v>
      </c>
      <c r="N3" s="20" t="s">
        <v>13</v>
      </c>
      <c r="O3" s="20" t="s">
        <v>14</v>
      </c>
      <c r="P3" s="20" t="s">
        <v>15</v>
      </c>
      <c r="Q3" s="20" t="s">
        <v>16</v>
      </c>
      <c r="R3" s="20" t="s">
        <v>17</v>
      </c>
      <c r="S3" s="20" t="s">
        <v>18</v>
      </c>
      <c r="T3" s="20" t="s">
        <v>19</v>
      </c>
      <c r="U3" s="20" t="s">
        <v>20</v>
      </c>
      <c r="V3" s="20" t="s">
        <v>21</v>
      </c>
      <c r="W3" s="20" t="s">
        <v>22</v>
      </c>
      <c r="X3" s="20" t="s">
        <v>23</v>
      </c>
      <c r="Y3" s="20" t="s">
        <v>24</v>
      </c>
      <c r="Z3" s="20" t="s">
        <v>25</v>
      </c>
      <c r="AA3" s="20" t="s">
        <v>26</v>
      </c>
      <c r="AB3" s="20" t="s">
        <v>27</v>
      </c>
      <c r="AC3" s="20" t="s">
        <v>28</v>
      </c>
      <c r="AD3" s="20" t="s">
        <v>29</v>
      </c>
      <c r="AE3" s="20" t="s">
        <v>30</v>
      </c>
      <c r="AF3" s="20" t="s">
        <v>31</v>
      </c>
      <c r="AG3" s="20" t="s">
        <v>32</v>
      </c>
      <c r="AH3" s="20" t="s">
        <v>33</v>
      </c>
      <c r="AI3" s="20" t="s">
        <v>34</v>
      </c>
      <c r="AJ3" s="20" t="s">
        <v>35</v>
      </c>
      <c r="AK3" s="20" t="s">
        <v>36</v>
      </c>
      <c r="AL3" s="20" t="s">
        <v>37</v>
      </c>
      <c r="AM3" s="20" t="s">
        <v>38</v>
      </c>
      <c r="AN3" s="20" t="s">
        <v>39</v>
      </c>
      <c r="AO3" s="20" t="s">
        <v>40</v>
      </c>
      <c r="AP3" s="20" t="s">
        <v>41</v>
      </c>
      <c r="AQ3" s="20" t="s">
        <v>42</v>
      </c>
      <c r="AR3" s="20" t="s">
        <v>43</v>
      </c>
      <c r="AS3" s="20" t="s">
        <v>44</v>
      </c>
      <c r="AT3" s="20" t="s">
        <v>45</v>
      </c>
      <c r="AU3" s="20" t="s">
        <v>46</v>
      </c>
      <c r="AV3" s="20" t="s">
        <v>47</v>
      </c>
      <c r="AW3" s="20" t="s">
        <v>48</v>
      </c>
      <c r="AX3" s="20" t="s">
        <v>49</v>
      </c>
      <c r="AY3" s="20" t="s">
        <v>50</v>
      </c>
      <c r="AZ3" s="20" t="s">
        <v>51</v>
      </c>
      <c r="BA3" s="20" t="s">
        <v>52</v>
      </c>
      <c r="BB3" s="20" t="s">
        <v>53</v>
      </c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</row>
  </sheetData>
  <pageMargins left="0.7" right="0.7" top="0.75" bottom="0.75" header="0.3" footer="0.3"/>
  <pageSetup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C2059-B24A-26EA-A517-C3ADDBD3EE7D}">
  <sheetPr>
    <tabColor rgb="FFFFC0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295</v>
      </c>
    </row>
    <row r="5" spans="1:8" ht="15" customHeight="1" x14ac:dyDescent="0.3">
      <c r="A5" s="16"/>
      <c r="B5" s="16" t="s">
        <v>299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296</v>
      </c>
    </row>
    <row r="8" spans="1:8" ht="15" customHeight="1" x14ac:dyDescent="0.3">
      <c r="A8" s="7"/>
      <c r="B8" s="28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38F9A-C0DA-FBE6-1DBD-AB8164BB3532}">
  <sheetPr>
    <tabColor rgb="FFFFC0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278</v>
      </c>
    </row>
    <row r="5" spans="1:8" ht="15" customHeight="1" x14ac:dyDescent="0.3">
      <c r="A5" s="16"/>
      <c r="B5" s="16" t="s">
        <v>300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281</v>
      </c>
    </row>
    <row r="8" spans="1:8" ht="15" customHeight="1" x14ac:dyDescent="0.3">
      <c r="A8" s="7"/>
      <c r="B8" s="28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BF264-85C5-B453-C775-68B414ECC716}">
  <sheetPr>
    <tabColor rgb="FFFFC0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295</v>
      </c>
    </row>
    <row r="5" spans="1:8" ht="15" customHeight="1" x14ac:dyDescent="0.3">
      <c r="A5" s="16"/>
      <c r="B5" s="16" t="s">
        <v>300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296</v>
      </c>
    </row>
    <row r="8" spans="1:8" ht="15" customHeight="1" x14ac:dyDescent="0.3">
      <c r="A8" s="7"/>
      <c r="B8" s="28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24241-B304-69BA-BE97-495D9EB3D03E}">
  <sheetPr>
    <tabColor rgb="FFFFFF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278</v>
      </c>
    </row>
    <row r="5" spans="1:8" ht="15" customHeight="1" x14ac:dyDescent="0.3">
      <c r="A5" s="16"/>
      <c r="B5" s="16" t="s">
        <v>301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281</v>
      </c>
    </row>
    <row r="8" spans="1:8" ht="15" customHeight="1" x14ac:dyDescent="0.3">
      <c r="A8" s="7"/>
      <c r="B8" s="28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B7EE2-238F-8A38-6273-F82D02C2E486}">
  <sheetPr>
    <tabColor rgb="FFFFFF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295</v>
      </c>
    </row>
    <row r="5" spans="1:8" ht="15" customHeight="1" x14ac:dyDescent="0.3">
      <c r="A5" s="16"/>
      <c r="B5" s="16" t="s">
        <v>301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296</v>
      </c>
    </row>
    <row r="8" spans="1:8" ht="15" customHeight="1" x14ac:dyDescent="0.3">
      <c r="A8" s="7"/>
      <c r="B8" s="28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ACF7C-FA71-0EB2-8CFD-DB27BDF2D32C}">
  <sheetPr>
    <tabColor theme="5" tint="0.39997558519241921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278</v>
      </c>
    </row>
    <row r="5" spans="1:8" ht="15" customHeight="1" x14ac:dyDescent="0.3">
      <c r="A5" s="16"/>
      <c r="B5" s="16" t="s">
        <v>302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281</v>
      </c>
    </row>
    <row r="8" spans="1:8" ht="15" customHeight="1" x14ac:dyDescent="0.3">
      <c r="A8" s="7"/>
      <c r="B8" s="28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ECA6B-4F7C-EE84-926D-6311AF912E7E}">
  <sheetPr>
    <tabColor theme="5" tint="0.39997558519241921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295</v>
      </c>
    </row>
    <row r="5" spans="1:8" ht="15" customHeight="1" x14ac:dyDescent="0.3">
      <c r="A5" s="16"/>
      <c r="B5" s="16" t="s">
        <v>302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296</v>
      </c>
    </row>
    <row r="8" spans="1:8" ht="15" customHeight="1" x14ac:dyDescent="0.3">
      <c r="A8" s="7"/>
      <c r="B8" s="28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DC2903-8D87-6D58-945E-0692E3894EF2}">
  <sheetPr>
    <tabColor rgb="FFFFFF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278</v>
      </c>
    </row>
    <row r="5" spans="1:8" ht="15" customHeight="1" x14ac:dyDescent="0.3">
      <c r="A5" s="16"/>
      <c r="B5" s="16" t="s">
        <v>303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281</v>
      </c>
    </row>
    <row r="8" spans="1:8" ht="15" customHeight="1" x14ac:dyDescent="0.3">
      <c r="A8" s="7"/>
      <c r="B8" s="28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74BC3-6E87-DEBD-52CE-1C14120D8388}">
  <sheetPr>
    <tabColor rgb="FFFFFF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295</v>
      </c>
    </row>
    <row r="5" spans="1:8" ht="15" customHeight="1" x14ac:dyDescent="0.3">
      <c r="A5" s="16"/>
      <c r="B5" s="16" t="s">
        <v>303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296</v>
      </c>
    </row>
    <row r="8" spans="1:8" ht="15" customHeight="1" x14ac:dyDescent="0.3">
      <c r="A8" s="7"/>
      <c r="B8" s="28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37103-BC13-FEDA-1A27-5958F35AE386}">
  <sheetPr>
    <tabColor rgb="FFFFFF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295</v>
      </c>
    </row>
    <row r="5" spans="1:8" ht="15" customHeight="1" x14ac:dyDescent="0.3">
      <c r="A5" s="16"/>
      <c r="B5" s="16" t="s">
        <v>304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296</v>
      </c>
    </row>
    <row r="8" spans="1:8" ht="15" customHeight="1" x14ac:dyDescent="0.3">
      <c r="A8" s="7"/>
      <c r="B8" s="28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5C7AF4-35B8-6216-E841-3C8300E79662}">
  <dimension ref="A1:JL10002"/>
  <sheetViews>
    <sheetView showGridLines="0" defaultGridColor="0" colorId="8" workbookViewId="0"/>
  </sheetViews>
  <sheetFormatPr defaultRowHeight="15" customHeight="1" x14ac:dyDescent="0.3"/>
  <cols>
    <col min="1" max="220" width="20.6640625" style="41" customWidth="1"/>
    <col min="221" max="221" width="20.6640625" style="43" customWidth="1"/>
    <col min="222" max="223" width="20.6640625" style="41" customWidth="1"/>
  </cols>
  <sheetData>
    <row r="1" spans="1:272" ht="15" customHeight="1" x14ac:dyDescent="0.3">
      <c r="D1" s="1">
        <v>4</v>
      </c>
    </row>
    <row r="2" spans="1:272" ht="15" customHeight="1" x14ac:dyDescent="0.3">
      <c r="JK2" s="1">
        <v>271</v>
      </c>
      <c r="JL2" s="1">
        <v>4</v>
      </c>
    </row>
    <row r="3" spans="1:272" ht="30" customHeight="1" x14ac:dyDescent="0.3">
      <c r="A3" s="20" t="s">
        <v>2</v>
      </c>
      <c r="B3" s="20" t="s">
        <v>54</v>
      </c>
      <c r="C3" s="20" t="s">
        <v>5</v>
      </c>
      <c r="D3" s="20" t="s">
        <v>55</v>
      </c>
      <c r="E3" s="20" t="s">
        <v>56</v>
      </c>
      <c r="F3" s="20" t="s">
        <v>57</v>
      </c>
      <c r="G3" s="20" t="s">
        <v>58</v>
      </c>
      <c r="H3" s="20" t="s">
        <v>59</v>
      </c>
      <c r="I3" s="20" t="s">
        <v>60</v>
      </c>
      <c r="J3" s="20" t="s">
        <v>61</v>
      </c>
      <c r="K3" s="20" t="s">
        <v>62</v>
      </c>
      <c r="L3" s="20" t="s">
        <v>63</v>
      </c>
      <c r="M3" s="20" t="s">
        <v>64</v>
      </c>
      <c r="N3" s="20" t="s">
        <v>65</v>
      </c>
      <c r="O3" s="20" t="s">
        <v>66</v>
      </c>
      <c r="P3" s="20" t="s">
        <v>67</v>
      </c>
      <c r="Q3" s="20" t="s">
        <v>68</v>
      </c>
      <c r="R3" s="20" t="s">
        <v>69</v>
      </c>
      <c r="S3" s="20" t="s">
        <v>70</v>
      </c>
      <c r="T3" s="20" t="s">
        <v>71</v>
      </c>
      <c r="U3" s="20" t="s">
        <v>72</v>
      </c>
      <c r="V3" s="20" t="s">
        <v>73</v>
      </c>
      <c r="W3" s="20" t="s">
        <v>74</v>
      </c>
      <c r="X3" s="20" t="s">
        <v>75</v>
      </c>
      <c r="Y3" s="20" t="s">
        <v>76</v>
      </c>
      <c r="Z3" s="20" t="s">
        <v>77</v>
      </c>
      <c r="AA3" s="20" t="s">
        <v>78</v>
      </c>
      <c r="AB3" s="20" t="s">
        <v>79</v>
      </c>
      <c r="AC3" s="20" t="s">
        <v>80</v>
      </c>
      <c r="AD3" s="20" t="s">
        <v>81</v>
      </c>
      <c r="AE3" s="20" t="s">
        <v>82</v>
      </c>
      <c r="AF3" s="20" t="s">
        <v>83</v>
      </c>
      <c r="AG3" s="20" t="s">
        <v>84</v>
      </c>
      <c r="AH3" s="20" t="s">
        <v>85</v>
      </c>
      <c r="AI3" s="20" t="s">
        <v>86</v>
      </c>
      <c r="AJ3" s="20" t="s">
        <v>87</v>
      </c>
      <c r="AK3" s="20" t="s">
        <v>88</v>
      </c>
      <c r="AL3" s="20" t="s">
        <v>89</v>
      </c>
      <c r="AM3" s="20" t="s">
        <v>90</v>
      </c>
      <c r="AN3" s="20" t="s">
        <v>91</v>
      </c>
      <c r="AO3" s="20" t="s">
        <v>92</v>
      </c>
      <c r="AP3" s="20" t="s">
        <v>93</v>
      </c>
      <c r="AQ3" s="20" t="s">
        <v>94</v>
      </c>
      <c r="AR3" s="20" t="s">
        <v>95</v>
      </c>
      <c r="AS3" s="20" t="s">
        <v>96</v>
      </c>
      <c r="AT3" s="20" t="s">
        <v>97</v>
      </c>
      <c r="AU3" s="20" t="s">
        <v>98</v>
      </c>
      <c r="AV3" s="20" t="s">
        <v>99</v>
      </c>
      <c r="AW3" s="20" t="s">
        <v>100</v>
      </c>
      <c r="AX3" s="20" t="s">
        <v>101</v>
      </c>
      <c r="AY3" s="20" t="s">
        <v>102</v>
      </c>
      <c r="AZ3" s="20" t="s">
        <v>103</v>
      </c>
      <c r="BA3" s="20" t="s">
        <v>104</v>
      </c>
      <c r="BB3" s="20" t="s">
        <v>105</v>
      </c>
      <c r="BC3" s="20" t="s">
        <v>106</v>
      </c>
      <c r="BD3" s="20" t="s">
        <v>107</v>
      </c>
      <c r="BE3" s="20" t="s">
        <v>108</v>
      </c>
      <c r="BF3" s="20" t="s">
        <v>109</v>
      </c>
      <c r="BG3" s="20" t="s">
        <v>110</v>
      </c>
      <c r="BH3" s="20" t="s">
        <v>111</v>
      </c>
      <c r="BI3" s="20" t="s">
        <v>112</v>
      </c>
      <c r="BJ3" s="20" t="s">
        <v>113</v>
      </c>
      <c r="BK3" s="20" t="s">
        <v>114</v>
      </c>
      <c r="BL3" s="20" t="s">
        <v>115</v>
      </c>
      <c r="BM3" s="20" t="s">
        <v>116</v>
      </c>
      <c r="BN3" s="20" t="s">
        <v>117</v>
      </c>
      <c r="BO3" s="20" t="s">
        <v>118</v>
      </c>
      <c r="BP3" s="20" t="s">
        <v>119</v>
      </c>
      <c r="BQ3" s="20" t="s">
        <v>120</v>
      </c>
      <c r="BR3" s="20" t="s">
        <v>121</v>
      </c>
      <c r="BS3" s="20" t="s">
        <v>122</v>
      </c>
      <c r="BT3" s="20" t="s">
        <v>123</v>
      </c>
      <c r="BU3" s="20" t="s">
        <v>124</v>
      </c>
      <c r="BV3" s="20" t="s">
        <v>125</v>
      </c>
      <c r="BW3" s="20" t="s">
        <v>126</v>
      </c>
      <c r="BX3" s="20" t="s">
        <v>127</v>
      </c>
      <c r="BY3" s="20" t="s">
        <v>128</v>
      </c>
      <c r="BZ3" s="20" t="s">
        <v>129</v>
      </c>
      <c r="CA3" s="20" t="s">
        <v>130</v>
      </c>
      <c r="CB3" s="20" t="s">
        <v>131</v>
      </c>
      <c r="CC3" s="20" t="s">
        <v>132</v>
      </c>
      <c r="CD3" s="20" t="s">
        <v>133</v>
      </c>
      <c r="CE3" s="20" t="s">
        <v>134</v>
      </c>
      <c r="CF3" s="20" t="s">
        <v>135</v>
      </c>
      <c r="CG3" s="20" t="s">
        <v>136</v>
      </c>
      <c r="CH3" s="20" t="s">
        <v>137</v>
      </c>
      <c r="CI3" s="20" t="s">
        <v>138</v>
      </c>
      <c r="CJ3" s="20" t="s">
        <v>139</v>
      </c>
      <c r="CK3" s="20" t="s">
        <v>140</v>
      </c>
      <c r="CL3" s="20" t="s">
        <v>141</v>
      </c>
      <c r="CM3" s="20" t="s">
        <v>142</v>
      </c>
      <c r="CN3" s="20" t="s">
        <v>143</v>
      </c>
      <c r="CO3" s="20" t="s">
        <v>144</v>
      </c>
      <c r="CP3" s="20" t="s">
        <v>145</v>
      </c>
      <c r="CQ3" s="20" t="s">
        <v>146</v>
      </c>
      <c r="CR3" s="20" t="s">
        <v>147</v>
      </c>
      <c r="CS3" s="20" t="s">
        <v>148</v>
      </c>
      <c r="CT3" s="20" t="s">
        <v>149</v>
      </c>
      <c r="CU3" s="20" t="s">
        <v>150</v>
      </c>
      <c r="CV3" s="20" t="s">
        <v>151</v>
      </c>
      <c r="CW3" s="20" t="s">
        <v>152</v>
      </c>
      <c r="CX3" s="20" t="s">
        <v>153</v>
      </c>
      <c r="CY3" s="20" t="s">
        <v>154</v>
      </c>
      <c r="CZ3" s="20" t="s">
        <v>155</v>
      </c>
      <c r="DA3" s="20" t="s">
        <v>156</v>
      </c>
      <c r="DB3" s="20" t="s">
        <v>157</v>
      </c>
      <c r="DC3" s="20" t="s">
        <v>158</v>
      </c>
      <c r="DD3" s="20" t="s">
        <v>159</v>
      </c>
      <c r="DE3" s="20" t="s">
        <v>160</v>
      </c>
      <c r="DF3" s="20" t="s">
        <v>161</v>
      </c>
      <c r="DG3" s="20" t="s">
        <v>162</v>
      </c>
      <c r="DH3" s="20" t="s">
        <v>163</v>
      </c>
      <c r="DI3" s="20" t="s">
        <v>164</v>
      </c>
      <c r="DJ3" s="20" t="s">
        <v>165</v>
      </c>
      <c r="DK3" s="20" t="s">
        <v>166</v>
      </c>
      <c r="DL3" s="20" t="s">
        <v>167</v>
      </c>
      <c r="DM3" s="20" t="s">
        <v>168</v>
      </c>
      <c r="DN3" s="20" t="s">
        <v>169</v>
      </c>
      <c r="DO3" s="20" t="s">
        <v>170</v>
      </c>
      <c r="DP3" s="20" t="s">
        <v>171</v>
      </c>
      <c r="DQ3" s="20" t="s">
        <v>172</v>
      </c>
      <c r="DR3" s="20" t="s">
        <v>173</v>
      </c>
      <c r="DS3" s="20" t="s">
        <v>174</v>
      </c>
      <c r="DT3" s="20" t="s">
        <v>175</v>
      </c>
      <c r="DU3" s="20" t="s">
        <v>176</v>
      </c>
      <c r="DV3" s="20" t="s">
        <v>177</v>
      </c>
      <c r="DW3" s="20" t="s">
        <v>178</v>
      </c>
      <c r="DX3" s="20" t="s">
        <v>179</v>
      </c>
      <c r="DY3" s="20" t="s">
        <v>180</v>
      </c>
      <c r="DZ3" s="20" t="s">
        <v>181</v>
      </c>
      <c r="EA3" s="20" t="s">
        <v>182</v>
      </c>
      <c r="EB3" s="20" t="s">
        <v>183</v>
      </c>
      <c r="EC3" s="20" t="s">
        <v>184</v>
      </c>
      <c r="ED3" s="20" t="s">
        <v>185</v>
      </c>
      <c r="EE3" s="20" t="s">
        <v>186</v>
      </c>
      <c r="EF3" s="20" t="s">
        <v>187</v>
      </c>
      <c r="EG3" s="20" t="s">
        <v>188</v>
      </c>
      <c r="EH3" s="20" t="s">
        <v>189</v>
      </c>
      <c r="EI3" s="20" t="s">
        <v>190</v>
      </c>
      <c r="EJ3" s="20" t="s">
        <v>191</v>
      </c>
      <c r="EK3" s="20" t="s">
        <v>192</v>
      </c>
      <c r="EL3" s="20" t="s">
        <v>193</v>
      </c>
      <c r="EM3" s="20" t="s">
        <v>194</v>
      </c>
      <c r="EN3" s="20" t="s">
        <v>195</v>
      </c>
      <c r="EO3" s="20" t="s">
        <v>196</v>
      </c>
      <c r="EP3" s="20" t="s">
        <v>197</v>
      </c>
      <c r="EQ3" s="20" t="s">
        <v>198</v>
      </c>
      <c r="ER3" s="20" t="s">
        <v>199</v>
      </c>
      <c r="ES3" s="20" t="s">
        <v>200</v>
      </c>
      <c r="ET3" s="20" t="s">
        <v>201</v>
      </c>
      <c r="EU3" s="20" t="s">
        <v>202</v>
      </c>
      <c r="EV3" s="20" t="s">
        <v>203</v>
      </c>
      <c r="EW3" s="20" t="s">
        <v>204</v>
      </c>
      <c r="EX3" s="20" t="s">
        <v>205</v>
      </c>
      <c r="EY3" s="20" t="s">
        <v>206</v>
      </c>
      <c r="EZ3" s="20" t="s">
        <v>207</v>
      </c>
      <c r="FA3" s="20" t="s">
        <v>208</v>
      </c>
      <c r="FB3" s="20" t="s">
        <v>209</v>
      </c>
      <c r="FC3" s="20" t="s">
        <v>210</v>
      </c>
      <c r="FD3" s="20" t="s">
        <v>211</v>
      </c>
      <c r="FE3" s="20" t="s">
        <v>212</v>
      </c>
      <c r="FF3" s="20" t="s">
        <v>213</v>
      </c>
      <c r="FG3" s="20" t="s">
        <v>214</v>
      </c>
      <c r="FH3" s="20" t="s">
        <v>215</v>
      </c>
      <c r="FI3" s="20" t="s">
        <v>216</v>
      </c>
      <c r="FJ3" s="20" t="s">
        <v>217</v>
      </c>
      <c r="FK3" s="20" t="s">
        <v>218</v>
      </c>
      <c r="FL3" s="20" t="s">
        <v>219</v>
      </c>
      <c r="FM3" s="20" t="s">
        <v>220</v>
      </c>
      <c r="FN3" s="20" t="s">
        <v>221</v>
      </c>
      <c r="FO3" s="20" t="s">
        <v>222</v>
      </c>
      <c r="FP3" s="20" t="s">
        <v>223</v>
      </c>
      <c r="FQ3" s="20" t="s">
        <v>224</v>
      </c>
      <c r="FR3" s="20" t="s">
        <v>225</v>
      </c>
      <c r="FS3" s="20" t="s">
        <v>226</v>
      </c>
      <c r="FT3" s="20" t="s">
        <v>227</v>
      </c>
      <c r="FU3" s="20" t="s">
        <v>228</v>
      </c>
      <c r="FV3" s="20" t="s">
        <v>229</v>
      </c>
      <c r="FW3" s="20" t="s">
        <v>230</v>
      </c>
      <c r="FX3" s="20" t="s">
        <v>231</v>
      </c>
      <c r="FY3" s="20" t="s">
        <v>232</v>
      </c>
      <c r="FZ3" s="20" t="s">
        <v>233</v>
      </c>
      <c r="GA3" s="20" t="s">
        <v>234</v>
      </c>
      <c r="GB3" s="20" t="s">
        <v>235</v>
      </c>
      <c r="GC3" s="20" t="s">
        <v>236</v>
      </c>
      <c r="GD3" s="20" t="s">
        <v>237</v>
      </c>
      <c r="GE3" s="20" t="s">
        <v>238</v>
      </c>
      <c r="GF3" s="20" t="s">
        <v>239</v>
      </c>
      <c r="GG3" s="20" t="s">
        <v>240</v>
      </c>
      <c r="GH3" s="20" t="s">
        <v>241</v>
      </c>
      <c r="GI3" s="20" t="s">
        <v>242</v>
      </c>
      <c r="GJ3" s="20" t="s">
        <v>243</v>
      </c>
      <c r="GK3" s="20" t="s">
        <v>244</v>
      </c>
      <c r="GL3" s="20" t="s">
        <v>245</v>
      </c>
      <c r="GM3" s="20" t="s">
        <v>246</v>
      </c>
      <c r="GN3" s="20" t="s">
        <v>247</v>
      </c>
      <c r="GO3" s="20" t="s">
        <v>248</v>
      </c>
      <c r="GP3" s="20" t="s">
        <v>249</v>
      </c>
      <c r="GQ3" s="20" t="s">
        <v>250</v>
      </c>
      <c r="GR3" s="20" t="s">
        <v>251</v>
      </c>
      <c r="GS3" s="20" t="s">
        <v>252</v>
      </c>
      <c r="GT3" s="20" t="s">
        <v>253</v>
      </c>
      <c r="GU3" s="20" t="s">
        <v>254</v>
      </c>
      <c r="GV3" s="20" t="s">
        <v>255</v>
      </c>
      <c r="GW3" s="20" t="s">
        <v>256</v>
      </c>
      <c r="GX3" s="20" t="s">
        <v>257</v>
      </c>
      <c r="GY3" s="20" t="s">
        <v>258</v>
      </c>
      <c r="GZ3" s="20" t="s">
        <v>259</v>
      </c>
      <c r="HA3" s="20" t="s">
        <v>260</v>
      </c>
      <c r="HB3" s="20" t="s">
        <v>261</v>
      </c>
      <c r="HC3" s="20" t="s">
        <v>262</v>
      </c>
      <c r="HD3" s="20" t="s">
        <v>263</v>
      </c>
      <c r="HE3" s="20" t="s">
        <v>264</v>
      </c>
      <c r="HF3" s="20" t="s">
        <v>265</v>
      </c>
      <c r="HG3" s="20" t="s">
        <v>266</v>
      </c>
      <c r="HH3" s="20" t="s">
        <v>267</v>
      </c>
      <c r="HI3" s="20" t="s">
        <v>268</v>
      </c>
      <c r="HJ3" s="20" t="s">
        <v>269</v>
      </c>
      <c r="HK3" s="20"/>
      <c r="HL3" s="20" t="s">
        <v>270</v>
      </c>
      <c r="HM3" s="36"/>
      <c r="HN3" s="20" t="s">
        <v>52</v>
      </c>
      <c r="HO3" s="20" t="s">
        <v>53</v>
      </c>
      <c r="HP3" s="1" t="s">
        <v>271</v>
      </c>
      <c r="JK3" s="20" t="s">
        <v>272</v>
      </c>
      <c r="JL3" s="20" t="s">
        <v>273</v>
      </c>
    </row>
    <row r="10001" spans="271:272" ht="15" customHeight="1" x14ac:dyDescent="0.3">
      <c r="JK10001">
        <v>271</v>
      </c>
      <c r="JL10001">
        <v>10003</v>
      </c>
    </row>
    <row r="10002" spans="271:272" ht="45" customHeight="1" x14ac:dyDescent="0.3">
      <c r="JK10002" s="20" t="s">
        <v>274</v>
      </c>
      <c r="JL10002" s="20" t="s">
        <v>275</v>
      </c>
    </row>
  </sheetData>
  <pageMargins left="0.7" right="0.7" top="0.75" bottom="0.75" header="0.3" footer="0.3"/>
  <pageSetup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07719-A655-164B-AD58-CEAA0729F9DB}">
  <sheetPr>
    <tabColor rgb="FFFFFF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278</v>
      </c>
    </row>
    <row r="5" spans="1:8" ht="15" customHeight="1" x14ac:dyDescent="0.3">
      <c r="A5" s="16"/>
      <c r="B5" s="16" t="s">
        <v>305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281</v>
      </c>
    </row>
    <row r="8" spans="1:8" ht="15" customHeight="1" x14ac:dyDescent="0.3">
      <c r="A8" s="7"/>
      <c r="B8" s="28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6A3FC-C761-F4F9-7781-19A3B05B2F2E}">
  <sheetPr>
    <tabColor rgb="FFFFFF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295</v>
      </c>
    </row>
    <row r="5" spans="1:8" ht="15" customHeight="1" x14ac:dyDescent="0.3">
      <c r="A5" s="16"/>
      <c r="B5" s="16" t="s">
        <v>305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296</v>
      </c>
    </row>
    <row r="8" spans="1:8" ht="15" customHeight="1" x14ac:dyDescent="0.3">
      <c r="A8" s="7"/>
      <c r="B8" s="28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D19BF-0724-EF2B-E793-8E03223174F3}">
  <sheetPr>
    <tabColor rgb="FFFFFF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278</v>
      </c>
    </row>
    <row r="5" spans="1:8" ht="15" customHeight="1" x14ac:dyDescent="0.3">
      <c r="A5" s="16"/>
      <c r="B5" s="16" t="s">
        <v>306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281</v>
      </c>
    </row>
    <row r="8" spans="1:8" ht="15" customHeight="1" x14ac:dyDescent="0.3">
      <c r="A8" s="7"/>
      <c r="B8" s="28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E9A8F-29C2-177F-D5CC-092D7BA22CF9}">
  <sheetPr>
    <tabColor rgb="FFFFFF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295</v>
      </c>
    </row>
    <row r="5" spans="1:8" ht="15" customHeight="1" x14ac:dyDescent="0.3">
      <c r="A5" s="16"/>
      <c r="B5" s="16" t="s">
        <v>306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296</v>
      </c>
    </row>
    <row r="8" spans="1:8" ht="15" customHeight="1" x14ac:dyDescent="0.3">
      <c r="A8" s="7"/>
      <c r="B8" s="28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70749-7E34-B026-1B65-4C970B9C4D26}">
  <sheetPr>
    <tabColor rgb="FFFFFF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278</v>
      </c>
    </row>
    <row r="5" spans="1:8" ht="15" customHeight="1" x14ac:dyDescent="0.3">
      <c r="A5" s="16"/>
      <c r="B5" s="16" t="s">
        <v>307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281</v>
      </c>
    </row>
    <row r="8" spans="1:8" ht="15" customHeight="1" x14ac:dyDescent="0.3">
      <c r="A8" s="7"/>
      <c r="B8" s="28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3F531-2839-2A18-3488-76B271F8F801}">
  <sheetPr>
    <tabColor rgb="FFFFFF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295</v>
      </c>
    </row>
    <row r="5" spans="1:8" ht="15" customHeight="1" x14ac:dyDescent="0.3">
      <c r="A5" s="16"/>
      <c r="B5" s="16" t="s">
        <v>307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296</v>
      </c>
    </row>
    <row r="8" spans="1:8" ht="15" customHeight="1" x14ac:dyDescent="0.3">
      <c r="A8" s="7"/>
      <c r="B8" s="28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F8B1C-6F24-9B84-ABAD-31B116C972FE}">
  <sheetPr>
    <tabColor rgb="FFFFFF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278</v>
      </c>
    </row>
    <row r="5" spans="1:8" ht="15" customHeight="1" x14ac:dyDescent="0.3">
      <c r="A5" s="16"/>
      <c r="B5" s="16" t="s">
        <v>308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281</v>
      </c>
    </row>
    <row r="8" spans="1:8" ht="15" customHeight="1" x14ac:dyDescent="0.3">
      <c r="A8" s="7"/>
      <c r="B8" s="28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AFF11-A083-4999-22E4-2FE8DAE12B44}">
  <sheetPr>
    <tabColor rgb="FFFFC0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278</v>
      </c>
    </row>
    <row r="5" spans="1:8" ht="15" customHeight="1" x14ac:dyDescent="0.3">
      <c r="A5" s="16"/>
      <c r="B5" s="16" t="s">
        <v>309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281</v>
      </c>
    </row>
    <row r="8" spans="1:8" ht="15" customHeight="1" x14ac:dyDescent="0.3">
      <c r="A8" s="7"/>
      <c r="B8" s="28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DD5E58-86D1-CA4C-2F49-D910DD3BF1CF}">
  <sheetPr>
    <tabColor rgb="FFFFC0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295</v>
      </c>
    </row>
    <row r="5" spans="1:8" ht="15" customHeight="1" x14ac:dyDescent="0.3">
      <c r="A5" s="16"/>
      <c r="B5" s="16" t="s">
        <v>309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296</v>
      </c>
    </row>
    <row r="8" spans="1:8" ht="15" customHeight="1" x14ac:dyDescent="0.3">
      <c r="A8" s="7"/>
      <c r="B8" s="28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0FB22-EC61-0E55-FE5C-0E32BEE6AE1F}">
  <sheetPr>
    <tabColor theme="5" tint="0.39997558519241921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278</v>
      </c>
    </row>
    <row r="5" spans="1:8" ht="15" customHeight="1" x14ac:dyDescent="0.3">
      <c r="A5" s="16"/>
      <c r="B5" s="16" t="s">
        <v>310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281</v>
      </c>
    </row>
    <row r="8" spans="1:8" ht="15" customHeight="1" x14ac:dyDescent="0.3">
      <c r="A8" s="7"/>
      <c r="B8" s="28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8B576-25B9-BCEC-4E5F-D41271D853F3}">
  <sheetPr>
    <tabColor rgb="FF00B0F0"/>
    <outlinePr summaryBelow="0" summaryRight="0"/>
    <pageSetUpPr fitToPage="1"/>
  </sheetPr>
  <dimension ref="A2:R183"/>
  <sheetViews>
    <sheetView showGridLines="0" tabSelected="1" defaultGridColor="0" colorId="8" zoomScale="80" workbookViewId="0">
      <pane xSplit="3" ySplit="8" topLeftCell="D92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277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">
        <v>279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504149.17999999993</v>
      </c>
      <c r="E10" s="4">
        <f>SUM(OSRRefD11x_1)</f>
        <v>2488533.1399999997</v>
      </c>
      <c r="F10" s="4">
        <f>SUM(OSRRefD11x_2)</f>
        <v>2349602.9600000004</v>
      </c>
      <c r="G10" s="4">
        <f>SUM(OSRRefD11x_3)</f>
        <v>2529009.2400000002</v>
      </c>
      <c r="H10" s="4">
        <f>SUM(OSRRefD11x_4)</f>
        <v>1806314.45</v>
      </c>
      <c r="I10" s="4">
        <f>SUM(OSRRefD11x_5)</f>
        <v>1697984.62</v>
      </c>
      <c r="J10" s="4">
        <f>SUM(OSRRefD11x_6)</f>
        <v>1585129.57</v>
      </c>
      <c r="K10" s="4">
        <f>SUM(OSRRefD11x_7)</f>
        <v>2685762.0700000003</v>
      </c>
      <c r="L10" s="4">
        <f>SUM(OSRRefD11x_8)</f>
        <v>2868157.09</v>
      </c>
      <c r="M10" s="4">
        <f>SUM(OSRRefD11x_9)</f>
        <v>3345135.4600000004</v>
      </c>
      <c r="N10" s="4">
        <f>SUM(OSRRefE11x_0)</f>
        <v>1696220</v>
      </c>
      <c r="O10" s="4">
        <f>SUM(OSRRefE11x_1)</f>
        <v>528176</v>
      </c>
      <c r="P10" s="25"/>
      <c r="Q10" s="4">
        <f>SUM(OSRRefG11x)</f>
        <v>24084173.780000001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--270004.59</f>
        <v>270004.59000000003</v>
      </c>
      <c r="E11" s="3">
        <f>--1520862.77</f>
        <v>1520862.77</v>
      </c>
      <c r="F11" s="3">
        <f>--602508.39</f>
        <v>602508.39</v>
      </c>
      <c r="G11" s="3">
        <f>--566965.46</f>
        <v>566965.46</v>
      </c>
      <c r="H11" s="3">
        <f>--366495.88</f>
        <v>366495.88</v>
      </c>
      <c r="I11" s="3">
        <f>--617096.02</f>
        <v>617096.02</v>
      </c>
      <c r="J11" s="3">
        <f>--746972.12</f>
        <v>746972.12</v>
      </c>
      <c r="K11" s="3">
        <f>--800682.06</f>
        <v>800682.06</v>
      </c>
      <c r="L11" s="3">
        <f>--976734.65</f>
        <v>976734.65</v>
      </c>
      <c r="M11" s="3">
        <f>--1263526.81</f>
        <v>1263526.81</v>
      </c>
      <c r="N11" s="3">
        <v>834282</v>
      </c>
      <c r="O11" s="3">
        <v>426998</v>
      </c>
      <c r="Q11" s="3">
        <f>SUM(OSRRefD11_0x)+IFERROR(SUM(OSRRefE11_0x),0)</f>
        <v>8993128.75</v>
      </c>
    </row>
    <row r="12" spans="1:18" s="39" customFormat="1" ht="15" hidden="1" customHeight="1" outlineLevel="1" x14ac:dyDescent="0.3">
      <c r="A12" s="24"/>
      <c r="B12" s="11" t="str">
        <f>CONCATENATE("          ","4051"," - ","TAXABLE SALES-FOOD")</f>
        <v xml:space="preserve">          4051 - TAXABLE SALES-FOOD</v>
      </c>
      <c r="C12" s="23"/>
      <c r="D12" s="3">
        <f>--10630.93</f>
        <v>10630.93</v>
      </c>
      <c r="E12" s="3">
        <f>--20639.51</f>
        <v>20639.509999999998</v>
      </c>
      <c r="F12" s="3">
        <f>--33705.87</f>
        <v>33705.870000000003</v>
      </c>
      <c r="G12" s="3">
        <f>--39274.26</f>
        <v>39274.26</v>
      </c>
      <c r="H12" s="3">
        <f>--23100.6</f>
        <v>23100.6</v>
      </c>
      <c r="I12" s="3">
        <f>--19631.62</f>
        <v>19631.62</v>
      </c>
      <c r="J12" s="3">
        <f>--2376.57</f>
        <v>2376.5700000000002</v>
      </c>
      <c r="K12" s="3">
        <f>--56330.93</f>
        <v>56330.93</v>
      </c>
      <c r="L12" s="3">
        <f>--58129.76</f>
        <v>58129.760000000002</v>
      </c>
      <c r="M12" s="3">
        <f>--55113.37</f>
        <v>55113.37</v>
      </c>
      <c r="N12" s="3"/>
      <c r="O12" s="3"/>
      <c r="Q12" s="3">
        <f>SUM(OSRRefD11_1x)+IFERROR(SUM(OSRRefE11_1x),0)</f>
        <v>318933.42</v>
      </c>
    </row>
    <row r="13" spans="1:18" s="39" customFormat="1" ht="15" hidden="1" customHeight="1" outlineLevel="1" x14ac:dyDescent="0.3">
      <c r="A13" s="24"/>
      <c r="B13" s="11" t="str">
        <f>CONCATENATE("          ","4053"," - ","TAXABLE SALES-FOOD")</f>
        <v xml:space="preserve">          4053 - TAXABLE SALES-FOOD</v>
      </c>
      <c r="C13" s="23"/>
      <c r="D13" s="3">
        <f>--106.64</f>
        <v>106.64</v>
      </c>
      <c r="E13" s="3">
        <f>--384.19</f>
        <v>384.19</v>
      </c>
      <c r="F13" s="3">
        <f>--783.19</f>
        <v>783.19</v>
      </c>
      <c r="G13" s="3">
        <f>--5315.1</f>
        <v>5315.1</v>
      </c>
      <c r="H13" s="3">
        <f>--2037.86</f>
        <v>2037.86</v>
      </c>
      <c r="I13" s="3">
        <f>--2035.19</f>
        <v>2035.19</v>
      </c>
      <c r="J13" s="3">
        <f>--1512.98</f>
        <v>1512.98</v>
      </c>
      <c r="K13" s="3">
        <f>--6171.55</f>
        <v>6171.55</v>
      </c>
      <c r="L13" s="3">
        <f>--3253.6</f>
        <v>3253.6</v>
      </c>
      <c r="M13" s="3">
        <f>--8523.96</f>
        <v>8523.9599999999991</v>
      </c>
      <c r="N13" s="3"/>
      <c r="O13" s="3"/>
      <c r="Q13" s="3">
        <f>SUM(OSRRefD11_2x)+IFERROR(SUM(OSRRefE11_2x),0)</f>
        <v>30124.26</v>
      </c>
    </row>
    <row r="14" spans="1:18" s="39" customFormat="1" ht="15" hidden="1" customHeight="1" outlineLevel="1" x14ac:dyDescent="0.3">
      <c r="A14" s="24"/>
      <c r="B14" s="11" t="str">
        <f>CONCATENATE("          ","4055"," - ","TAXABLE SALES-FOOD")</f>
        <v xml:space="preserve">          4055 - TAXABLE SALES-FOOD</v>
      </c>
      <c r="C14" s="23"/>
      <c r="D14" s="3">
        <f>0</f>
        <v>0</v>
      </c>
      <c r="E14" s="3">
        <f>0</f>
        <v>0</v>
      </c>
      <c r="F14" s="3">
        <f>0</f>
        <v>0</v>
      </c>
      <c r="G14" s="3">
        <f>0</f>
        <v>0</v>
      </c>
      <c r="H14" s="3">
        <f>0</f>
        <v>0</v>
      </c>
      <c r="I14" s="3">
        <f>0</f>
        <v>0</v>
      </c>
      <c r="J14" s="3">
        <f>0</f>
        <v>0</v>
      </c>
      <c r="K14" s="3">
        <f>0</f>
        <v>0</v>
      </c>
      <c r="L14" s="3">
        <f>--541.27</f>
        <v>541.27</v>
      </c>
      <c r="M14" s="3">
        <f>--1014.83</f>
        <v>1014.83</v>
      </c>
      <c r="N14" s="3"/>
      <c r="O14" s="3"/>
      <c r="Q14" s="3">
        <f>SUM(OSRRefD11_3x)+IFERROR(SUM(OSRRefE11_3x),0)</f>
        <v>1556.1</v>
      </c>
    </row>
    <row r="15" spans="1:18" s="39" customFormat="1" ht="15" hidden="1" customHeight="1" outlineLevel="1" x14ac:dyDescent="0.3">
      <c r="A15" s="24"/>
      <c r="B15" s="11" t="str">
        <f>CONCATENATE("          ","4100"," - ","NON-TAXABLE SALES")</f>
        <v xml:space="preserve">          4100 - NON-TAXABLE SALES</v>
      </c>
      <c r="C15" s="23"/>
      <c r="D15" s="3">
        <f>--225721.52</f>
        <v>225721.52</v>
      </c>
      <c r="E15" s="3">
        <f>--498108.59</f>
        <v>498108.59</v>
      </c>
      <c r="F15" s="3">
        <f>--231457.89</f>
        <v>231457.89</v>
      </c>
      <c r="G15" s="3">
        <f>--234443.72</f>
        <v>234443.72</v>
      </c>
      <c r="H15" s="3">
        <f>--113185.96</f>
        <v>113185.96</v>
      </c>
      <c r="I15" s="3">
        <f>--116954.97</f>
        <v>116954.97</v>
      </c>
      <c r="J15" s="3">
        <f>--232001.54</f>
        <v>232001.54</v>
      </c>
      <c r="K15" s="3">
        <f>--337738.85</f>
        <v>337738.85</v>
      </c>
      <c r="L15" s="3">
        <f>--318217.57</f>
        <v>318217.57</v>
      </c>
      <c r="M15" s="3">
        <f>--324841.85</f>
        <v>324841.84999999998</v>
      </c>
      <c r="N15" s="3">
        <v>861938</v>
      </c>
      <c r="O15" s="3">
        <v>101178</v>
      </c>
      <c r="Q15" s="3">
        <f>SUM(OSRRefD11_4x)+IFERROR(SUM(OSRRefE11_4x),0)</f>
        <v>3595788.46</v>
      </c>
    </row>
    <row r="16" spans="1:18" s="39" customFormat="1" ht="15" hidden="1" customHeight="1" outlineLevel="1" x14ac:dyDescent="0.3">
      <c r="A16" s="24"/>
      <c r="B16" s="11" t="str">
        <f>CONCATENATE("          ","4141"," - ","NON-TAXABLE SALES-LOGO GIFTS")</f>
        <v xml:space="preserve">          4141 - NON-TAXABLE SALES-LOGO GIFTS</v>
      </c>
      <c r="C16" s="23"/>
      <c r="D16" s="3">
        <f>0</f>
        <v>0</v>
      </c>
      <c r="E16" s="3">
        <f>--389.5</f>
        <v>389.5</v>
      </c>
      <c r="F16" s="3">
        <f>--71.05</f>
        <v>71.05</v>
      </c>
      <c r="G16" s="3">
        <f>-460.55</f>
        <v>-460.55</v>
      </c>
      <c r="H16" s="3">
        <f>0</f>
        <v>0</v>
      </c>
      <c r="I16" s="3">
        <f>0</f>
        <v>0</v>
      </c>
      <c r="J16" s="3">
        <f>0</f>
        <v>0</v>
      </c>
      <c r="K16" s="3">
        <f>0</f>
        <v>0</v>
      </c>
      <c r="L16" s="3">
        <f>0</f>
        <v>0</v>
      </c>
      <c r="M16" s="3">
        <f>0</f>
        <v>0</v>
      </c>
      <c r="N16" s="3"/>
      <c r="O16" s="3"/>
      <c r="Q16" s="3">
        <f>SUM(OSRRefD11_5x)+IFERROR(SUM(OSRRefE11_5x),0)</f>
        <v>0</v>
      </c>
    </row>
    <row r="17" spans="1:17" s="39" customFormat="1" ht="15" hidden="1" customHeight="1" outlineLevel="1" x14ac:dyDescent="0.3">
      <c r="A17" s="24"/>
      <c r="B17" s="11" t="str">
        <f>CONCATENATE("          ","4146"," - ","NON-TAXABLE SALES-COIN OP MACH")</f>
        <v xml:space="preserve">          4146 - NON-TAXABLE SALES-COIN OP MACH</v>
      </c>
      <c r="C17" s="23"/>
      <c r="D17" s="3">
        <f>--20.2</f>
        <v>20.2</v>
      </c>
      <c r="E17" s="3">
        <f>--2713.4</f>
        <v>2713.4</v>
      </c>
      <c r="F17" s="3">
        <f>--4759.35</f>
        <v>4759.3500000000004</v>
      </c>
      <c r="G17" s="3">
        <f>-7492.95</f>
        <v>-7492.95</v>
      </c>
      <c r="H17" s="3">
        <f>0</f>
        <v>0</v>
      </c>
      <c r="I17" s="3">
        <f>0</f>
        <v>0</v>
      </c>
      <c r="J17" s="3">
        <f>0</f>
        <v>0</v>
      </c>
      <c r="K17" s="3">
        <f>0</f>
        <v>0</v>
      </c>
      <c r="L17" s="3">
        <f>0</f>
        <v>0</v>
      </c>
      <c r="M17" s="3">
        <f>0</f>
        <v>0</v>
      </c>
      <c r="N17" s="3"/>
      <c r="O17" s="3"/>
      <c r="Q17" s="3">
        <f>SUM(OSRRefD11_6x)+IFERROR(SUM(OSRRefE11_6x),0)</f>
        <v>9.0949470177292824E-13</v>
      </c>
    </row>
    <row r="18" spans="1:17" s="39" customFormat="1" ht="15" hidden="1" customHeight="1" outlineLevel="1" x14ac:dyDescent="0.3">
      <c r="A18" s="24"/>
      <c r="B18" s="11" t="str">
        <f>CONCATENATE("          ","4151"," - ","NON-TAXABLE SALES-FOOD")</f>
        <v xml:space="preserve">          4151 - NON-TAXABLE SALES-FOOD</v>
      </c>
      <c r="C18" s="23"/>
      <c r="D18" s="3">
        <f>--28671.38</f>
        <v>28671.38</v>
      </c>
      <c r="E18" s="3">
        <f>--498691.97</f>
        <v>498691.97</v>
      </c>
      <c r="F18" s="3">
        <f>--1509200.13</f>
        <v>1509200.13</v>
      </c>
      <c r="G18" s="3">
        <f>--1734326.4</f>
        <v>1734326.4</v>
      </c>
      <c r="H18" s="3">
        <f>--1356110.78</f>
        <v>1356110.78</v>
      </c>
      <c r="I18" s="3">
        <f>--1041445.01</f>
        <v>1041445.01</v>
      </c>
      <c r="J18" s="3">
        <f>--637954.74</f>
        <v>637954.74</v>
      </c>
      <c r="K18" s="3">
        <f>--1525459.07</f>
        <v>1525459.07</v>
      </c>
      <c r="L18" s="3">
        <f>--1578769.24</f>
        <v>1578769.24</v>
      </c>
      <c r="M18" s="3">
        <f>--1941274.31</f>
        <v>1941274.31</v>
      </c>
      <c r="N18" s="3"/>
      <c r="O18" s="3"/>
      <c r="Q18" s="3">
        <f>SUM(OSRRefD11_7x)+IFERROR(SUM(OSRRefE11_7x),0)</f>
        <v>11851903.030000001</v>
      </c>
    </row>
    <row r="19" spans="1:17" s="39" customFormat="1" ht="15" hidden="1" customHeight="1" outlineLevel="1" x14ac:dyDescent="0.3">
      <c r="A19" s="24"/>
      <c r="B19" s="11" t="str">
        <f>CONCATENATE("          ","4153"," - ","NON-TAXABLE SALES-FOOD")</f>
        <v xml:space="preserve">          4153 - NON-TAXABLE SALES-FOOD</v>
      </c>
      <c r="C19" s="23"/>
      <c r="D19" s="3">
        <f>--3280.71</f>
        <v>3280.71</v>
      </c>
      <c r="E19" s="3">
        <f>--15917.66</f>
        <v>15917.66</v>
      </c>
      <c r="F19" s="3">
        <f>--13078.96</f>
        <v>13078.96</v>
      </c>
      <c r="G19" s="3">
        <f>--12127.37</f>
        <v>12127.37</v>
      </c>
      <c r="H19" s="3">
        <f>--6365.13</f>
        <v>6365.13</v>
      </c>
      <c r="I19" s="3">
        <f>--5696.16</f>
        <v>5696.16</v>
      </c>
      <c r="J19" s="3">
        <f>--5015.33</f>
        <v>5015.33</v>
      </c>
      <c r="K19" s="3">
        <f>--19305.96</f>
        <v>19305.96</v>
      </c>
      <c r="L19" s="3">
        <f>--15712.94</f>
        <v>15712.94</v>
      </c>
      <c r="M19" s="3">
        <f>--15546.35</f>
        <v>15546.35</v>
      </c>
      <c r="N19" s="3"/>
      <c r="O19" s="3"/>
      <c r="Q19" s="3">
        <f>SUM(OSRRefD11_8x)+IFERROR(SUM(OSRRefE11_8x),0)</f>
        <v>112046.57</v>
      </c>
    </row>
    <row r="20" spans="1:17" s="39" customFormat="1" ht="15" hidden="1" customHeight="1" outlineLevel="1" x14ac:dyDescent="0.3">
      <c r="A20" s="24"/>
      <c r="B20" s="11" t="str">
        <f>CONCATENATE("          ","4155"," - ","NON-TAXABLE SALES-FOOD")</f>
        <v xml:space="preserve">          4155 - NON-TAXABLE SALES-FOOD</v>
      </c>
      <c r="C20" s="23"/>
      <c r="D20" s="3">
        <f>0</f>
        <v>0</v>
      </c>
      <c r="E20" s="3">
        <f>0</f>
        <v>0</v>
      </c>
      <c r="F20" s="3">
        <f>0</f>
        <v>0</v>
      </c>
      <c r="G20" s="3">
        <f>0</f>
        <v>0</v>
      </c>
      <c r="H20" s="3">
        <f>0</f>
        <v>0</v>
      </c>
      <c r="I20" s="3">
        <f>0</f>
        <v>0</v>
      </c>
      <c r="J20" s="3">
        <f>0</f>
        <v>0</v>
      </c>
      <c r="K20" s="3">
        <f>0</f>
        <v>0</v>
      </c>
      <c r="L20" s="3">
        <f>--1744.71</f>
        <v>1744.71</v>
      </c>
      <c r="M20" s="3">
        <f>--2054.61</f>
        <v>2054.61</v>
      </c>
      <c r="N20" s="3"/>
      <c r="O20" s="3"/>
      <c r="Q20" s="3">
        <f>SUM(OSRRefD11_9x)+IFERROR(SUM(OSRRefE11_9x),0)</f>
        <v>3799.32</v>
      </c>
    </row>
    <row r="21" spans="1:17" s="39" customFormat="1" ht="15" hidden="1" customHeight="1" outlineLevel="1" x14ac:dyDescent="0.3">
      <c r="A21" s="24"/>
      <c r="B21" s="11" t="str">
        <f>CONCATENATE("          ","4200"," - ","TAXABLE RETURNS")</f>
        <v xml:space="preserve">          4200 - TAXABLE RETURNS</v>
      </c>
      <c r="C21" s="23"/>
      <c r="D21" s="3">
        <f>-32785.21</f>
        <v>-32785.21</v>
      </c>
      <c r="E21" s="3">
        <f>-52638.54</f>
        <v>-52638.54</v>
      </c>
      <c r="F21" s="3">
        <f>-43203.32</f>
        <v>-43203.32</v>
      </c>
      <c r="G21" s="3">
        <f>-42133.25</f>
        <v>-42133.25</v>
      </c>
      <c r="H21" s="3">
        <f>-53747.52</f>
        <v>-53747.519999999997</v>
      </c>
      <c r="I21" s="3">
        <f>-53893.38</f>
        <v>-53893.38</v>
      </c>
      <c r="J21" s="3">
        <f>-33158.25</f>
        <v>-33158.25</v>
      </c>
      <c r="K21" s="3">
        <f>-44012.96</f>
        <v>-44012.959999999999</v>
      </c>
      <c r="L21" s="3">
        <f>-75345.79</f>
        <v>-75345.789999999994</v>
      </c>
      <c r="M21" s="3">
        <f>-241952.39</f>
        <v>-241952.39</v>
      </c>
      <c r="N21" s="3"/>
      <c r="O21" s="3"/>
      <c r="Q21" s="3">
        <f>SUM(OSRRefD11_10x)+IFERROR(SUM(OSRRefE11_10x),0)</f>
        <v>-672870.61</v>
      </c>
    </row>
    <row r="22" spans="1:17" s="39" customFormat="1" ht="15" hidden="1" customHeight="1" outlineLevel="1" x14ac:dyDescent="0.3">
      <c r="A22" s="24"/>
      <c r="B22" s="11" t="str">
        <f>CONCATENATE("          ","4300"," - ","NON-TAX RETURNS")</f>
        <v xml:space="preserve">          4300 - NON-TAX RETURNS</v>
      </c>
      <c r="C22" s="23"/>
      <c r="D22" s="3">
        <f>-1501.58</f>
        <v>-1501.58</v>
      </c>
      <c r="E22" s="3">
        <f>-16535.91</f>
        <v>-16535.91</v>
      </c>
      <c r="F22" s="3">
        <f>-2758.55</f>
        <v>-2758.55</v>
      </c>
      <c r="G22" s="3">
        <f>-5693.23</f>
        <v>-5693.23</v>
      </c>
      <c r="H22" s="3">
        <f>-715.91</f>
        <v>-715.91</v>
      </c>
      <c r="I22" s="3">
        <f>-678.95</f>
        <v>-678.95</v>
      </c>
      <c r="J22" s="3">
        <f>-894.73</f>
        <v>-894.73</v>
      </c>
      <c r="K22" s="3">
        <f>-3582.86</f>
        <v>-3582.86</v>
      </c>
      <c r="L22" s="3">
        <f>0</f>
        <v>0</v>
      </c>
      <c r="M22" s="3">
        <f>-9969.65</f>
        <v>-9969.65</v>
      </c>
      <c r="N22" s="3"/>
      <c r="O22" s="3"/>
      <c r="Q22" s="3">
        <f>SUM(OSRRefD11_11x)+IFERROR(SUM(OSRRefE11_11x),0)</f>
        <v>-42331.369999999995</v>
      </c>
    </row>
    <row r="23" spans="1:17" s="39" customFormat="1" ht="15" hidden="1" customHeight="1" outlineLevel="1" x14ac:dyDescent="0.3">
      <c r="A23" s="24"/>
      <c r="B23" s="11" t="str">
        <f>CONCATENATE("          ","4500"," - ","SALES DISCOUNT")</f>
        <v xml:space="preserve">          4500 - SALES DISCOUNT</v>
      </c>
      <c r="C23" s="23"/>
      <c r="D23" s="3">
        <f>0</f>
        <v>0</v>
      </c>
      <c r="E23" s="3">
        <f>0</f>
        <v>0</v>
      </c>
      <c r="F23" s="3">
        <f>0</f>
        <v>0</v>
      </c>
      <c r="G23" s="3">
        <f>-7663.09</f>
        <v>-7663.09</v>
      </c>
      <c r="H23" s="3">
        <f>-6518.33</f>
        <v>-6518.33</v>
      </c>
      <c r="I23" s="3">
        <f>-50302.02</f>
        <v>-50302.02</v>
      </c>
      <c r="J23" s="3">
        <f>-6650.73</f>
        <v>-6650.73</v>
      </c>
      <c r="K23" s="3">
        <f>-12330.53</f>
        <v>-12330.53</v>
      </c>
      <c r="L23" s="3">
        <f>-9600.86</f>
        <v>-9600.86</v>
      </c>
      <c r="M23" s="3">
        <f>-14838.59</f>
        <v>-14838.59</v>
      </c>
      <c r="N23" s="3"/>
      <c r="O23" s="3"/>
      <c r="Q23" s="3">
        <f>SUM(OSRRefD11_12x)+IFERROR(SUM(OSRRefE11_12x),0)</f>
        <v>-107904.15</v>
      </c>
    </row>
    <row r="24" spans="1:17" ht="15" customHeight="1" x14ac:dyDescent="0.3">
      <c r="A24" s="6"/>
      <c r="B24" s="7"/>
      <c r="C24" s="6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25"/>
      <c r="Q24" s="4"/>
    </row>
    <row r="25" spans="1:17" s="39" customFormat="1" ht="15" customHeight="1" collapsed="1" x14ac:dyDescent="0.3">
      <c r="A25" s="24"/>
      <c r="B25" s="17" t="s">
        <v>284</v>
      </c>
      <c r="C25" s="23"/>
      <c r="D25" s="4">
        <f>SUM(OSRRefD14x_0)</f>
        <v>231981.13000000006</v>
      </c>
      <c r="E25" s="4">
        <f>SUM(OSRRefD14x_1)</f>
        <v>1476722.11</v>
      </c>
      <c r="F25" s="4">
        <f>SUM(OSRRefD14x_2)</f>
        <v>918591.82000000018</v>
      </c>
      <c r="G25" s="4">
        <f>SUM(OSRRefD14x_3)</f>
        <v>975886.2300000001</v>
      </c>
      <c r="H25" s="4">
        <f>SUM(OSRRefD14x_4)</f>
        <v>561552.03</v>
      </c>
      <c r="I25" s="4">
        <f>SUM(OSRRefD14x_5)</f>
        <v>653925.90999999992</v>
      </c>
      <c r="J25" s="4">
        <f>SUM(OSRRefD14x_6)</f>
        <v>696667.32999999984</v>
      </c>
      <c r="K25" s="4">
        <f>SUM(OSRRefD14x_7)</f>
        <v>981293.33</v>
      </c>
      <c r="L25" s="4">
        <f>SUM(OSRRefD14x_8)</f>
        <v>1101014.44</v>
      </c>
      <c r="M25" s="4">
        <f>SUM(OSRRefD14x_9)</f>
        <v>1162184.9900000002</v>
      </c>
      <c r="N25" s="4">
        <f>SUM(OSRRefE14x_0)</f>
        <v>804888</v>
      </c>
      <c r="O25" s="4">
        <f>SUM(OSRRefE14x_1)</f>
        <v>279546</v>
      </c>
      <c r="Q25" s="4">
        <f>SUM(OSRRefG14x)</f>
        <v>9844253.3199999984</v>
      </c>
    </row>
    <row r="26" spans="1:17" s="39" customFormat="1" ht="15" hidden="1" customHeight="1" outlineLevel="1" x14ac:dyDescent="0.3">
      <c r="A26" s="24"/>
      <c r="B26" s="11" t="str">
        <f>CONCATENATE("          ","5000"," - ","PURCHASES @ COST")</f>
        <v xml:space="preserve">          5000 - PURCHASES @ COST</v>
      </c>
      <c r="C26" s="23"/>
      <c r="D26" s="3">
        <v>442136.21</v>
      </c>
      <c r="E26" s="3">
        <v>785954.3</v>
      </c>
      <c r="F26" s="3">
        <v>895370.31</v>
      </c>
      <c r="G26" s="3">
        <v>879528.49</v>
      </c>
      <c r="H26" s="3">
        <v>-11220.02</v>
      </c>
      <c r="I26" s="3">
        <v>467393.3</v>
      </c>
      <c r="J26" s="3">
        <v>586825.11</v>
      </c>
      <c r="K26" s="3">
        <v>529484.19999999995</v>
      </c>
      <c r="L26" s="3">
        <v>496131.13</v>
      </c>
      <c r="M26" s="3">
        <v>362482.26</v>
      </c>
      <c r="N26" s="3">
        <v>804888</v>
      </c>
      <c r="O26" s="3">
        <v>279546</v>
      </c>
      <c r="Q26" s="3">
        <f>SUM(OSRRefD14_0x)+IFERROR(SUM(OSRRefE14_0x),0)</f>
        <v>6518519.29</v>
      </c>
    </row>
    <row r="27" spans="1:17" s="39" customFormat="1" ht="15" hidden="1" customHeight="1" outlineLevel="1" x14ac:dyDescent="0.3">
      <c r="A27" s="24"/>
      <c r="B27" s="11" t="str">
        <f>CONCATENATE("          ","5001"," - ","PURCHASES @ COST-NEW TEXT")</f>
        <v xml:space="preserve">          5001 - PURCHASES @ COST-NEW TEXT</v>
      </c>
      <c r="C27" s="23"/>
      <c r="D27" s="3">
        <v>0</v>
      </c>
      <c r="E27" s="3">
        <v>0</v>
      </c>
      <c r="F27" s="3">
        <v>0</v>
      </c>
      <c r="G27" s="3">
        <v>0</v>
      </c>
      <c r="H27" s="3"/>
      <c r="I27" s="3"/>
      <c r="J27" s="3"/>
      <c r="K27" s="3"/>
      <c r="L27" s="3"/>
      <c r="M27" s="3"/>
      <c r="N27" s="3"/>
      <c r="O27" s="3"/>
      <c r="Q27" s="3">
        <f>SUM(OSRRefD14_1x)+IFERROR(SUM(OSRRefE14_1x),0)</f>
        <v>0</v>
      </c>
    </row>
    <row r="28" spans="1:17" s="39" customFormat="1" ht="15" hidden="1" customHeight="1" outlineLevel="1" x14ac:dyDescent="0.3">
      <c r="A28" s="24"/>
      <c r="B28" s="11" t="str">
        <f>CONCATENATE("          ","5002"," - ","PURCHASES @ COST-USED TEXT")</f>
        <v xml:space="preserve">          5002 - PURCHASES @ COST-USED TEXT</v>
      </c>
      <c r="C28" s="23"/>
      <c r="D28" s="3">
        <v>0</v>
      </c>
      <c r="E28" s="3">
        <v>0</v>
      </c>
      <c r="F28" s="3">
        <v>0</v>
      </c>
      <c r="G28" s="3"/>
      <c r="H28" s="3"/>
      <c r="I28" s="3"/>
      <c r="J28" s="3"/>
      <c r="K28" s="3"/>
      <c r="L28" s="3"/>
      <c r="M28" s="3"/>
      <c r="N28" s="3"/>
      <c r="O28" s="3"/>
      <c r="Q28" s="3">
        <f>SUM(OSRRefD14_2x)+IFERROR(SUM(OSRRefE14_2x),0)</f>
        <v>0</v>
      </c>
    </row>
    <row r="29" spans="1:17" s="39" customFormat="1" ht="15" hidden="1" customHeight="1" outlineLevel="1" x14ac:dyDescent="0.3">
      <c r="A29" s="24"/>
      <c r="B29" s="11" t="str">
        <f>CONCATENATE("          ","5004"," - ","PURCHASES @ COST-DIGITAL TEXT")</f>
        <v xml:space="preserve">          5004 - PURCHASES @ COST-DIGITAL TEXT</v>
      </c>
      <c r="C29" s="23"/>
      <c r="D29" s="3">
        <v>0</v>
      </c>
      <c r="E29" s="3">
        <v>0</v>
      </c>
      <c r="F29" s="3">
        <v>0</v>
      </c>
      <c r="G29" s="3"/>
      <c r="H29" s="3"/>
      <c r="I29" s="3"/>
      <c r="J29" s="3"/>
      <c r="K29" s="3"/>
      <c r="L29" s="3"/>
      <c r="M29" s="3"/>
      <c r="N29" s="3"/>
      <c r="O29" s="3"/>
      <c r="Q29" s="3">
        <f>SUM(OSRRefD14_3x)+IFERROR(SUM(OSRRefE14_3x),0)</f>
        <v>0</v>
      </c>
    </row>
    <row r="30" spans="1:17" s="39" customFormat="1" ht="15" hidden="1" customHeight="1" outlineLevel="1" x14ac:dyDescent="0.3">
      <c r="A30" s="24"/>
      <c r="B30" s="11" t="str">
        <f>CONCATENATE("          ","5026"," - ","PURCHASES @ COST-WRITING INSTR")</f>
        <v xml:space="preserve">          5026 - PURCHASES @ COST-WRITING INSTR</v>
      </c>
      <c r="C30" s="23"/>
      <c r="D30" s="3"/>
      <c r="E30" s="3">
        <v>0</v>
      </c>
      <c r="F30" s="3"/>
      <c r="G30" s="3"/>
      <c r="H30" s="3"/>
      <c r="I30" s="3"/>
      <c r="J30" s="3"/>
      <c r="K30" s="3"/>
      <c r="L30" s="3"/>
      <c r="M30" s="3"/>
      <c r="N30" s="3"/>
      <c r="O30" s="3"/>
      <c r="Q30" s="3">
        <f>SUM(OSRRefD14_4x)+IFERROR(SUM(OSRRefE14_4x),0)</f>
        <v>0</v>
      </c>
    </row>
    <row r="31" spans="1:17" s="39" customFormat="1" ht="15" hidden="1" customHeight="1" outlineLevel="1" x14ac:dyDescent="0.3">
      <c r="A31" s="24"/>
      <c r="B31" s="11" t="str">
        <f>CONCATENATE("          ","5027"," - ","PURCHASES @ COST-SCHOOL SUPPLI")</f>
        <v xml:space="preserve">          5027 - PURCHASES @ COST-SCHOOL SUPPLI</v>
      </c>
      <c r="C31" s="23"/>
      <c r="D31" s="3"/>
      <c r="E31" s="3">
        <v>0</v>
      </c>
      <c r="F31" s="3">
        <v>0</v>
      </c>
      <c r="G31" s="3"/>
      <c r="H31" s="3"/>
      <c r="I31" s="3"/>
      <c r="J31" s="3"/>
      <c r="K31" s="3"/>
      <c r="L31" s="3"/>
      <c r="M31" s="3"/>
      <c r="N31" s="3"/>
      <c r="O31" s="3"/>
      <c r="Q31" s="3">
        <f>SUM(OSRRefD14_5x)+IFERROR(SUM(OSRRefE14_5x),0)</f>
        <v>0</v>
      </c>
    </row>
    <row r="32" spans="1:17" s="39" customFormat="1" ht="15" hidden="1" customHeight="1" outlineLevel="1" x14ac:dyDescent="0.3">
      <c r="A32" s="24"/>
      <c r="B32" s="11" t="str">
        <f>CONCATENATE("          ","5028"," - ","PURCHASES @ COST-ART/TECH")</f>
        <v xml:space="preserve">          5028 - PURCHASES @ COST-ART/TECH</v>
      </c>
      <c r="C32" s="23"/>
      <c r="D32" s="3"/>
      <c r="E32" s="3">
        <v>0</v>
      </c>
      <c r="F32" s="3">
        <v>0</v>
      </c>
      <c r="G32" s="3"/>
      <c r="H32" s="3"/>
      <c r="I32" s="3"/>
      <c r="J32" s="3"/>
      <c r="K32" s="3"/>
      <c r="L32" s="3"/>
      <c r="M32" s="3"/>
      <c r="N32" s="3"/>
      <c r="O32" s="3"/>
      <c r="Q32" s="3">
        <f>SUM(OSRRefD14_6x)+IFERROR(SUM(OSRRefE14_6x),0)</f>
        <v>0</v>
      </c>
    </row>
    <row r="33" spans="1:17" s="39" customFormat="1" ht="15" hidden="1" customHeight="1" outlineLevel="1" x14ac:dyDescent="0.3">
      <c r="A33" s="24"/>
      <c r="B33" s="11" t="str">
        <f>CONCATENATE("          ","5031"," - ","PURCHASES @ COST-FOOD")</f>
        <v xml:space="preserve">          5031 - PURCHASES @ COST-FOOD</v>
      </c>
      <c r="C33" s="23"/>
      <c r="D33" s="3"/>
      <c r="E33" s="3">
        <v>0</v>
      </c>
      <c r="F33" s="3">
        <v>0</v>
      </c>
      <c r="G33" s="3"/>
      <c r="H33" s="3"/>
      <c r="I33" s="3"/>
      <c r="J33" s="3"/>
      <c r="K33" s="3"/>
      <c r="L33" s="3"/>
      <c r="M33" s="3"/>
      <c r="N33" s="3"/>
      <c r="O33" s="3"/>
      <c r="Q33" s="3">
        <f>SUM(OSRRefD14_7x)+IFERROR(SUM(OSRRefE14_7x),0)</f>
        <v>0</v>
      </c>
    </row>
    <row r="34" spans="1:17" s="39" customFormat="1" ht="15" hidden="1" customHeight="1" outlineLevel="1" x14ac:dyDescent="0.3">
      <c r="A34" s="24"/>
      <c r="B34" s="11" t="str">
        <f>CONCATENATE("          ","5040"," - ","PURCHASES @ COST-LOGO CLOTHING")</f>
        <v xml:space="preserve">          5040 - PURCHASES @ COST-LOGO CLOTHING</v>
      </c>
      <c r="C34" s="23"/>
      <c r="D34" s="3">
        <v>0</v>
      </c>
      <c r="E34" s="3">
        <v>0</v>
      </c>
      <c r="F34" s="3">
        <v>0</v>
      </c>
      <c r="G34" s="3"/>
      <c r="H34" s="3"/>
      <c r="I34" s="3"/>
      <c r="J34" s="3"/>
      <c r="K34" s="3"/>
      <c r="L34" s="3"/>
      <c r="M34" s="3"/>
      <c r="N34" s="3"/>
      <c r="O34" s="3"/>
      <c r="Q34" s="3">
        <f>SUM(OSRRefD14_8x)+IFERROR(SUM(OSRRefE14_8x),0)</f>
        <v>0</v>
      </c>
    </row>
    <row r="35" spans="1:17" s="39" customFormat="1" ht="15" hidden="1" customHeight="1" outlineLevel="1" x14ac:dyDescent="0.3">
      <c r="A35" s="24"/>
      <c r="B35" s="11" t="str">
        <f>CONCATENATE("          ","5041"," - ","PURCHASES @ COST-LOGO GIFTS")</f>
        <v xml:space="preserve">          5041 - PURCHASES @ COST-LOGO GIFTS</v>
      </c>
      <c r="C35" s="23"/>
      <c r="D35" s="3">
        <v>0</v>
      </c>
      <c r="E35" s="3">
        <v>0</v>
      </c>
      <c r="F35" s="3">
        <v>0</v>
      </c>
      <c r="G35" s="3"/>
      <c r="H35" s="3"/>
      <c r="I35" s="3"/>
      <c r="J35" s="3"/>
      <c r="K35" s="3"/>
      <c r="L35" s="3"/>
      <c r="M35" s="3"/>
      <c r="N35" s="3"/>
      <c r="O35" s="3"/>
      <c r="Q35" s="3">
        <f>SUM(OSRRefD14_9x)+IFERROR(SUM(OSRRefE14_9x),0)</f>
        <v>0</v>
      </c>
    </row>
    <row r="36" spans="1:17" s="39" customFormat="1" ht="15" hidden="1" customHeight="1" outlineLevel="1" x14ac:dyDescent="0.3">
      <c r="A36" s="24"/>
      <c r="B36" s="11" t="str">
        <f>CONCATENATE("          ","5042"," - ","PURCHASES @ COST-EVERYDAY GIFT")</f>
        <v xml:space="preserve">          5042 - PURCHASES @ COST-EVERYDAY GIFT</v>
      </c>
      <c r="C36" s="23"/>
      <c r="D36" s="3">
        <v>0</v>
      </c>
      <c r="E36" s="3">
        <v>0</v>
      </c>
      <c r="F36" s="3"/>
      <c r="G36" s="3"/>
      <c r="H36" s="3"/>
      <c r="I36" s="3"/>
      <c r="J36" s="3"/>
      <c r="K36" s="3"/>
      <c r="L36" s="3"/>
      <c r="M36" s="3"/>
      <c r="N36" s="3"/>
      <c r="O36" s="3"/>
      <c r="Q36" s="3">
        <f>SUM(OSRRefD14_10x)+IFERROR(SUM(OSRRefE14_10x),0)</f>
        <v>0</v>
      </c>
    </row>
    <row r="37" spans="1:17" s="39" customFormat="1" ht="15" hidden="1" customHeight="1" outlineLevel="1" x14ac:dyDescent="0.3">
      <c r="A37" s="24"/>
      <c r="B37" s="11" t="str">
        <f>CONCATENATE("          ","5043"," - ","PURCHASES @ COST-CARDS")</f>
        <v xml:space="preserve">          5043 - PURCHASES @ COST-CARDS</v>
      </c>
      <c r="C37" s="23"/>
      <c r="D37" s="3">
        <v>0</v>
      </c>
      <c r="E37" s="3">
        <v>0</v>
      </c>
      <c r="F37" s="3"/>
      <c r="G37" s="3"/>
      <c r="H37" s="3"/>
      <c r="I37" s="3"/>
      <c r="J37" s="3"/>
      <c r="K37" s="3"/>
      <c r="L37" s="3"/>
      <c r="M37" s="3"/>
      <c r="N37" s="3"/>
      <c r="O37" s="3"/>
      <c r="Q37" s="3">
        <f>SUM(OSRRefD14_11x)+IFERROR(SUM(OSRRefE14_11x),0)</f>
        <v>0</v>
      </c>
    </row>
    <row r="38" spans="1:17" s="39" customFormat="1" ht="15" hidden="1" customHeight="1" outlineLevel="1" x14ac:dyDescent="0.3">
      <c r="A38" s="24"/>
      <c r="B38" s="11" t="str">
        <f>CONCATENATE("          ","5044"," - ","PURCHASES @ COST-ACCESSORIES")</f>
        <v xml:space="preserve">          5044 - PURCHASES @ COST-ACCESSORIES</v>
      </c>
      <c r="C38" s="23"/>
      <c r="D38" s="3">
        <v>0</v>
      </c>
      <c r="E38" s="3">
        <v>0</v>
      </c>
      <c r="F38" s="3"/>
      <c r="G38" s="3"/>
      <c r="H38" s="3"/>
      <c r="I38" s="3"/>
      <c r="J38" s="3"/>
      <c r="K38" s="3"/>
      <c r="L38" s="3"/>
      <c r="M38" s="3"/>
      <c r="N38" s="3"/>
      <c r="O38" s="3"/>
      <c r="Q38" s="3">
        <f>SUM(OSRRefD14_12x)+IFERROR(SUM(OSRRefE14_12x),0)</f>
        <v>0</v>
      </c>
    </row>
    <row r="39" spans="1:17" s="39" customFormat="1" ht="15" hidden="1" customHeight="1" outlineLevel="1" x14ac:dyDescent="0.3">
      <c r="A39" s="24"/>
      <c r="B39" s="11" t="str">
        <f>CONCATENATE("          ","5045"," - ","PURCHASES @ COST-SPECIAL ORDER")</f>
        <v xml:space="preserve">          5045 - PURCHASES @ COST-SPECIAL ORDER</v>
      </c>
      <c r="C39" s="23"/>
      <c r="D39" s="3">
        <v>0</v>
      </c>
      <c r="E39" s="3">
        <v>0</v>
      </c>
      <c r="F39" s="3">
        <v>0</v>
      </c>
      <c r="G39" s="3"/>
      <c r="H39" s="3"/>
      <c r="I39" s="3"/>
      <c r="J39" s="3"/>
      <c r="K39" s="3"/>
      <c r="L39" s="3"/>
      <c r="M39" s="3"/>
      <c r="N39" s="3"/>
      <c r="O39" s="3"/>
      <c r="Q39" s="3">
        <f>SUM(OSRRefD14_13x)+IFERROR(SUM(OSRRefE14_13x),0)</f>
        <v>0</v>
      </c>
    </row>
    <row r="40" spans="1:17" s="39" customFormat="1" ht="15" hidden="1" customHeight="1" outlineLevel="1" x14ac:dyDescent="0.3">
      <c r="A40" s="24"/>
      <c r="B40" s="11" t="str">
        <f>CONCATENATE("          ","5053"," - ","PURCHASES @ COST-FOOD")</f>
        <v xml:space="preserve">          5053 - PURCHASES @ COST-FOOD</v>
      </c>
      <c r="C40" s="23"/>
      <c r="D40" s="3">
        <v>26193.22</v>
      </c>
      <c r="E40" s="3">
        <v>271762.01</v>
      </c>
      <c r="F40" s="3">
        <v>418312.58</v>
      </c>
      <c r="G40" s="3">
        <v>526909.31999999995</v>
      </c>
      <c r="H40" s="3">
        <v>320688.57</v>
      </c>
      <c r="I40" s="3">
        <v>206258.18</v>
      </c>
      <c r="J40" s="3">
        <v>143716.57999999999</v>
      </c>
      <c r="K40" s="3">
        <v>390356.27</v>
      </c>
      <c r="L40" s="3">
        <v>378504.96000000002</v>
      </c>
      <c r="M40" s="3">
        <v>423768.13</v>
      </c>
      <c r="N40" s="3"/>
      <c r="O40" s="3"/>
      <c r="Q40" s="3">
        <f>SUM(OSRRefD14_14x)+IFERROR(SUM(OSRRefE14_14x),0)</f>
        <v>3106469.82</v>
      </c>
    </row>
    <row r="41" spans="1:17" s="39" customFormat="1" ht="15" hidden="1" customHeight="1" outlineLevel="1" x14ac:dyDescent="0.3">
      <c r="A41" s="24"/>
      <c r="B41" s="11" t="str">
        <f>CONCATENATE("          ","5059"," - ","PURCHASES @ COST-FOOD")</f>
        <v xml:space="preserve">          5059 - PURCHASES @ COST-FOOD</v>
      </c>
      <c r="C41" s="23"/>
      <c r="D41" s="3">
        <v>-4005</v>
      </c>
      <c r="E41" s="3">
        <v>-79171</v>
      </c>
      <c r="F41" s="3">
        <v>-2291</v>
      </c>
      <c r="G41" s="3">
        <v>9985.92</v>
      </c>
      <c r="H41" s="3">
        <v>19861.98</v>
      </c>
      <c r="I41" s="3">
        <v>69739.89</v>
      </c>
      <c r="J41" s="3">
        <v>-30419.16</v>
      </c>
      <c r="K41" s="3">
        <v>52622.98</v>
      </c>
      <c r="L41" s="3">
        <v>87866.36</v>
      </c>
      <c r="M41" s="3">
        <v>69307.149999999994</v>
      </c>
      <c r="N41" s="3"/>
      <c r="O41" s="3"/>
      <c r="Q41" s="3">
        <f>SUM(OSRRefD14_15x)+IFERROR(SUM(OSRRefE14_15x),0)</f>
        <v>193498.12</v>
      </c>
    </row>
    <row r="42" spans="1:17" s="39" customFormat="1" ht="15" hidden="1" customHeight="1" outlineLevel="1" x14ac:dyDescent="0.3">
      <c r="A42" s="24"/>
      <c r="B42" s="11" t="str">
        <f>CONCATENATE("          ","5081"," - ","PURCHASES @ COST-ELECTRONICS")</f>
        <v xml:space="preserve">          5081 - PURCHASES @ COST-ELECTRONICS</v>
      </c>
      <c r="C42" s="23"/>
      <c r="D42" s="3">
        <v>0</v>
      </c>
      <c r="E42" s="3">
        <v>0</v>
      </c>
      <c r="F42" s="3">
        <v>0</v>
      </c>
      <c r="G42" s="3"/>
      <c r="H42" s="3"/>
      <c r="I42" s="3"/>
      <c r="J42" s="3"/>
      <c r="K42" s="3"/>
      <c r="L42" s="3"/>
      <c r="M42" s="3"/>
      <c r="N42" s="3"/>
      <c r="O42" s="3"/>
      <c r="Q42" s="3">
        <f>SUM(OSRRefD14_16x)+IFERROR(SUM(OSRRefE14_16x),0)</f>
        <v>0</v>
      </c>
    </row>
    <row r="43" spans="1:17" s="39" customFormat="1" ht="15" hidden="1" customHeight="1" outlineLevel="1" x14ac:dyDescent="0.3">
      <c r="A43" s="24"/>
      <c r="B43" s="11" t="str">
        <f>CONCATENATE("          ","5082"," - ","PURCHASES @ COST-COMPUTER HARD")</f>
        <v xml:space="preserve">          5082 - PURCHASES @ COST-COMPUTER HARD</v>
      </c>
      <c r="C43" s="23"/>
      <c r="D43" s="3">
        <v>-10902.62</v>
      </c>
      <c r="E43" s="3">
        <v>-23501.200000000001</v>
      </c>
      <c r="F43" s="3">
        <v>-22380.03</v>
      </c>
      <c r="G43" s="3">
        <v>-20540.88</v>
      </c>
      <c r="H43" s="3">
        <v>-3384.72</v>
      </c>
      <c r="I43" s="3">
        <v>-6160.03</v>
      </c>
      <c r="J43" s="3">
        <v>-6938.92</v>
      </c>
      <c r="K43" s="3"/>
      <c r="L43" s="3">
        <v>-16384.86</v>
      </c>
      <c r="M43" s="3"/>
      <c r="N43" s="3"/>
      <c r="O43" s="3"/>
      <c r="Q43" s="3">
        <f>SUM(OSRRefD14_17x)+IFERROR(SUM(OSRRefE14_17x),0)</f>
        <v>-110193.26</v>
      </c>
    </row>
    <row r="44" spans="1:17" s="39" customFormat="1" ht="15" hidden="1" customHeight="1" outlineLevel="1" x14ac:dyDescent="0.3">
      <c r="A44" s="24"/>
      <c r="B44" s="11" t="str">
        <f>CONCATENATE("          ","5083"," - ","PURCHASES @ COST-COMPUTER EQUI")</f>
        <v xml:space="preserve">          5083 - PURCHASES @ COST-COMPUTER EQUI</v>
      </c>
      <c r="C44" s="23"/>
      <c r="D44" s="3">
        <v>0</v>
      </c>
      <c r="E44" s="3">
        <v>0</v>
      </c>
      <c r="F44" s="3">
        <v>0</v>
      </c>
      <c r="G44" s="3"/>
      <c r="H44" s="3"/>
      <c r="I44" s="3"/>
      <c r="J44" s="3"/>
      <c r="K44" s="3"/>
      <c r="L44" s="3"/>
      <c r="M44" s="3"/>
      <c r="N44" s="3"/>
      <c r="O44" s="3"/>
      <c r="Q44" s="3">
        <f>SUM(OSRRefD14_18x)+IFERROR(SUM(OSRRefE14_18x),0)</f>
        <v>0</v>
      </c>
    </row>
    <row r="45" spans="1:17" s="39" customFormat="1" ht="15" hidden="1" customHeight="1" outlineLevel="1" x14ac:dyDescent="0.3">
      <c r="A45" s="24"/>
      <c r="B45" s="11" t="str">
        <f>CONCATENATE("          ","5085"," - ","PURCHASES @ COST-SOFTWARE")</f>
        <v xml:space="preserve">          5085 - PURCHASES @ COST-SOFTWARE</v>
      </c>
      <c r="C45" s="23"/>
      <c r="D45" s="3">
        <v>0</v>
      </c>
      <c r="E45" s="3">
        <v>0</v>
      </c>
      <c r="F45" s="3">
        <v>0</v>
      </c>
      <c r="G45" s="3"/>
      <c r="H45" s="3"/>
      <c r="I45" s="3"/>
      <c r="J45" s="3"/>
      <c r="K45" s="3"/>
      <c r="L45" s="3"/>
      <c r="M45" s="3"/>
      <c r="N45" s="3"/>
      <c r="O45" s="3"/>
      <c r="Q45" s="3">
        <f>SUM(OSRRefD14_19x)+IFERROR(SUM(OSRRefE14_19x),0)</f>
        <v>0</v>
      </c>
    </row>
    <row r="46" spans="1:17" s="39" customFormat="1" ht="15" hidden="1" customHeight="1" outlineLevel="1" x14ac:dyDescent="0.3">
      <c r="A46" s="24"/>
      <c r="B46" s="11" t="str">
        <f>CONCATENATE("          ","5086"," - ","PURCHASES @ COST-COMPUTER SUPP")</f>
        <v xml:space="preserve">          5086 - PURCHASES @ COST-COMPUTER SUPP</v>
      </c>
      <c r="C46" s="23"/>
      <c r="D46" s="3">
        <v>0</v>
      </c>
      <c r="E46" s="3">
        <v>0</v>
      </c>
      <c r="F46" s="3">
        <v>0</v>
      </c>
      <c r="G46" s="3"/>
      <c r="H46" s="3"/>
      <c r="I46" s="3"/>
      <c r="J46" s="3"/>
      <c r="K46" s="3"/>
      <c r="L46" s="3"/>
      <c r="M46" s="3"/>
      <c r="N46" s="3"/>
      <c r="O46" s="3"/>
      <c r="Q46" s="3">
        <f>SUM(OSRRefD14_20x)+IFERROR(SUM(OSRRefE14_20x),0)</f>
        <v>0</v>
      </c>
    </row>
    <row r="47" spans="1:17" s="39" customFormat="1" ht="15" hidden="1" customHeight="1" outlineLevel="1" x14ac:dyDescent="0.3">
      <c r="A47" s="24"/>
      <c r="B47" s="11" t="str">
        <f>CONCATENATE("          ","5200"," - ","PURCHASES OFFSET")</f>
        <v xml:space="preserve">          5200 - PURCHASES OFFSET</v>
      </c>
      <c r="C47" s="23"/>
      <c r="D47" s="3">
        <v>-443731.32</v>
      </c>
      <c r="E47" s="3">
        <v>-589608.85</v>
      </c>
      <c r="F47" s="3">
        <v>-866523.34</v>
      </c>
      <c r="G47" s="3">
        <v>-899387.86</v>
      </c>
      <c r="H47" s="3">
        <v>427.46</v>
      </c>
      <c r="I47" s="3">
        <v>-479454</v>
      </c>
      <c r="J47" s="3">
        <v>-571503.94999999995</v>
      </c>
      <c r="K47" s="3">
        <v>-536671.35</v>
      </c>
      <c r="L47" s="3">
        <v>-516882.53</v>
      </c>
      <c r="M47" s="3">
        <v>-422991.04</v>
      </c>
      <c r="N47" s="3"/>
      <c r="O47" s="3"/>
      <c r="Q47" s="3">
        <f>SUM(OSRRefD14_21x)+IFERROR(SUM(OSRRefE14_21x),0)</f>
        <v>-5326326.7799999993</v>
      </c>
    </row>
    <row r="48" spans="1:17" s="39" customFormat="1" ht="15" hidden="1" customHeight="1" outlineLevel="1" x14ac:dyDescent="0.3">
      <c r="A48" s="24"/>
      <c r="B48" s="11" t="str">
        <f>CONCATENATE("          ","5300"," - ","COG$ OFFSET")</f>
        <v xml:space="preserve">          5300 - COG$ OFFSET</v>
      </c>
      <c r="C48" s="23"/>
      <c r="D48" s="3">
        <v>218685.5</v>
      </c>
      <c r="E48" s="3">
        <v>1104681.67</v>
      </c>
      <c r="F48" s="3">
        <v>478937.18</v>
      </c>
      <c r="G48" s="3">
        <v>457087.53</v>
      </c>
      <c r="H48" s="3">
        <v>224057.66</v>
      </c>
      <c r="I48" s="3">
        <v>386623.33</v>
      </c>
      <c r="J48" s="3">
        <v>553059.96</v>
      </c>
      <c r="K48" s="3">
        <v>513873.01</v>
      </c>
      <c r="L48" s="3">
        <v>647373.84</v>
      </c>
      <c r="M48" s="3">
        <v>694429.14</v>
      </c>
      <c r="N48" s="3"/>
      <c r="O48" s="3"/>
      <c r="Q48" s="3">
        <f>SUM(OSRRefD14_22x)+IFERROR(SUM(OSRRefE14_22x),0)</f>
        <v>5278808.8199999994</v>
      </c>
    </row>
    <row r="49" spans="1:17" s="39" customFormat="1" ht="15" hidden="1" customHeight="1" outlineLevel="1" x14ac:dyDescent="0.3">
      <c r="A49" s="24"/>
      <c r="B49" s="11" t="str">
        <f>CONCATENATE("          ","5500"," - ","FREIGHT-IN")</f>
        <v xml:space="preserve">          5500 - FREIGHT-IN</v>
      </c>
      <c r="C49" s="23"/>
      <c r="D49" s="3">
        <v>3605.14</v>
      </c>
      <c r="E49" s="3">
        <v>6605.18</v>
      </c>
      <c r="F49" s="3">
        <v>17166.12</v>
      </c>
      <c r="G49" s="3">
        <v>22303.71</v>
      </c>
      <c r="H49" s="3">
        <v>11121.1</v>
      </c>
      <c r="I49" s="3">
        <v>9525.24</v>
      </c>
      <c r="J49" s="3">
        <v>21927.71</v>
      </c>
      <c r="K49" s="3">
        <v>31628.22</v>
      </c>
      <c r="L49" s="3">
        <v>24405.54</v>
      </c>
      <c r="M49" s="3">
        <v>35189.35</v>
      </c>
      <c r="N49" s="3"/>
      <c r="O49" s="3"/>
      <c r="Q49" s="3">
        <f>SUM(OSRRefD14_23x)+IFERROR(SUM(OSRRefE14_23x),0)</f>
        <v>183477.31</v>
      </c>
    </row>
    <row r="50" spans="1:17" s="39" customFormat="1" ht="15" hidden="1" customHeight="1" outlineLevel="1" x14ac:dyDescent="0.3">
      <c r="A50" s="24"/>
      <c r="B50" s="11" t="str">
        <f>CONCATENATE("          ","5501"," - ","FREIGHT-IN-NEW TEXT")</f>
        <v xml:space="preserve">          5501 - FREIGHT-IN-NEW TEXT</v>
      </c>
      <c r="C50" s="23"/>
      <c r="D50" s="3">
        <v>0</v>
      </c>
      <c r="E50" s="3">
        <v>0</v>
      </c>
      <c r="F50" s="3">
        <v>0</v>
      </c>
      <c r="G50" s="3">
        <v>0</v>
      </c>
      <c r="H50" s="3"/>
      <c r="I50" s="3"/>
      <c r="J50" s="3"/>
      <c r="K50" s="3"/>
      <c r="L50" s="3"/>
      <c r="M50" s="3"/>
      <c r="N50" s="3"/>
      <c r="O50" s="3"/>
      <c r="Q50" s="3">
        <f>SUM(OSRRefD14_24x)+IFERROR(SUM(OSRRefE14_24x),0)</f>
        <v>0</v>
      </c>
    </row>
    <row r="51" spans="1:17" s="39" customFormat="1" ht="15" hidden="1" customHeight="1" outlineLevel="1" x14ac:dyDescent="0.3">
      <c r="A51" s="24"/>
      <c r="B51" s="11" t="str">
        <f>CONCATENATE("          ","5502"," - ","FREIGHT-IN-USED TEXT")</f>
        <v xml:space="preserve">          5502 - FREIGHT-IN-USED TEXT</v>
      </c>
      <c r="C51" s="23"/>
      <c r="D51" s="3">
        <v>0</v>
      </c>
      <c r="E51" s="3">
        <v>0</v>
      </c>
      <c r="F51" s="3">
        <v>0</v>
      </c>
      <c r="G51" s="3"/>
      <c r="H51" s="3"/>
      <c r="I51" s="3"/>
      <c r="J51" s="3"/>
      <c r="K51" s="3"/>
      <c r="L51" s="3"/>
      <c r="M51" s="3"/>
      <c r="N51" s="3"/>
      <c r="O51" s="3"/>
      <c r="Q51" s="3">
        <f>SUM(OSRRefD14_25x)+IFERROR(SUM(OSRRefE14_25x),0)</f>
        <v>0</v>
      </c>
    </row>
    <row r="52" spans="1:17" s="39" customFormat="1" ht="15" hidden="1" customHeight="1" outlineLevel="1" x14ac:dyDescent="0.3">
      <c r="A52" s="24"/>
      <c r="B52" s="11" t="str">
        <f>CONCATENATE("          ","5518"," - ","FREIGHT-IN-STUDY GUIDES")</f>
        <v xml:space="preserve">          5518 - FREIGHT-IN-STUDY GUIDES</v>
      </c>
      <c r="C52" s="23"/>
      <c r="D52" s="3">
        <v>0</v>
      </c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Q52" s="3">
        <f>SUM(OSRRefD14_26x)+IFERROR(SUM(OSRRefE14_26x),0)</f>
        <v>0</v>
      </c>
    </row>
    <row r="53" spans="1:17" s="39" customFormat="1" ht="15" hidden="1" customHeight="1" outlineLevel="1" x14ac:dyDescent="0.3">
      <c r="A53" s="24"/>
      <c r="B53" s="11" t="str">
        <f>CONCATENATE("          ","5527"," - ","FREIGHT-IN-SCHOOL SUPPLIES")</f>
        <v xml:space="preserve">          5527 - FREIGHT-IN-SCHOOL SUPPLIES</v>
      </c>
      <c r="C53" s="23"/>
      <c r="D53" s="3"/>
      <c r="E53" s="3">
        <v>0</v>
      </c>
      <c r="F53" s="3"/>
      <c r="G53" s="3"/>
      <c r="H53" s="3"/>
      <c r="I53" s="3"/>
      <c r="J53" s="3"/>
      <c r="K53" s="3"/>
      <c r="L53" s="3"/>
      <c r="M53" s="3"/>
      <c r="N53" s="3"/>
      <c r="O53" s="3"/>
      <c r="Q53" s="3">
        <f>SUM(OSRRefD14_27x)+IFERROR(SUM(OSRRefE14_27x),0)</f>
        <v>0</v>
      </c>
    </row>
    <row r="54" spans="1:17" s="39" customFormat="1" ht="15" hidden="1" customHeight="1" outlineLevel="1" x14ac:dyDescent="0.3">
      <c r="A54" s="24"/>
      <c r="B54" s="11" t="str">
        <f>CONCATENATE("          ","5528"," - ","FREIGHT-IN-ART/TECH")</f>
        <v xml:space="preserve">          5528 - FREIGHT-IN-ART/TECH</v>
      </c>
      <c r="C54" s="23"/>
      <c r="D54" s="3"/>
      <c r="E54" s="3">
        <v>0</v>
      </c>
      <c r="F54" s="3">
        <v>0</v>
      </c>
      <c r="G54" s="3"/>
      <c r="H54" s="3"/>
      <c r="I54" s="3"/>
      <c r="J54" s="3"/>
      <c r="K54" s="3"/>
      <c r="L54" s="3"/>
      <c r="M54" s="3"/>
      <c r="N54" s="3"/>
      <c r="O54" s="3"/>
      <c r="Q54" s="3">
        <f>SUM(OSRRefD14_28x)+IFERROR(SUM(OSRRefE14_28x),0)</f>
        <v>0</v>
      </c>
    </row>
    <row r="55" spans="1:17" s="39" customFormat="1" ht="15" hidden="1" customHeight="1" outlineLevel="1" x14ac:dyDescent="0.3">
      <c r="A55" s="24"/>
      <c r="B55" s="11" t="str">
        <f>CONCATENATE("          ","5540"," - ","FREIGHT-IN-LOGO CLOTHING")</f>
        <v xml:space="preserve">          5540 - FREIGHT-IN-LOGO CLOTHING</v>
      </c>
      <c r="C55" s="23"/>
      <c r="D55" s="3">
        <v>0</v>
      </c>
      <c r="E55" s="3">
        <v>0</v>
      </c>
      <c r="F55" s="3"/>
      <c r="G55" s="3"/>
      <c r="H55" s="3"/>
      <c r="I55" s="3"/>
      <c r="J55" s="3"/>
      <c r="K55" s="3"/>
      <c r="L55" s="3"/>
      <c r="M55" s="3"/>
      <c r="N55" s="3"/>
      <c r="O55" s="3"/>
      <c r="Q55" s="3">
        <f>SUM(OSRRefD14_29x)+IFERROR(SUM(OSRRefE14_29x),0)</f>
        <v>0</v>
      </c>
    </row>
    <row r="56" spans="1:17" s="39" customFormat="1" ht="15" hidden="1" customHeight="1" outlineLevel="1" x14ac:dyDescent="0.3">
      <c r="A56" s="24"/>
      <c r="B56" s="11" t="str">
        <f>CONCATENATE("          ","5541"," - ","FREIGHT-IN-LOGO GIFTS")</f>
        <v xml:space="preserve">          5541 - FREIGHT-IN-LOGO GIFTS</v>
      </c>
      <c r="C56" s="23"/>
      <c r="D56" s="3">
        <v>0</v>
      </c>
      <c r="E56" s="3">
        <v>0</v>
      </c>
      <c r="F56" s="3">
        <v>0</v>
      </c>
      <c r="G56" s="3"/>
      <c r="H56" s="3"/>
      <c r="I56" s="3"/>
      <c r="J56" s="3"/>
      <c r="K56" s="3"/>
      <c r="L56" s="3"/>
      <c r="M56" s="3"/>
      <c r="N56" s="3"/>
      <c r="O56" s="3"/>
      <c r="Q56" s="3">
        <f>SUM(OSRRefD14_30x)+IFERROR(SUM(OSRRefE14_30x),0)</f>
        <v>0</v>
      </c>
    </row>
    <row r="57" spans="1:17" s="39" customFormat="1" ht="15" hidden="1" customHeight="1" outlineLevel="1" x14ac:dyDescent="0.3">
      <c r="A57" s="24"/>
      <c r="B57" s="11" t="str">
        <f>CONCATENATE("          ","5542"," - ","FREIGHT-IN-EVERYDAY GIFTS")</f>
        <v xml:space="preserve">          5542 - FREIGHT-IN-EVERYDAY GIFTS</v>
      </c>
      <c r="C57" s="23"/>
      <c r="D57" s="3">
        <v>0</v>
      </c>
      <c r="E57" s="3">
        <v>0</v>
      </c>
      <c r="F57" s="3"/>
      <c r="G57" s="3"/>
      <c r="H57" s="3"/>
      <c r="I57" s="3"/>
      <c r="J57" s="3"/>
      <c r="K57" s="3"/>
      <c r="L57" s="3"/>
      <c r="M57" s="3"/>
      <c r="N57" s="3"/>
      <c r="O57" s="3"/>
      <c r="Q57" s="3">
        <f>SUM(OSRRefD14_31x)+IFERROR(SUM(OSRRefE14_31x),0)</f>
        <v>0</v>
      </c>
    </row>
    <row r="58" spans="1:17" s="39" customFormat="1" ht="15" hidden="1" customHeight="1" outlineLevel="1" x14ac:dyDescent="0.3">
      <c r="A58" s="24"/>
      <c r="B58" s="11" t="str">
        <f>CONCATENATE("          ","5544"," - ","FREIGHT-IN-ACCESSORIES")</f>
        <v xml:space="preserve">          5544 - FREIGHT-IN-ACCESSORIES</v>
      </c>
      <c r="C58" s="23"/>
      <c r="D58" s="3">
        <v>0</v>
      </c>
      <c r="E58" s="3">
        <v>0</v>
      </c>
      <c r="F58" s="3"/>
      <c r="G58" s="3"/>
      <c r="H58" s="3"/>
      <c r="I58" s="3"/>
      <c r="J58" s="3"/>
      <c r="K58" s="3"/>
      <c r="L58" s="3"/>
      <c r="M58" s="3"/>
      <c r="N58" s="3"/>
      <c r="O58" s="3"/>
      <c r="Q58" s="3">
        <f>SUM(OSRRefD14_32x)+IFERROR(SUM(OSRRefE14_32x),0)</f>
        <v>0</v>
      </c>
    </row>
    <row r="59" spans="1:17" s="39" customFormat="1" ht="15" hidden="1" customHeight="1" outlineLevel="1" x14ac:dyDescent="0.3">
      <c r="A59" s="24"/>
      <c r="B59" s="11" t="str">
        <f>CONCATENATE("          ","5545"," - ","FREIGHT-IN-SPECIAL ORDERS")</f>
        <v xml:space="preserve">          5545 - FREIGHT-IN-SPECIAL ORDERS</v>
      </c>
      <c r="C59" s="23"/>
      <c r="D59" s="3">
        <v>0</v>
      </c>
      <c r="E59" s="3">
        <v>0</v>
      </c>
      <c r="F59" s="3"/>
      <c r="G59" s="3"/>
      <c r="H59" s="3"/>
      <c r="I59" s="3"/>
      <c r="J59" s="3"/>
      <c r="K59" s="3"/>
      <c r="L59" s="3"/>
      <c r="M59" s="3"/>
      <c r="N59" s="3"/>
      <c r="O59" s="3"/>
      <c r="Q59" s="3">
        <f>SUM(OSRRefD14_33x)+IFERROR(SUM(OSRRefE14_33x),0)</f>
        <v>0</v>
      </c>
    </row>
    <row r="60" spans="1:17" s="39" customFormat="1" ht="15" hidden="1" customHeight="1" outlineLevel="1" x14ac:dyDescent="0.3">
      <c r="A60" s="24"/>
      <c r="B60" s="11" t="str">
        <f>CONCATENATE("          ","5583"," - ","FREIGHT-IN-COMPUTER EQUIPMENT")</f>
        <v xml:space="preserve">          5583 - FREIGHT-IN-COMPUTER EQUIPMENT</v>
      </c>
      <c r="C60" s="23"/>
      <c r="D60" s="3">
        <v>0</v>
      </c>
      <c r="E60" s="3">
        <v>0</v>
      </c>
      <c r="F60" s="3"/>
      <c r="G60" s="3"/>
      <c r="H60" s="3"/>
      <c r="I60" s="3"/>
      <c r="J60" s="3"/>
      <c r="K60" s="3"/>
      <c r="L60" s="3"/>
      <c r="M60" s="3"/>
      <c r="N60" s="3"/>
      <c r="O60" s="3"/>
      <c r="Q60" s="3">
        <f>SUM(OSRRefD14_34x)+IFERROR(SUM(OSRRefE14_34x),0)</f>
        <v>0</v>
      </c>
    </row>
    <row r="61" spans="1:17" ht="15" customHeight="1" x14ac:dyDescent="0.3">
      <c r="A61" s="6"/>
      <c r="B61" s="7"/>
      <c r="C61" s="7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Q61" s="4"/>
    </row>
    <row r="62" spans="1:17" s="37" customFormat="1" ht="15" customHeight="1" x14ac:dyDescent="0.3">
      <c r="A62" s="7"/>
      <c r="B62" s="18" t="s">
        <v>285</v>
      </c>
      <c r="C62" s="18"/>
      <c r="D62" s="9">
        <f t="shared" ref="D62:O62" si="0">IFERROR(+D10-D25,0)</f>
        <v>272168.04999999987</v>
      </c>
      <c r="E62" s="9">
        <f t="shared" si="0"/>
        <v>1011811.0299999996</v>
      </c>
      <c r="F62" s="9">
        <f t="shared" si="0"/>
        <v>1431011.1400000001</v>
      </c>
      <c r="G62" s="9">
        <f t="shared" si="0"/>
        <v>1553123.0100000002</v>
      </c>
      <c r="H62" s="9">
        <f t="shared" si="0"/>
        <v>1244762.42</v>
      </c>
      <c r="I62" s="9">
        <f t="shared" si="0"/>
        <v>1044058.7100000002</v>
      </c>
      <c r="J62" s="9">
        <f t="shared" si="0"/>
        <v>888462.24000000022</v>
      </c>
      <c r="K62" s="9">
        <f t="shared" si="0"/>
        <v>1704468.7400000002</v>
      </c>
      <c r="L62" s="9">
        <f t="shared" si="0"/>
        <v>1767142.65</v>
      </c>
      <c r="M62" s="9">
        <f t="shared" si="0"/>
        <v>2182950.4700000002</v>
      </c>
      <c r="N62" s="9">
        <f t="shared" si="0"/>
        <v>891332</v>
      </c>
      <c r="O62" s="9">
        <f t="shared" si="0"/>
        <v>248630</v>
      </c>
      <c r="Q62" s="9">
        <f>IFERROR(+Q10-Q25,0)</f>
        <v>14239920.460000003</v>
      </c>
    </row>
    <row r="63" spans="1:17" s="38" customFormat="1" ht="15" customHeight="1" x14ac:dyDescent="0.3">
      <c r="B63" s="17"/>
      <c r="C63" s="17"/>
      <c r="D63" s="5">
        <f t="shared" ref="D63:O63" si="1">IFERROR(D62/D10,0)</f>
        <v>0.53985617907778782</v>
      </c>
      <c r="E63" s="5">
        <f t="shared" si="1"/>
        <v>0.40658933318444762</v>
      </c>
      <c r="F63" s="5">
        <f t="shared" si="1"/>
        <v>0.60904381053384438</v>
      </c>
      <c r="G63" s="5">
        <f t="shared" si="1"/>
        <v>0.61412310616943422</v>
      </c>
      <c r="H63" s="5">
        <f t="shared" si="1"/>
        <v>0.68911723537394054</v>
      </c>
      <c r="I63" s="5">
        <f t="shared" si="1"/>
        <v>0.61488113478907724</v>
      </c>
      <c r="J63" s="5">
        <f t="shared" si="1"/>
        <v>0.56049818059983592</v>
      </c>
      <c r="K63" s="5">
        <f t="shared" si="1"/>
        <v>0.63463132458341709</v>
      </c>
      <c r="L63" s="5">
        <f t="shared" si="1"/>
        <v>0.61612477787958264</v>
      </c>
      <c r="M63" s="5">
        <f t="shared" si="1"/>
        <v>0.65257461053610066</v>
      </c>
      <c r="N63" s="5">
        <f t="shared" si="1"/>
        <v>0.52548136444564975</v>
      </c>
      <c r="O63" s="5">
        <f t="shared" si="1"/>
        <v>0.47073324043500653</v>
      </c>
      <c r="P63" s="19"/>
      <c r="Q63" s="5">
        <f>IFERROR(Q62/Q10,0)</f>
        <v>0.59125634078529732</v>
      </c>
    </row>
    <row r="64" spans="1:17" ht="15" customHeight="1" x14ac:dyDescent="0.3">
      <c r="A64" s="6"/>
      <c r="B64" s="7"/>
      <c r="C64" s="6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Q64" s="2"/>
    </row>
    <row r="65" spans="1:17" s="37" customFormat="1" ht="15" customHeight="1" x14ac:dyDescent="0.3">
      <c r="A65" s="7"/>
      <c r="B65" s="17" t="s">
        <v>286</v>
      </c>
      <c r="C65" s="7"/>
      <c r="D65" s="12" cm="1">
        <f t="array" ref="D65">SUM(OSRRefD20x_0)</f>
        <v>878488.93999999971</v>
      </c>
      <c r="E65" s="12" cm="1">
        <f t="array" ref="E65">SUM(OSRRefD20x_1)</f>
        <v>921450.81</v>
      </c>
      <c r="F65" s="12" cm="1">
        <f t="array" ref="F65">SUM(OSRRefD20x_2)</f>
        <v>1014621.9199999999</v>
      </c>
      <c r="G65" s="12" cm="1">
        <f t="array" ref="G65">SUM(OSRRefD20x_3)</f>
        <v>1365689.33</v>
      </c>
      <c r="H65" s="12" cm="1">
        <f t="array" ref="H65">SUM(OSRRefD20x_4)</f>
        <v>959248.34999999986</v>
      </c>
      <c r="I65" s="12" cm="1">
        <f t="array" ref="I65">SUM(OSRRefD20x_5)</f>
        <v>962901.27</v>
      </c>
      <c r="J65" s="12" cm="1">
        <f t="array" ref="J65">SUM(OSRRefD20x_6)</f>
        <v>950308.69000000029</v>
      </c>
      <c r="K65" s="12" cm="1">
        <f t="array" ref="K65">SUM(OSRRefD20x_7)</f>
        <v>1143793.6199999999</v>
      </c>
      <c r="L65" s="12" cm="1">
        <f t="array" ref="L65">SUM(OSRRefD20x_8)</f>
        <v>1185685.0600000003</v>
      </c>
      <c r="M65" s="12" cm="1">
        <f t="array" ref="M65">SUM(OSRRefD20x_9)</f>
        <v>1332231.1600000001</v>
      </c>
      <c r="N65" s="12" cm="1">
        <f t="array" ref="N65">SUM(OSRRefE20x_0)</f>
        <v>991100.01926988899</v>
      </c>
      <c r="O65" s="12" cm="1">
        <f t="array" ref="O65">SUM(OSRRefE20x_1)</f>
        <v>793229.76545218984</v>
      </c>
      <c r="Q65" s="12" cm="1">
        <f t="array" ref="Q65">SUM(OSRRefG20x)</f>
        <v>12498748.934722079</v>
      </c>
    </row>
    <row r="66" spans="1:17" s="42" customFormat="1" ht="15" customHeight="1" collapsed="1" x14ac:dyDescent="0.3">
      <c r="A66" s="34"/>
      <c r="B66" s="15" t="str">
        <f>CONCATENATE("     ","*Benefits                                         ")</f>
        <v xml:space="preserve">     *Benefits                                         </v>
      </c>
      <c r="C66" s="15"/>
      <c r="D66" s="2">
        <f>SUM(OSRRefD21_0x_0)</f>
        <v>146522.37</v>
      </c>
      <c r="E66" s="2">
        <f>SUM(OSRRefD21_0x_1)</f>
        <v>161129.25999999998</v>
      </c>
      <c r="F66" s="2">
        <f>SUM(OSRRefD21_0x_2)</f>
        <v>167059.87</v>
      </c>
      <c r="G66" s="2">
        <f>SUM(OSRRefD21_0x_3)</f>
        <v>210175.09000000003</v>
      </c>
      <c r="H66" s="2">
        <f>SUM(OSRRefD21_0x_4)</f>
        <v>175467.33</v>
      </c>
      <c r="I66" s="2">
        <f>SUM(OSRRefD21_0x_5)</f>
        <v>167279.97</v>
      </c>
      <c r="J66" s="2">
        <f>SUM(OSRRefD21_0x_6)</f>
        <v>199868.81000000003</v>
      </c>
      <c r="K66" s="2">
        <f>SUM(OSRRefD21_0x_7)</f>
        <v>153782.93</v>
      </c>
      <c r="L66" s="2">
        <f>SUM(OSRRefD21_0x_8)</f>
        <v>173524.73000000004</v>
      </c>
      <c r="M66" s="2">
        <f>SUM(OSRRefD21_0x_9)</f>
        <v>199753.57</v>
      </c>
      <c r="N66" s="2">
        <f>SUM(OSRRefE21_0x_0)</f>
        <v>186120.15636425081</v>
      </c>
      <c r="O66" s="2">
        <f>SUM(OSRRefE21_0x_1)</f>
        <v>178852.28590155178</v>
      </c>
      <c r="Q66" s="3">
        <f>SUM(OSRRefD20_0x)+IFERROR(SUM(OSRRefE20_0x),0)</f>
        <v>2119536.3722658027</v>
      </c>
    </row>
    <row r="67" spans="1:17" s="42" customFormat="1" ht="15" hidden="1" customHeight="1" outlineLevel="1" x14ac:dyDescent="0.3">
      <c r="A67" s="34"/>
      <c r="B67" s="11" t="str">
        <f>CONCATENATE("          ","6111"," - ","F.I.C.A.")</f>
        <v xml:space="preserve">          6111 - F.I.C.A.</v>
      </c>
      <c r="C67" s="15"/>
      <c r="D67" s="21">
        <v>21298.06</v>
      </c>
      <c r="E67" s="21">
        <v>27964.45</v>
      </c>
      <c r="F67" s="21">
        <v>27493</v>
      </c>
      <c r="G67" s="21">
        <v>38709.18</v>
      </c>
      <c r="H67" s="21">
        <v>26684.97</v>
      </c>
      <c r="I67" s="21">
        <v>24199.27</v>
      </c>
      <c r="J67" s="21">
        <v>21845.47</v>
      </c>
      <c r="K67" s="21">
        <v>27551.31</v>
      </c>
      <c r="L67" s="21">
        <v>27167.93</v>
      </c>
      <c r="M67" s="21">
        <v>38007.870000000003</v>
      </c>
      <c r="N67" s="21">
        <v>25338.151851836999</v>
      </c>
      <c r="O67" s="21">
        <v>24882.741535965</v>
      </c>
      <c r="P67" s="35"/>
      <c r="Q67" s="3">
        <f>SUM(OSRRefD21_0_0x)+IFERROR(SUM(OSRRefE21_0_0x),0)</f>
        <v>331142.40338780201</v>
      </c>
    </row>
    <row r="68" spans="1:17" s="42" customFormat="1" ht="15" hidden="1" customHeight="1" outlineLevel="1" x14ac:dyDescent="0.3">
      <c r="A68" s="34"/>
      <c r="B68" s="11" t="str">
        <f>CONCATENATE("          ","6112"," - ","COMPENSATION INSURANCE")</f>
        <v xml:space="preserve">          6112 - COMPENSATION INSURANCE</v>
      </c>
      <c r="C68" s="15"/>
      <c r="D68" s="21">
        <v>6528.35</v>
      </c>
      <c r="E68" s="21">
        <v>8890.15</v>
      </c>
      <c r="F68" s="21">
        <v>12742.74</v>
      </c>
      <c r="G68" s="21">
        <v>19703.22</v>
      </c>
      <c r="H68" s="21">
        <v>13414.4</v>
      </c>
      <c r="I68" s="21">
        <v>12894.97</v>
      </c>
      <c r="J68" s="21">
        <v>8823.32</v>
      </c>
      <c r="K68" s="21">
        <v>15006.21</v>
      </c>
      <c r="L68" s="21">
        <v>16800.150000000001</v>
      </c>
      <c r="M68" s="21">
        <v>14038.82</v>
      </c>
      <c r="N68" s="21">
        <v>14790.8378878238</v>
      </c>
      <c r="O68" s="21">
        <v>10602.281586113801</v>
      </c>
      <c r="P68" s="35"/>
      <c r="Q68" s="3">
        <f>SUM(OSRRefD21_0_1x)+IFERROR(SUM(OSRRefE21_0_1x),0)</f>
        <v>154235.4494739376</v>
      </c>
    </row>
    <row r="69" spans="1:17" s="42" customFormat="1" ht="15" hidden="1" customHeight="1" outlineLevel="1" x14ac:dyDescent="0.3">
      <c r="A69" s="34"/>
      <c r="B69" s="11" t="str">
        <f>CONCATENATE("          ","6113"," - ","GROUP INSURANCE")</f>
        <v xml:space="preserve">          6113 - GROUP INSURANCE</v>
      </c>
      <c r="C69" s="15"/>
      <c r="D69" s="21">
        <v>72477.48</v>
      </c>
      <c r="E69" s="21">
        <v>73842.92</v>
      </c>
      <c r="F69" s="21">
        <v>76355.58</v>
      </c>
      <c r="G69" s="21">
        <v>75366.91</v>
      </c>
      <c r="H69" s="21">
        <v>77438.84</v>
      </c>
      <c r="I69" s="21">
        <v>75380.06</v>
      </c>
      <c r="J69" s="21">
        <v>74406.19</v>
      </c>
      <c r="K69" s="21">
        <v>74775.789999999994</v>
      </c>
      <c r="L69" s="21">
        <v>72537.350000000006</v>
      </c>
      <c r="M69" s="21">
        <v>71396.320000000007</v>
      </c>
      <c r="N69" s="21">
        <v>96122.3384615385</v>
      </c>
      <c r="O69" s="21">
        <v>97043.6615384615</v>
      </c>
      <c r="P69" s="35"/>
      <c r="Q69" s="3">
        <f>SUM(OSRRefD21_0_2x)+IFERROR(SUM(OSRRefE21_0_2x),0)</f>
        <v>937143.44</v>
      </c>
    </row>
    <row r="70" spans="1:17" s="42" customFormat="1" ht="15" hidden="1" customHeight="1" outlineLevel="1" x14ac:dyDescent="0.3">
      <c r="A70" s="34"/>
      <c r="B70" s="11" t="str">
        <f>CONCATENATE("          ","6114"," - ","STATE UNEMPLOYMENT INSURANCE")</f>
        <v xml:space="preserve">          6114 - STATE UNEMPLOYMENT INSURANCE</v>
      </c>
      <c r="C70" s="15"/>
      <c r="D70" s="21">
        <v>753.55</v>
      </c>
      <c r="E70" s="21">
        <v>985.54</v>
      </c>
      <c r="F70" s="21">
        <v>1261.27</v>
      </c>
      <c r="G70" s="21">
        <v>1883.57</v>
      </c>
      <c r="H70" s="21">
        <v>1296.1199999999999</v>
      </c>
      <c r="I70" s="21">
        <v>1239.96</v>
      </c>
      <c r="J70" s="21">
        <v>948.38</v>
      </c>
      <c r="K70" s="21">
        <v>1484.75</v>
      </c>
      <c r="L70" s="21">
        <v>1593.78</v>
      </c>
      <c r="M70" s="21">
        <v>1367.99</v>
      </c>
      <c r="N70" s="21">
        <v>1044.8096250900001</v>
      </c>
      <c r="O70" s="21">
        <v>799.28587304999996</v>
      </c>
      <c r="P70" s="35"/>
      <c r="Q70" s="3">
        <f>SUM(OSRRefD21_0_3x)+IFERROR(SUM(OSRRefE21_0_3x),0)</f>
        <v>14659.005498139999</v>
      </c>
    </row>
    <row r="71" spans="1:17" s="42" customFormat="1" ht="15" hidden="1" customHeight="1" outlineLevel="1" x14ac:dyDescent="0.3">
      <c r="A71" s="34"/>
      <c r="B71" s="11" t="str">
        <f>CONCATENATE("          ","6115"," - ","P.E.R.S.")</f>
        <v xml:space="preserve">          6115 - P.E.R.S.</v>
      </c>
      <c r="C71" s="15"/>
      <c r="D71" s="21">
        <v>13543.27</v>
      </c>
      <c r="E71" s="21">
        <v>13870.61</v>
      </c>
      <c r="F71" s="21">
        <v>14264.99</v>
      </c>
      <c r="G71" s="21">
        <v>21103.68</v>
      </c>
      <c r="H71" s="21">
        <v>16626.18</v>
      </c>
      <c r="I71" s="21">
        <v>14175.76</v>
      </c>
      <c r="J71" s="21">
        <v>14271.85</v>
      </c>
      <c r="K71" s="21">
        <v>15295.91</v>
      </c>
      <c r="L71" s="21">
        <v>13446.81</v>
      </c>
      <c r="M71" s="21">
        <v>18748.23</v>
      </c>
      <c r="N71" s="21">
        <v>12048.9513358</v>
      </c>
      <c r="O71" s="21">
        <v>12048.9513358</v>
      </c>
      <c r="P71" s="35"/>
      <c r="Q71" s="3">
        <f>SUM(OSRRefD21_0_4x)+IFERROR(SUM(OSRRefE21_0_4x),0)</f>
        <v>179445.19267160003</v>
      </c>
    </row>
    <row r="72" spans="1:17" s="42" customFormat="1" ht="15" hidden="1" customHeight="1" outlineLevel="1" x14ac:dyDescent="0.3">
      <c r="A72" s="34"/>
      <c r="B72" s="11" t="str">
        <f>CONCATENATE("          ","6116"," - ","EDUCATIONAL BENEFITS")</f>
        <v xml:space="preserve">          6116 - EDUCATIONAL BENEFITS</v>
      </c>
      <c r="C72" s="15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>
        <v>0</v>
      </c>
      <c r="O72" s="21">
        <v>0</v>
      </c>
      <c r="P72" s="35"/>
      <c r="Q72" s="3">
        <f>SUM(OSRRefD21_0_5x)+IFERROR(SUM(OSRRefE21_0_5x),0)</f>
        <v>0</v>
      </c>
    </row>
    <row r="73" spans="1:17" s="42" customFormat="1" ht="15" hidden="1" customHeight="1" outlineLevel="1" x14ac:dyDescent="0.3">
      <c r="A73" s="34"/>
      <c r="B73" s="11" t="str">
        <f>CONCATENATE("          ","6117"," - ","RETIREMENT STAFF HOURLY")</f>
        <v xml:space="preserve">          6117 - RETIREMENT STAFF HOURLY</v>
      </c>
      <c r="C73" s="15"/>
      <c r="D73" s="21">
        <v>2099.73</v>
      </c>
      <c r="E73" s="21">
        <v>3324.27</v>
      </c>
      <c r="F73" s="21">
        <v>1630.8</v>
      </c>
      <c r="G73" s="21">
        <v>1504.14</v>
      </c>
      <c r="H73" s="21">
        <v>2512.9899999999998</v>
      </c>
      <c r="I73" s="21">
        <v>2364.52</v>
      </c>
      <c r="J73" s="21">
        <v>3401.49</v>
      </c>
      <c r="K73" s="21">
        <v>2942.39</v>
      </c>
      <c r="L73" s="21">
        <v>2893.88</v>
      </c>
      <c r="M73" s="21">
        <v>2679.87</v>
      </c>
      <c r="N73" s="21"/>
      <c r="O73" s="21"/>
      <c r="P73" s="35"/>
      <c r="Q73" s="3">
        <f>SUM(OSRRefD21_0_6x)+IFERROR(SUM(OSRRefE21_0_6x),0)</f>
        <v>25354.080000000002</v>
      </c>
    </row>
    <row r="74" spans="1:17" s="42" customFormat="1" ht="15" hidden="1" customHeight="1" outlineLevel="1" x14ac:dyDescent="0.3">
      <c r="A74" s="34"/>
      <c r="B74" s="11" t="str">
        <f>CONCATENATE("          ","6118"," - ","VACATION")</f>
        <v xml:space="preserve">          6118 - VACATION</v>
      </c>
      <c r="C74" s="15"/>
      <c r="D74" s="21">
        <v>14867.33</v>
      </c>
      <c r="E74" s="21">
        <v>15723.59</v>
      </c>
      <c r="F74" s="21">
        <v>15332.37</v>
      </c>
      <c r="G74" s="21">
        <v>23268.83</v>
      </c>
      <c r="H74" s="21">
        <v>16474.259999999998</v>
      </c>
      <c r="I74" s="21">
        <v>16766.78</v>
      </c>
      <c r="J74" s="21">
        <v>30449.35</v>
      </c>
      <c r="K74" s="21">
        <v>20234.740000000002</v>
      </c>
      <c r="L74" s="21">
        <v>16443.95</v>
      </c>
      <c r="M74" s="21">
        <v>24692.19</v>
      </c>
      <c r="N74" s="21">
        <v>12538.473702207701</v>
      </c>
      <c r="O74" s="21">
        <v>12589.631430207701</v>
      </c>
      <c r="P74" s="35"/>
      <c r="Q74" s="3">
        <f>SUM(OSRRefD21_0_7x)+IFERROR(SUM(OSRRefE21_0_7x),0)</f>
        <v>219381.49513241538</v>
      </c>
    </row>
    <row r="75" spans="1:17" s="42" customFormat="1" ht="15" hidden="1" customHeight="1" outlineLevel="1" x14ac:dyDescent="0.3">
      <c r="A75" s="34"/>
      <c r="B75" s="11" t="str">
        <f>CONCATENATE("          ","6119"," - ","SICK LEAVE")</f>
        <v xml:space="preserve">          6119 - SICK LEAVE</v>
      </c>
      <c r="C75" s="15"/>
      <c r="D75" s="21">
        <v>10081.73</v>
      </c>
      <c r="E75" s="21">
        <v>10642.12</v>
      </c>
      <c r="F75" s="21">
        <v>11346.47</v>
      </c>
      <c r="G75" s="21">
        <v>16802.82</v>
      </c>
      <c r="H75" s="21">
        <v>11924.32</v>
      </c>
      <c r="I75" s="21">
        <v>12175.46</v>
      </c>
      <c r="J75" s="21">
        <v>38353.67</v>
      </c>
      <c r="K75" s="21">
        <v>-12917.88</v>
      </c>
      <c r="L75" s="21">
        <v>12381</v>
      </c>
      <c r="M75" s="21">
        <v>18962.21</v>
      </c>
      <c r="N75" s="21">
        <v>15450.5934999538</v>
      </c>
      <c r="O75" s="21">
        <v>12115.7326019538</v>
      </c>
      <c r="P75" s="35"/>
      <c r="Q75" s="3">
        <f>SUM(OSRRefD21_0_8x)+IFERROR(SUM(OSRRefE21_0_8x),0)</f>
        <v>157318.24610190757</v>
      </c>
    </row>
    <row r="76" spans="1:17" s="42" customFormat="1" ht="15" hidden="1" customHeight="1" outlineLevel="1" x14ac:dyDescent="0.3">
      <c r="A76" s="34"/>
      <c r="B76" s="11" t="str">
        <f>CONCATENATE("          ","6156"," - ","EMPLOYEE MEALS")</f>
        <v xml:space="preserve">          6156 - EMPLOYEE MEALS</v>
      </c>
      <c r="C76" s="15"/>
      <c r="D76" s="21">
        <v>4872.87</v>
      </c>
      <c r="E76" s="21">
        <v>5885.61</v>
      </c>
      <c r="F76" s="21">
        <v>6632.65</v>
      </c>
      <c r="G76" s="21">
        <v>11832.74</v>
      </c>
      <c r="H76" s="21">
        <v>9095.25</v>
      </c>
      <c r="I76" s="21">
        <v>8083.19</v>
      </c>
      <c r="J76" s="21">
        <v>7369.09</v>
      </c>
      <c r="K76" s="21">
        <v>9409.7099999999991</v>
      </c>
      <c r="L76" s="21">
        <v>10259.879999999999</v>
      </c>
      <c r="M76" s="21">
        <v>9860.07</v>
      </c>
      <c r="N76" s="21">
        <v>8786</v>
      </c>
      <c r="O76" s="21">
        <v>8770</v>
      </c>
      <c r="P76" s="35"/>
      <c r="Q76" s="3">
        <f>SUM(OSRRefD21_0_9x)+IFERROR(SUM(OSRRefE21_0_9x),0)</f>
        <v>100857.06</v>
      </c>
    </row>
    <row r="77" spans="1:17" s="42" customFormat="1" ht="15" customHeight="1" collapsed="1" x14ac:dyDescent="0.3">
      <c r="A77" s="34"/>
      <c r="B77" s="15" t="str">
        <f>CONCATENATE("     ","*Payroll                                          ")</f>
        <v xml:space="preserve">     *Payroll                                          </v>
      </c>
      <c r="C77" s="15"/>
      <c r="D77" s="2">
        <f>SUM(OSRRefD21_1x_0)</f>
        <v>348552.56</v>
      </c>
      <c r="E77" s="2">
        <f>SUM(OSRRefD21_1x_1)</f>
        <v>417207.10000000003</v>
      </c>
      <c r="F77" s="2">
        <f>SUM(OSRRefD21_1x_2)</f>
        <v>481872.38000000006</v>
      </c>
      <c r="G77" s="2">
        <f>SUM(OSRRefD21_1x_3)</f>
        <v>676360.61</v>
      </c>
      <c r="H77" s="2">
        <f>SUM(OSRRefD21_1x_4)</f>
        <v>445852.24</v>
      </c>
      <c r="I77" s="2">
        <f>SUM(OSRRefD21_1x_5)</f>
        <v>485371.56</v>
      </c>
      <c r="J77" s="2">
        <f>SUM(OSRRefD21_1x_6)</f>
        <v>467724.28</v>
      </c>
      <c r="K77" s="2">
        <f>SUM(OSRRefD21_1x_7)</f>
        <v>588830.5</v>
      </c>
      <c r="L77" s="2">
        <f>SUM(OSRRefD21_1x_8)</f>
        <v>608929.53</v>
      </c>
      <c r="M77" s="2">
        <f>SUM(OSRRefD21_1x_9)</f>
        <v>668253.4800000001</v>
      </c>
      <c r="N77" s="2">
        <f>SUM(OSRRefE21_1x_0)</f>
        <v>473668.86290563812</v>
      </c>
      <c r="O77" s="2">
        <f>SUM(OSRRefE21_1x_1)</f>
        <v>358700.97955063812</v>
      </c>
      <c r="Q77" s="3">
        <f>SUM(OSRRefD20_1x)+IFERROR(SUM(OSRRefE20_1x),0)</f>
        <v>6021324.0824562768</v>
      </c>
    </row>
    <row r="78" spans="1:17" s="42" customFormat="1" ht="15" hidden="1" customHeight="1" outlineLevel="1" x14ac:dyDescent="0.3">
      <c r="A78" s="34"/>
      <c r="B78" s="11" t="str">
        <f>CONCATENATE("          ","6001"," - ","ADMINISTRATIVE SALARIES")</f>
        <v xml:space="preserve">          6001 - ADMINISTRATIVE SALARIES</v>
      </c>
      <c r="C78" s="15"/>
      <c r="D78" s="21">
        <v>36234.019999999997</v>
      </c>
      <c r="E78" s="21">
        <v>26773.16</v>
      </c>
      <c r="F78" s="21">
        <v>27089.58</v>
      </c>
      <c r="G78" s="21">
        <v>31569.02</v>
      </c>
      <c r="H78" s="21">
        <v>25514.75</v>
      </c>
      <c r="I78" s="21">
        <v>29105</v>
      </c>
      <c r="J78" s="21">
        <v>34887.26</v>
      </c>
      <c r="K78" s="21">
        <v>31946.07</v>
      </c>
      <c r="L78" s="21">
        <v>28749.02</v>
      </c>
      <c r="M78" s="21">
        <v>30676.82</v>
      </c>
      <c r="N78" s="21">
        <v>18547.9230769231</v>
      </c>
      <c r="O78" s="21">
        <v>18547.9230769231</v>
      </c>
      <c r="P78" s="35"/>
      <c r="Q78" s="3">
        <f>SUM(OSRRefD21_1_0x)+IFERROR(SUM(OSRRefE21_1_0x),0)</f>
        <v>339640.5461538462</v>
      </c>
    </row>
    <row r="79" spans="1:17" s="42" customFormat="1" ht="15" hidden="1" customHeight="1" outlineLevel="1" x14ac:dyDescent="0.3">
      <c r="A79" s="34"/>
      <c r="B79" s="11" t="str">
        <f>CONCATENATE("          ","6002"," - ","STAFF SALARIES")</f>
        <v xml:space="preserve">          6002 - STAFF SALARIES</v>
      </c>
      <c r="C79" s="15"/>
      <c r="D79" s="21">
        <v>137611.74</v>
      </c>
      <c r="E79" s="21">
        <v>113584.46</v>
      </c>
      <c r="F79" s="21">
        <v>122979.42</v>
      </c>
      <c r="G79" s="21">
        <v>137915.4</v>
      </c>
      <c r="H79" s="21">
        <v>98872.4</v>
      </c>
      <c r="I79" s="21">
        <v>113478.97</v>
      </c>
      <c r="J79" s="21">
        <v>136476.37</v>
      </c>
      <c r="K79" s="21">
        <v>126127.47</v>
      </c>
      <c r="L79" s="21">
        <v>116676.88</v>
      </c>
      <c r="M79" s="21">
        <v>132640.35999999999</v>
      </c>
      <c r="N79" s="21">
        <v>110715.778115715</v>
      </c>
      <c r="O79" s="21">
        <v>110715.778115715</v>
      </c>
      <c r="P79" s="35"/>
      <c r="Q79" s="3">
        <f>SUM(OSRRefD21_1_1x)+IFERROR(SUM(OSRRefE21_1_1x),0)</f>
        <v>1457795.0262314298</v>
      </c>
    </row>
    <row r="80" spans="1:17" s="42" customFormat="1" ht="15" hidden="1" customHeight="1" outlineLevel="1" x14ac:dyDescent="0.3">
      <c r="A80" s="34"/>
      <c r="B80" s="11" t="str">
        <f>CONCATENATE("          ","6003"," - ","STAFF HOURLY-9 MONTH")</f>
        <v xml:space="preserve">          6003 - STAFF HOURLY-9 MONTH</v>
      </c>
      <c r="C80" s="15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>
        <v>0</v>
      </c>
      <c r="O80" s="21">
        <v>0</v>
      </c>
      <c r="P80" s="35"/>
      <c r="Q80" s="3">
        <f>SUM(OSRRefD21_1_2x)+IFERROR(SUM(OSRRefE21_1_2x),0)</f>
        <v>0</v>
      </c>
    </row>
    <row r="81" spans="1:17" s="42" customFormat="1" ht="15" hidden="1" customHeight="1" outlineLevel="1" x14ac:dyDescent="0.3">
      <c r="A81" s="34"/>
      <c r="B81" s="11" t="str">
        <f>CONCATENATE("          ","6004"," - ","STAFF HOURLY")</f>
        <v xml:space="preserve">          6004 - STAFF HOURLY</v>
      </c>
      <c r="C81" s="15"/>
      <c r="D81" s="21">
        <v>64891.03</v>
      </c>
      <c r="E81" s="21">
        <v>79931.350000000006</v>
      </c>
      <c r="F81" s="21">
        <v>129060.43</v>
      </c>
      <c r="G81" s="21">
        <v>181661.99</v>
      </c>
      <c r="H81" s="21">
        <v>117919.18</v>
      </c>
      <c r="I81" s="21">
        <v>105744.75</v>
      </c>
      <c r="J81" s="21">
        <v>90435.46</v>
      </c>
      <c r="K81" s="21">
        <v>158052.13</v>
      </c>
      <c r="L81" s="21">
        <v>101473.38</v>
      </c>
      <c r="M81" s="21">
        <v>180016.06</v>
      </c>
      <c r="N81" s="21">
        <v>148185.039388</v>
      </c>
      <c r="O81" s="21">
        <v>135592.91810800001</v>
      </c>
      <c r="P81" s="35"/>
      <c r="Q81" s="3">
        <f>SUM(OSRRefD21_1_3x)+IFERROR(SUM(OSRRefE21_1_3x),0)</f>
        <v>1492963.717496</v>
      </c>
    </row>
    <row r="82" spans="1:17" s="42" customFormat="1" ht="15" hidden="1" customHeight="1" outlineLevel="1" x14ac:dyDescent="0.3">
      <c r="A82" s="34"/>
      <c r="B82" s="11" t="str">
        <f>CONCATENATE("          ","6005"," - ","TEMPORARY WAGES-HOURLY")</f>
        <v xml:space="preserve">          6005 - TEMPORARY WAGES-HOURLY</v>
      </c>
      <c r="C82" s="15"/>
      <c r="D82" s="21">
        <v>23606.71</v>
      </c>
      <c r="E82" s="21">
        <v>38119.279999999999</v>
      </c>
      <c r="F82" s="21">
        <v>69290.64</v>
      </c>
      <c r="G82" s="21">
        <v>169742.39</v>
      </c>
      <c r="H82" s="21">
        <v>49252.480000000003</v>
      </c>
      <c r="I82" s="21">
        <v>71377.84</v>
      </c>
      <c r="J82" s="21">
        <v>33564.910000000003</v>
      </c>
      <c r="K82" s="21">
        <v>73286.87</v>
      </c>
      <c r="L82" s="21">
        <v>52256.29</v>
      </c>
      <c r="M82" s="21">
        <v>81599.64</v>
      </c>
      <c r="N82" s="21">
        <v>25539.595549999998</v>
      </c>
      <c r="O82" s="21">
        <v>18529.9231</v>
      </c>
      <c r="P82" s="35"/>
      <c r="Q82" s="3">
        <f>SUM(OSRRefD21_1_4x)+IFERROR(SUM(OSRRefE21_1_4x),0)</f>
        <v>706166.56865000003</v>
      </c>
    </row>
    <row r="83" spans="1:17" s="42" customFormat="1" ht="15" hidden="1" customHeight="1" outlineLevel="1" x14ac:dyDescent="0.3">
      <c r="A83" s="34"/>
      <c r="B83" s="11" t="str">
        <f>CONCATENATE("          ","6006"," - ","TEMPORARY PART TIME")</f>
        <v xml:space="preserve">          6006 - TEMPORARY PART TIME</v>
      </c>
      <c r="C83" s="15"/>
      <c r="D83" s="21">
        <v>2864.4</v>
      </c>
      <c r="E83" s="21">
        <v>3273.79</v>
      </c>
      <c r="F83" s="21">
        <v>2957.46</v>
      </c>
      <c r="G83" s="21">
        <v>781.97</v>
      </c>
      <c r="H83" s="21"/>
      <c r="I83" s="21"/>
      <c r="J83" s="21">
        <v>2092.35</v>
      </c>
      <c r="K83" s="21">
        <v>3596</v>
      </c>
      <c r="L83" s="21">
        <v>5693.18</v>
      </c>
      <c r="M83" s="21">
        <v>8980.7099999999991</v>
      </c>
      <c r="N83" s="21">
        <v>0</v>
      </c>
      <c r="O83" s="21">
        <v>0</v>
      </c>
      <c r="P83" s="35"/>
      <c r="Q83" s="3">
        <f>SUM(OSRRefD21_1_5x)+IFERROR(SUM(OSRRefE21_1_5x),0)</f>
        <v>30239.86</v>
      </c>
    </row>
    <row r="84" spans="1:17" s="42" customFormat="1" ht="15" hidden="1" customHeight="1" outlineLevel="1" x14ac:dyDescent="0.3">
      <c r="A84" s="34"/>
      <c r="B84" s="11" t="str">
        <f>CONCATENATE("          ","6007"," - ","STUDENT HOURLY")</f>
        <v xml:space="preserve">          6007 - STUDENT HOURLY</v>
      </c>
      <c r="C84" s="15"/>
      <c r="D84" s="21">
        <v>73560.31</v>
      </c>
      <c r="E84" s="21">
        <v>138458.75</v>
      </c>
      <c r="F84" s="21">
        <v>116733.89</v>
      </c>
      <c r="G84" s="21">
        <v>129220.92</v>
      </c>
      <c r="H84" s="21">
        <v>120094.13</v>
      </c>
      <c r="I84" s="21">
        <v>126942.64</v>
      </c>
      <c r="J84" s="21">
        <v>155867.66</v>
      </c>
      <c r="K84" s="21">
        <v>128729.48</v>
      </c>
      <c r="L84" s="21">
        <v>255858.89</v>
      </c>
      <c r="M84" s="21">
        <v>152385.1</v>
      </c>
      <c r="N84" s="21">
        <v>32361.471600000001</v>
      </c>
      <c r="O84" s="21">
        <v>38999.771350000003</v>
      </c>
      <c r="P84" s="35"/>
      <c r="Q84" s="3">
        <f>SUM(OSRRefD21_1_6x)+IFERROR(SUM(OSRRefE21_1_6x),0)</f>
        <v>1469213.0129500001</v>
      </c>
    </row>
    <row r="85" spans="1:17" s="42" customFormat="1" ht="15" hidden="1" customHeight="1" outlineLevel="1" x14ac:dyDescent="0.3">
      <c r="A85" s="34"/>
      <c r="B85" s="11" t="str">
        <f>CONCATENATE("          ","6008"," - ","STUDENT HOURLY-FICA EXEMPT")</f>
        <v xml:space="preserve">          6008 - STUDENT HOURLY-FICA EXEMPT</v>
      </c>
      <c r="C85" s="15"/>
      <c r="D85" s="21">
        <v>9784.35</v>
      </c>
      <c r="E85" s="21">
        <v>17066.310000000001</v>
      </c>
      <c r="F85" s="21">
        <v>13760.96</v>
      </c>
      <c r="G85" s="21">
        <v>25468.92</v>
      </c>
      <c r="H85" s="21">
        <v>34199.300000000003</v>
      </c>
      <c r="I85" s="21">
        <v>38722.36</v>
      </c>
      <c r="J85" s="21">
        <v>14400.27</v>
      </c>
      <c r="K85" s="21">
        <v>67092.479999999996</v>
      </c>
      <c r="L85" s="21">
        <v>48221.89</v>
      </c>
      <c r="M85" s="21">
        <v>81954.789999999994</v>
      </c>
      <c r="N85" s="21">
        <v>138319.05517499999</v>
      </c>
      <c r="O85" s="21">
        <v>36314.665800000002</v>
      </c>
      <c r="P85" s="35"/>
      <c r="Q85" s="3">
        <f>SUM(OSRRefD21_1_7x)+IFERROR(SUM(OSRRefE21_1_7x),0)</f>
        <v>525305.35097500007</v>
      </c>
    </row>
    <row r="86" spans="1:17" s="42" customFormat="1" ht="15" hidden="1" customHeight="1" outlineLevel="1" x14ac:dyDescent="0.3">
      <c r="A86" s="34"/>
      <c r="B86" s="11" t="str">
        <f>CONCATENATE("          ","6009"," - ","TEMPORARY-SEASONAL")</f>
        <v xml:space="preserve">          6009 - TEMPORARY-SEASONAL</v>
      </c>
      <c r="C86" s="15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>
        <v>0</v>
      </c>
      <c r="O86" s="21">
        <v>0</v>
      </c>
      <c r="P86" s="35"/>
      <c r="Q86" s="3">
        <f>SUM(OSRRefD21_1_8x)+IFERROR(SUM(OSRRefE21_1_8x),0)</f>
        <v>0</v>
      </c>
    </row>
    <row r="87" spans="1:17" s="42" customFormat="1" ht="15" hidden="1" customHeight="1" outlineLevel="1" x14ac:dyDescent="0.3">
      <c r="A87" s="34"/>
      <c r="B87" s="11" t="str">
        <f>CONCATENATE("          ","6010"," - ","GRATUITY")</f>
        <v xml:space="preserve">          6010 - GRATUITY</v>
      </c>
      <c r="C87" s="15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>
        <v>0</v>
      </c>
      <c r="O87" s="21">
        <v>0</v>
      </c>
      <c r="P87" s="35"/>
      <c r="Q87" s="3">
        <f>SUM(OSRRefD21_1_9x)+IFERROR(SUM(OSRRefE21_1_9x),0)</f>
        <v>0</v>
      </c>
    </row>
    <row r="88" spans="1:17" s="42" customFormat="1" ht="15" customHeight="1" collapsed="1" x14ac:dyDescent="0.3">
      <c r="A88" s="34"/>
      <c r="B88" s="15" t="str">
        <f>CONCATENATE("     ","Advertising/Promo                                 ")</f>
        <v xml:space="preserve">     Advertising/Promo                                 </v>
      </c>
      <c r="C88" s="15"/>
      <c r="D88" s="2">
        <f>SUM(OSRRefD21_2x_0)</f>
        <v>1084.78</v>
      </c>
      <c r="E88" s="2">
        <f>SUM(OSRRefD21_2x_1)</f>
        <v>3706.47</v>
      </c>
      <c r="F88" s="2">
        <f>SUM(OSRRefD21_2x_2)</f>
        <v>1134.2</v>
      </c>
      <c r="G88" s="2">
        <f>SUM(OSRRefD21_2x_3)</f>
        <v>1129.6600000000001</v>
      </c>
      <c r="H88" s="2">
        <f>SUM(OSRRefD21_2x_4)</f>
        <v>1962.6</v>
      </c>
      <c r="I88" s="2">
        <f>SUM(OSRRefD21_2x_5)</f>
        <v>969.95</v>
      </c>
      <c r="J88" s="2">
        <f>SUM(OSRRefD21_2x_6)</f>
        <v>1236.4100000000001</v>
      </c>
      <c r="K88" s="2">
        <f>SUM(OSRRefD21_2x_7)</f>
        <v>1075.52</v>
      </c>
      <c r="L88" s="2">
        <f>SUM(OSRRefD21_2x_8)</f>
        <v>2923.62</v>
      </c>
      <c r="M88" s="2">
        <f>SUM(OSRRefD21_2x_9)</f>
        <v>4021.81</v>
      </c>
      <c r="N88" s="2">
        <f>SUM(OSRRefE21_2x_0)</f>
        <v>2019</v>
      </c>
      <c r="O88" s="2">
        <f>SUM(OSRRefE21_2x_1)</f>
        <v>1569</v>
      </c>
      <c r="Q88" s="3">
        <f>SUM(OSRRefD20_2x)+IFERROR(SUM(OSRRefE20_2x),0)</f>
        <v>22833.02</v>
      </c>
    </row>
    <row r="89" spans="1:17" s="42" customFormat="1" ht="15" hidden="1" customHeight="1" outlineLevel="1" x14ac:dyDescent="0.3">
      <c r="A89" s="34"/>
      <c r="B89" s="11" t="str">
        <f>CONCATENATE("          ","6362"," - ","ADVERTISING EXPENSE")</f>
        <v xml:space="preserve">          6362 - ADVERTISING EXPENSE</v>
      </c>
      <c r="C89" s="15"/>
      <c r="D89" s="21">
        <v>1084.78</v>
      </c>
      <c r="E89" s="21">
        <v>3706.47</v>
      </c>
      <c r="F89" s="21">
        <v>1134.2</v>
      </c>
      <c r="G89" s="21">
        <v>1129.6600000000001</v>
      </c>
      <c r="H89" s="21">
        <v>1962.6</v>
      </c>
      <c r="I89" s="21">
        <v>969.95</v>
      </c>
      <c r="J89" s="21">
        <v>1236.4100000000001</v>
      </c>
      <c r="K89" s="21">
        <v>1075.52</v>
      </c>
      <c r="L89" s="21">
        <v>2923.62</v>
      </c>
      <c r="M89" s="21">
        <v>4021.81</v>
      </c>
      <c r="N89" s="21">
        <v>2019</v>
      </c>
      <c r="O89" s="21">
        <v>1569</v>
      </c>
      <c r="P89" s="35"/>
      <c r="Q89" s="3">
        <f>SUM(OSRRefD21_2_0x)+IFERROR(SUM(OSRRefE21_2_0x),0)</f>
        <v>22833.02</v>
      </c>
    </row>
    <row r="90" spans="1:17" s="42" customFormat="1" ht="15" customHeight="1" collapsed="1" x14ac:dyDescent="0.3">
      <c r="A90" s="34"/>
      <c r="B90" s="15" t="str">
        <f>CONCATENATE("     ","Bad Debts/Over/Short                              ")</f>
        <v xml:space="preserve">     Bad Debts/Over/Short                              </v>
      </c>
      <c r="C90" s="15"/>
      <c r="D90" s="2">
        <f>SUM(OSRRefD21_3x_0)</f>
        <v>-17.75</v>
      </c>
      <c r="E90" s="2">
        <f>SUM(OSRRefD21_3x_1)</f>
        <v>61.24</v>
      </c>
      <c r="F90" s="2">
        <f>SUM(OSRRefD21_3x_2)</f>
        <v>104.72</v>
      </c>
      <c r="G90" s="2">
        <f>SUM(OSRRefD21_3x_3)</f>
        <v>-49.54</v>
      </c>
      <c r="H90" s="2">
        <f>SUM(OSRRefD21_3x_4)</f>
        <v>-42.52</v>
      </c>
      <c r="I90" s="2">
        <f>SUM(OSRRefD21_3x_5)</f>
        <v>20.94</v>
      </c>
      <c r="J90" s="2">
        <f>SUM(OSRRefD21_3x_6)</f>
        <v>-5.74</v>
      </c>
      <c r="K90" s="2">
        <f>SUM(OSRRefD21_3x_7)</f>
        <v>-59.85</v>
      </c>
      <c r="L90" s="2">
        <f>SUM(OSRRefD21_3x_8)</f>
        <v>5.19</v>
      </c>
      <c r="M90" s="2">
        <f>SUM(OSRRefD21_3x_9)</f>
        <v>-35.880000000000003</v>
      </c>
      <c r="N90" s="2">
        <f>SUM(OSRRefE21_3x_0)</f>
        <v>268</v>
      </c>
      <c r="O90" s="2">
        <f>SUM(OSRRefE21_3x_1)</f>
        <v>260</v>
      </c>
      <c r="Q90" s="3">
        <f>SUM(OSRRefD20_3x)+IFERROR(SUM(OSRRefE20_3x),0)</f>
        <v>508.81</v>
      </c>
    </row>
    <row r="91" spans="1:17" s="42" customFormat="1" ht="15" hidden="1" customHeight="1" outlineLevel="1" x14ac:dyDescent="0.3">
      <c r="A91" s="34"/>
      <c r="B91" s="11" t="str">
        <f>CONCATENATE("          ","6272"," - ","CASH (OVER/SHORT)")</f>
        <v xml:space="preserve">          6272 - CASH (OVER/SHORT)</v>
      </c>
      <c r="C91" s="15"/>
      <c r="D91" s="21">
        <v>-17.75</v>
      </c>
      <c r="E91" s="21">
        <v>61.24</v>
      </c>
      <c r="F91" s="21">
        <v>104.72</v>
      </c>
      <c r="G91" s="21">
        <v>-49.54</v>
      </c>
      <c r="H91" s="21">
        <v>-42.52</v>
      </c>
      <c r="I91" s="21">
        <v>20.94</v>
      </c>
      <c r="J91" s="21">
        <v>-5.74</v>
      </c>
      <c r="K91" s="21">
        <v>-59.85</v>
      </c>
      <c r="L91" s="21">
        <v>5.19</v>
      </c>
      <c r="M91" s="21">
        <v>-35.880000000000003</v>
      </c>
      <c r="N91" s="21">
        <v>268</v>
      </c>
      <c r="O91" s="21">
        <v>260</v>
      </c>
      <c r="P91" s="35"/>
      <c r="Q91" s="3">
        <f>SUM(OSRRefD21_3_0x)+IFERROR(SUM(OSRRefE21_3_0x),0)</f>
        <v>508.81</v>
      </c>
    </row>
    <row r="92" spans="1:17" s="42" customFormat="1" ht="15" customHeight="1" collapsed="1" x14ac:dyDescent="0.3">
      <c r="A92" s="34"/>
      <c r="B92" s="15" t="str">
        <f>CONCATENATE("     ","Bank/card Fees                                    ")</f>
        <v xml:space="preserve">     Bank/card Fees                                    </v>
      </c>
      <c r="C92" s="15"/>
      <c r="D92" s="2">
        <f>SUM(OSRRefD21_4x_0)</f>
        <v>5091.76</v>
      </c>
      <c r="E92" s="2">
        <f>SUM(OSRRefD21_4x_1)</f>
        <v>26352.66</v>
      </c>
      <c r="F92" s="2">
        <f>SUM(OSRRefD21_4x_2)</f>
        <v>17061.310000000001</v>
      </c>
      <c r="G92" s="2">
        <f>SUM(OSRRefD21_4x_3)</f>
        <v>20622.490000000002</v>
      </c>
      <c r="H92" s="2">
        <f>SUM(OSRRefD21_4x_4)</f>
        <v>13300.69</v>
      </c>
      <c r="I92" s="2">
        <f>SUM(OSRRefD21_4x_5)</f>
        <v>14111.72</v>
      </c>
      <c r="J92" s="2">
        <f>SUM(OSRRefD21_4x_6)</f>
        <v>13120.88</v>
      </c>
      <c r="K92" s="2">
        <f>SUM(OSRRefD21_4x_7)</f>
        <v>26930.639999999999</v>
      </c>
      <c r="L92" s="2">
        <f>SUM(OSRRefD21_4x_8)</f>
        <v>32336.92</v>
      </c>
      <c r="M92" s="2">
        <f>SUM(OSRRefD21_4x_9)</f>
        <v>28954.61</v>
      </c>
      <c r="N92" s="2">
        <f>SUM(OSRRefE21_4x_0)</f>
        <v>29226</v>
      </c>
      <c r="O92" s="2">
        <f>SUM(OSRRefE21_4x_1)</f>
        <v>13924.5</v>
      </c>
      <c r="Q92" s="3">
        <f>SUM(OSRRefD20_4x)+IFERROR(SUM(OSRRefE20_4x),0)</f>
        <v>241034.18</v>
      </c>
    </row>
    <row r="93" spans="1:17" s="42" customFormat="1" ht="15" hidden="1" customHeight="1" outlineLevel="1" x14ac:dyDescent="0.3">
      <c r="A93" s="34"/>
      <c r="B93" s="11" t="str">
        <f>CONCATENATE("          ","6381"," - ","BANK/CREDIT CARD FEES")</f>
        <v xml:space="preserve">          6381 - BANK/CREDIT CARD FEES</v>
      </c>
      <c r="C93" s="15"/>
      <c r="D93" s="21">
        <v>5091.76</v>
      </c>
      <c r="E93" s="21">
        <v>26352.66</v>
      </c>
      <c r="F93" s="21">
        <v>17061.310000000001</v>
      </c>
      <c r="G93" s="21">
        <v>20622.490000000002</v>
      </c>
      <c r="H93" s="21">
        <v>13300.69</v>
      </c>
      <c r="I93" s="21">
        <v>14111.72</v>
      </c>
      <c r="J93" s="21">
        <v>13120.88</v>
      </c>
      <c r="K93" s="21">
        <v>26930.639999999999</v>
      </c>
      <c r="L93" s="21">
        <v>32336.92</v>
      </c>
      <c r="M93" s="21">
        <v>28954.61</v>
      </c>
      <c r="N93" s="21">
        <v>29226</v>
      </c>
      <c r="O93" s="21">
        <v>13924.5</v>
      </c>
      <c r="P93" s="35"/>
      <c r="Q93" s="3">
        <f>SUM(OSRRefD21_4_0x)+IFERROR(SUM(OSRRefE21_4_0x),0)</f>
        <v>241034.18</v>
      </c>
    </row>
    <row r="94" spans="1:17" s="42" customFormat="1" ht="15" customHeight="1" collapsed="1" x14ac:dyDescent="0.3">
      <c r="A94" s="34"/>
      <c r="B94" s="15" t="str">
        <f>CONCATENATE("     ","Depreciation                                      ")</f>
        <v xml:space="preserve">     Depreciation                                      </v>
      </c>
      <c r="C94" s="15"/>
      <c r="D94" s="2">
        <f>SUM(OSRRefD21_5x_0)</f>
        <v>71722.81</v>
      </c>
      <c r="E94" s="2">
        <f>SUM(OSRRefD21_5x_1)</f>
        <v>71722.81</v>
      </c>
      <c r="F94" s="2">
        <f>SUM(OSRRefD21_5x_2)</f>
        <v>71678.73</v>
      </c>
      <c r="G94" s="2">
        <f>SUM(OSRRefD21_5x_3)</f>
        <v>70762.13</v>
      </c>
      <c r="H94" s="2">
        <f>SUM(OSRRefD21_5x_4)</f>
        <v>70762.12</v>
      </c>
      <c r="I94" s="2">
        <f>SUM(OSRRefD21_5x_5)</f>
        <v>70762.11</v>
      </c>
      <c r="J94" s="2">
        <f>SUM(OSRRefD21_5x_6)</f>
        <v>68497.2</v>
      </c>
      <c r="K94" s="2">
        <f>SUM(OSRRefD21_5x_7)</f>
        <v>67687.31</v>
      </c>
      <c r="L94" s="2">
        <f>SUM(OSRRefD21_5x_8)</f>
        <v>67112.48000000001</v>
      </c>
      <c r="M94" s="2">
        <f>SUM(OSRRefD21_5x_9)</f>
        <v>59823</v>
      </c>
      <c r="N94" s="2">
        <f>SUM(OSRRefE21_5x_0)</f>
        <v>55277</v>
      </c>
      <c r="O94" s="2">
        <f>SUM(OSRRefE21_5x_1)</f>
        <v>55119</v>
      </c>
      <c r="Q94" s="3">
        <f>SUM(OSRRefD20_5x)+IFERROR(SUM(OSRRefE20_5x),0)</f>
        <v>800926.7</v>
      </c>
    </row>
    <row r="95" spans="1:17" s="42" customFormat="1" ht="15" hidden="1" customHeight="1" outlineLevel="1" x14ac:dyDescent="0.3">
      <c r="A95" s="34"/>
      <c r="B95" s="11" t="str">
        <f>CONCATENATE("          ","6321"," - ","BUILDING DEPRECIATION")</f>
        <v xml:space="preserve">          6321 - BUILDING DEPRECIATION</v>
      </c>
      <c r="C95" s="15"/>
      <c r="D95" s="21">
        <v>45060.5</v>
      </c>
      <c r="E95" s="21">
        <v>45060.5</v>
      </c>
      <c r="F95" s="21">
        <v>45016.43</v>
      </c>
      <c r="G95" s="21">
        <v>45016.43</v>
      </c>
      <c r="H95" s="21">
        <v>45016.43</v>
      </c>
      <c r="I95" s="21">
        <v>45016.42</v>
      </c>
      <c r="J95" s="21">
        <v>42751.51</v>
      </c>
      <c r="K95" s="21">
        <v>41941.620000000003</v>
      </c>
      <c r="L95" s="21">
        <v>41941.620000000003</v>
      </c>
      <c r="M95" s="21">
        <v>41941.620000000003</v>
      </c>
      <c r="N95" s="21"/>
      <c r="O95" s="21"/>
      <c r="P95" s="35"/>
      <c r="Q95" s="3">
        <f>SUM(OSRRefD21_5_0x)+IFERROR(SUM(OSRRefE21_5_0x),0)</f>
        <v>438763.07999999996</v>
      </c>
    </row>
    <row r="96" spans="1:17" s="42" customFormat="1" ht="15" hidden="1" customHeight="1" outlineLevel="1" x14ac:dyDescent="0.3">
      <c r="A96" s="34"/>
      <c r="B96" s="11" t="str">
        <f>CONCATENATE("          ","6322"," - ","EQUIPMENT DEPRECIATION EXPENSE")</f>
        <v xml:space="preserve">          6322 - EQUIPMENT DEPRECIATION EXPENSE</v>
      </c>
      <c r="C96" s="15"/>
      <c r="D96" s="21">
        <v>26662.31</v>
      </c>
      <c r="E96" s="21">
        <v>26662.31</v>
      </c>
      <c r="F96" s="21">
        <v>26662.3</v>
      </c>
      <c r="G96" s="21">
        <v>25745.7</v>
      </c>
      <c r="H96" s="21">
        <v>25745.69</v>
      </c>
      <c r="I96" s="21">
        <v>25745.69</v>
      </c>
      <c r="J96" s="21">
        <v>25745.69</v>
      </c>
      <c r="K96" s="21">
        <v>25745.69</v>
      </c>
      <c r="L96" s="21">
        <v>25170.86</v>
      </c>
      <c r="M96" s="21">
        <v>17881.38</v>
      </c>
      <c r="N96" s="21">
        <v>55277</v>
      </c>
      <c r="O96" s="21">
        <v>55119</v>
      </c>
      <c r="P96" s="35"/>
      <c r="Q96" s="3">
        <f>SUM(OSRRefD21_5_1x)+IFERROR(SUM(OSRRefE21_5_1x),0)</f>
        <v>362163.62</v>
      </c>
    </row>
    <row r="97" spans="1:17" s="42" customFormat="1" ht="15" customHeight="1" collapsed="1" x14ac:dyDescent="0.3">
      <c r="A97" s="34"/>
      <c r="B97" s="15" t="str">
        <f>CONCATENATE("     ","Discounts and Markdowns                           ")</f>
        <v xml:space="preserve">     Discounts and Markdowns                           </v>
      </c>
      <c r="C97" s="15"/>
      <c r="D97" s="2">
        <f>SUM(OSRRefD21_6x_0)</f>
        <v>-0.68</v>
      </c>
      <c r="E97" s="2">
        <f>SUM(OSRRefD21_6x_1)</f>
        <v>-157.30000000000001</v>
      </c>
      <c r="F97" s="2">
        <f>SUM(OSRRefD21_6x_2)</f>
        <v>135.49</v>
      </c>
      <c r="G97" s="2">
        <f>SUM(OSRRefD21_6x_3)</f>
        <v>-43.75</v>
      </c>
      <c r="H97" s="2">
        <f>SUM(OSRRefD21_6x_4)</f>
        <v>3409.87</v>
      </c>
      <c r="I97" s="2">
        <f>SUM(OSRRefD21_6x_5)</f>
        <v>11.17</v>
      </c>
      <c r="J97" s="2">
        <f>SUM(OSRRefD21_6x_6)</f>
        <v>-1290.25</v>
      </c>
      <c r="K97" s="2">
        <f>SUM(OSRRefD21_6x_7)</f>
        <v>0</v>
      </c>
      <c r="L97" s="2">
        <f>SUM(OSRRefD21_6x_8)</f>
        <v>-7.72</v>
      </c>
      <c r="M97" s="2">
        <f>SUM(OSRRefD21_6x_9)</f>
        <v>-50.18</v>
      </c>
      <c r="N97" s="2">
        <f>SUM(OSRRefE21_6x_0)</f>
        <v>0</v>
      </c>
      <c r="O97" s="2">
        <f>SUM(OSRRefE21_6x_1)</f>
        <v>0</v>
      </c>
      <c r="Q97" s="3">
        <f>SUM(OSRRefD20_6x)+IFERROR(SUM(OSRRefE20_6x),0)</f>
        <v>2006.6500000000003</v>
      </c>
    </row>
    <row r="98" spans="1:17" s="42" customFormat="1" ht="15" hidden="1" customHeight="1" outlineLevel="1" x14ac:dyDescent="0.3">
      <c r="A98" s="34"/>
      <c r="B98" s="11" t="str">
        <f>CONCATENATE("          ","6382"," - ","DISCOUNTS/MARK DOWNS")</f>
        <v xml:space="preserve">          6382 - DISCOUNTS/MARK DOWNS</v>
      </c>
      <c r="C98" s="15"/>
      <c r="D98" s="21"/>
      <c r="E98" s="21"/>
      <c r="F98" s="21"/>
      <c r="G98" s="21"/>
      <c r="H98" s="21">
        <v>3410</v>
      </c>
      <c r="I98" s="21"/>
      <c r="J98" s="21">
        <v>-1238.6500000000001</v>
      </c>
      <c r="K98" s="21"/>
      <c r="L98" s="21"/>
      <c r="M98" s="21"/>
      <c r="N98" s="21"/>
      <c r="O98" s="21"/>
      <c r="P98" s="35"/>
      <c r="Q98" s="3">
        <f>SUM(OSRRefD21_6_0x)+IFERROR(SUM(OSRRefE21_6_0x),0)</f>
        <v>2171.35</v>
      </c>
    </row>
    <row r="99" spans="1:17" s="42" customFormat="1" ht="15" hidden="1" customHeight="1" outlineLevel="1" x14ac:dyDescent="0.3">
      <c r="A99" s="34"/>
      <c r="B99" s="11" t="str">
        <f>CONCATENATE("          ","9175"," - ","EARNED DISCOUNTS")</f>
        <v xml:space="preserve">          9175 - EARNED DISCOUNTS</v>
      </c>
      <c r="C99" s="15"/>
      <c r="D99" s="21">
        <v>-0.68</v>
      </c>
      <c r="E99" s="21">
        <v>-157.30000000000001</v>
      </c>
      <c r="F99" s="21">
        <v>135.49</v>
      </c>
      <c r="G99" s="21">
        <v>-43.75</v>
      </c>
      <c r="H99" s="21">
        <v>-0.13</v>
      </c>
      <c r="I99" s="21">
        <v>11.17</v>
      </c>
      <c r="J99" s="21">
        <v>-51.6</v>
      </c>
      <c r="K99" s="21">
        <v>0</v>
      </c>
      <c r="L99" s="21">
        <v>-7.72</v>
      </c>
      <c r="M99" s="21">
        <v>-50.18</v>
      </c>
      <c r="N99" s="21"/>
      <c r="O99" s="21"/>
      <c r="P99" s="35"/>
      <c r="Q99" s="3">
        <f>SUM(OSRRefD21_6_1x)+IFERROR(SUM(OSRRefE21_6_1x),0)</f>
        <v>-164.70000000000002</v>
      </c>
    </row>
    <row r="100" spans="1:17" s="42" customFormat="1" ht="15" customHeight="1" collapsed="1" x14ac:dyDescent="0.3">
      <c r="A100" s="34"/>
      <c r="B100" s="15" t="str">
        <f>CONCATENATE("     ","Donations                                         ")</f>
        <v xml:space="preserve">     Donations                                         </v>
      </c>
      <c r="C100" s="15"/>
      <c r="D100" s="2">
        <f>SUM(OSRRefD21_7x_0)</f>
        <v>0</v>
      </c>
      <c r="E100" s="2">
        <f>SUM(OSRRefD21_7x_1)</f>
        <v>4261.5600000000004</v>
      </c>
      <c r="F100" s="2">
        <f>SUM(OSRRefD21_7x_2)</f>
        <v>9653.6200000000008</v>
      </c>
      <c r="G100" s="2">
        <f>SUM(OSRRefD21_7x_3)</f>
        <v>11982.04</v>
      </c>
      <c r="H100" s="2">
        <f>SUM(OSRRefD21_7x_4)</f>
        <v>9735.59</v>
      </c>
      <c r="I100" s="2">
        <f>SUM(OSRRefD21_7x_5)</f>
        <v>3782.41</v>
      </c>
      <c r="J100" s="2">
        <f>SUM(OSRRefD21_7x_6)</f>
        <v>4031.65</v>
      </c>
      <c r="K100" s="2">
        <f>SUM(OSRRefD21_7x_7)</f>
        <v>11681.61</v>
      </c>
      <c r="L100" s="2">
        <f>SUM(OSRRefD21_7x_8)</f>
        <v>7724.92</v>
      </c>
      <c r="M100" s="2">
        <f>SUM(OSRRefD21_7x_9)</f>
        <v>11144.67</v>
      </c>
      <c r="N100" s="2">
        <f>SUM(OSRRefE21_7x_0)</f>
        <v>16750</v>
      </c>
      <c r="O100" s="2">
        <f>SUM(OSRRefE21_7x_1)</f>
        <v>1250</v>
      </c>
      <c r="Q100" s="3">
        <f>SUM(OSRRefD20_7x)+IFERROR(SUM(OSRRefE20_7x),0)</f>
        <v>91998.07</v>
      </c>
    </row>
    <row r="101" spans="1:17" s="42" customFormat="1" ht="15" hidden="1" customHeight="1" outlineLevel="1" x14ac:dyDescent="0.3">
      <c r="A101" s="34"/>
      <c r="B101" s="11" t="str">
        <f>CONCATENATE("          ","6399"," - ","DONATION-ON CAMPUS")</f>
        <v xml:space="preserve">          6399 - DONATION-ON CAMPUS</v>
      </c>
      <c r="C101" s="15"/>
      <c r="D101" s="21"/>
      <c r="E101" s="21">
        <v>4261.5600000000004</v>
      </c>
      <c r="F101" s="21">
        <v>9653.6200000000008</v>
      </c>
      <c r="G101" s="21">
        <v>11982.04</v>
      </c>
      <c r="H101" s="21">
        <v>9735.59</v>
      </c>
      <c r="I101" s="21">
        <v>3782.41</v>
      </c>
      <c r="J101" s="21">
        <v>4031.65</v>
      </c>
      <c r="K101" s="21">
        <v>11681.61</v>
      </c>
      <c r="L101" s="21">
        <v>7724.92</v>
      </c>
      <c r="M101" s="21">
        <v>11144.67</v>
      </c>
      <c r="N101" s="21">
        <v>16750</v>
      </c>
      <c r="O101" s="21">
        <v>1250</v>
      </c>
      <c r="P101" s="35"/>
      <c r="Q101" s="3">
        <f>SUM(OSRRefD21_7_0x)+IFERROR(SUM(OSRRefE21_7_0x),0)</f>
        <v>91998.07</v>
      </c>
    </row>
    <row r="102" spans="1:17" s="42" customFormat="1" ht="15" customHeight="1" collapsed="1" x14ac:dyDescent="0.3">
      <c r="A102" s="34"/>
      <c r="B102" s="15" t="str">
        <f>CONCATENATE("     ","Employees' Appreciation                           ")</f>
        <v xml:space="preserve">     Employees' Appreciation                           </v>
      </c>
      <c r="C102" s="15"/>
      <c r="D102" s="2">
        <f>SUM(OSRRefD21_8x_0)</f>
        <v>537.36</v>
      </c>
      <c r="E102" s="2">
        <f>SUM(OSRRefD21_8x_1)</f>
        <v>418</v>
      </c>
      <c r="F102" s="2">
        <f>SUM(OSRRefD21_8x_2)</f>
        <v>461.76</v>
      </c>
      <c r="G102" s="2">
        <f>SUM(OSRRefD21_8x_3)</f>
        <v>123.17</v>
      </c>
      <c r="H102" s="2">
        <f>SUM(OSRRefD21_8x_4)</f>
        <v>524.49</v>
      </c>
      <c r="I102" s="2">
        <f>SUM(OSRRefD21_8x_5)</f>
        <v>1236.26</v>
      </c>
      <c r="J102" s="2">
        <f>SUM(OSRRefD21_8x_6)</f>
        <v>1497.36</v>
      </c>
      <c r="K102" s="2">
        <f>SUM(OSRRefD21_8x_7)</f>
        <v>87.37</v>
      </c>
      <c r="L102" s="2">
        <f>SUM(OSRRefD21_8x_8)</f>
        <v>74.69</v>
      </c>
      <c r="M102" s="2">
        <f>SUM(OSRRefD21_8x_9)</f>
        <v>61.45</v>
      </c>
      <c r="N102" s="2">
        <f>SUM(OSRRefE21_8x_0)</f>
        <v>805</v>
      </c>
      <c r="O102" s="2">
        <f>SUM(OSRRefE21_8x_1)</f>
        <v>465</v>
      </c>
      <c r="Q102" s="3">
        <f>SUM(OSRRefD20_8x)+IFERROR(SUM(OSRRefE20_8x),0)</f>
        <v>6291.9099999999989</v>
      </c>
    </row>
    <row r="103" spans="1:17" s="42" customFormat="1" ht="15" hidden="1" customHeight="1" outlineLevel="1" x14ac:dyDescent="0.3">
      <c r="A103" s="34"/>
      <c r="B103" s="11" t="str">
        <f>CONCATENATE("          ","6277"," - ","EMPLOYEE APPRECIATION")</f>
        <v xml:space="preserve">          6277 - EMPLOYEE APPRECIATION</v>
      </c>
      <c r="C103" s="15"/>
      <c r="D103" s="21">
        <v>537.36</v>
      </c>
      <c r="E103" s="21">
        <v>418</v>
      </c>
      <c r="F103" s="21">
        <v>461.76</v>
      </c>
      <c r="G103" s="21">
        <v>123.17</v>
      </c>
      <c r="H103" s="21">
        <v>524.49</v>
      </c>
      <c r="I103" s="21">
        <v>1236.26</v>
      </c>
      <c r="J103" s="21">
        <v>1497.36</v>
      </c>
      <c r="K103" s="21">
        <v>87.37</v>
      </c>
      <c r="L103" s="21">
        <v>74.69</v>
      </c>
      <c r="M103" s="21">
        <v>61.45</v>
      </c>
      <c r="N103" s="21">
        <v>805</v>
      </c>
      <c r="O103" s="21">
        <v>465</v>
      </c>
      <c r="P103" s="35"/>
      <c r="Q103" s="3">
        <f>SUM(OSRRefD21_8_0x)+IFERROR(SUM(OSRRefE21_8_0x),0)</f>
        <v>6291.9099999999989</v>
      </c>
    </row>
    <row r="104" spans="1:17" s="42" customFormat="1" ht="15" customHeight="1" collapsed="1" x14ac:dyDescent="0.3">
      <c r="A104" s="34"/>
      <c r="B104" s="15" t="str">
        <f>CONCATENATE("     ","Equipment Rental                                  ")</f>
        <v xml:space="preserve">     Equipment Rental                                  </v>
      </c>
      <c r="C104" s="15"/>
      <c r="D104" s="2">
        <f>SUM(OSRRefD21_9x_0)</f>
        <v>2713.62</v>
      </c>
      <c r="E104" s="2">
        <f>SUM(OSRRefD21_9x_1)</f>
        <v>7575.85</v>
      </c>
      <c r="F104" s="2">
        <f>SUM(OSRRefD21_9x_2)</f>
        <v>1799.62</v>
      </c>
      <c r="G104" s="2">
        <f>SUM(OSRRefD21_9x_3)</f>
        <v>4246.51</v>
      </c>
      <c r="H104" s="2">
        <f>SUM(OSRRefD21_9x_4)</f>
        <v>3040.96</v>
      </c>
      <c r="I104" s="2">
        <f>SUM(OSRRefD21_9x_5)</f>
        <v>4116.82</v>
      </c>
      <c r="J104" s="2">
        <f>SUM(OSRRefD21_9x_6)</f>
        <v>2830.88</v>
      </c>
      <c r="K104" s="2">
        <f>SUM(OSRRefD21_9x_7)</f>
        <v>2923.75</v>
      </c>
      <c r="L104" s="2">
        <f>SUM(OSRRefD21_9x_8)</f>
        <v>2834.85</v>
      </c>
      <c r="M104" s="2">
        <f>SUM(OSRRefD21_9x_9)</f>
        <v>4544.05</v>
      </c>
      <c r="N104" s="2">
        <f>SUM(OSRRefE21_9x_0)</f>
        <v>3446</v>
      </c>
      <c r="O104" s="2">
        <f>SUM(OSRRefE21_9x_1)</f>
        <v>3446</v>
      </c>
      <c r="Q104" s="3">
        <f>SUM(OSRRefD20_9x)+IFERROR(SUM(OSRRefE20_9x),0)</f>
        <v>43518.91</v>
      </c>
    </row>
    <row r="105" spans="1:17" s="42" customFormat="1" ht="15" hidden="1" customHeight="1" outlineLevel="1" x14ac:dyDescent="0.3">
      <c r="A105" s="34"/>
      <c r="B105" s="11" t="str">
        <f>CONCATENATE("          ","6351"," - ","EQUIPMENT RENTAL")</f>
        <v xml:space="preserve">          6351 - EQUIPMENT RENTAL</v>
      </c>
      <c r="C105" s="15"/>
      <c r="D105" s="21">
        <v>2713.62</v>
      </c>
      <c r="E105" s="21">
        <v>7575.85</v>
      </c>
      <c r="F105" s="21">
        <v>1799.62</v>
      </c>
      <c r="G105" s="21">
        <v>4246.51</v>
      </c>
      <c r="H105" s="21">
        <v>3040.96</v>
      </c>
      <c r="I105" s="21">
        <v>4116.82</v>
      </c>
      <c r="J105" s="21">
        <v>2830.88</v>
      </c>
      <c r="K105" s="21">
        <v>2923.75</v>
      </c>
      <c r="L105" s="21">
        <v>2834.85</v>
      </c>
      <c r="M105" s="21">
        <v>4544.05</v>
      </c>
      <c r="N105" s="21">
        <v>3446</v>
      </c>
      <c r="O105" s="21">
        <v>3446</v>
      </c>
      <c r="P105" s="35"/>
      <c r="Q105" s="3">
        <f>SUM(OSRRefD21_9_0x)+IFERROR(SUM(OSRRefE21_9_0x),0)</f>
        <v>43518.91</v>
      </c>
    </row>
    <row r="106" spans="1:17" s="42" customFormat="1" ht="15" customHeight="1" collapsed="1" x14ac:dyDescent="0.3">
      <c r="A106" s="34"/>
      <c r="B106" s="15" t="str">
        <f>CONCATENATE("     ","Freight out/Postage                               ")</f>
        <v xml:space="preserve">     Freight out/Postage                               </v>
      </c>
      <c r="C106" s="15"/>
      <c r="D106" s="2">
        <f>SUM(OSRRefD21_10x_0)</f>
        <v>3682.8</v>
      </c>
      <c r="E106" s="2">
        <f>SUM(OSRRefD21_10x_1)</f>
        <v>-19372.54</v>
      </c>
      <c r="F106" s="2">
        <f>SUM(OSRRefD21_10x_2)</f>
        <v>3676.619999999999</v>
      </c>
      <c r="G106" s="2">
        <f>SUM(OSRRefD21_10x_3)</f>
        <v>-23513.759999999998</v>
      </c>
      <c r="H106" s="2">
        <f>SUM(OSRRefD21_10x_4)</f>
        <v>5663.4</v>
      </c>
      <c r="I106" s="2">
        <f>SUM(OSRRefD21_10x_5)</f>
        <v>-2180.9800000000014</v>
      </c>
      <c r="J106" s="2">
        <f>SUM(OSRRefD21_10x_6)</f>
        <v>-7280.8900000000012</v>
      </c>
      <c r="K106" s="2">
        <f>SUM(OSRRefD21_10x_7)</f>
        <v>-7059.8099999999995</v>
      </c>
      <c r="L106" s="2">
        <f>SUM(OSRRefD21_10x_8)</f>
        <v>1779.17</v>
      </c>
      <c r="M106" s="2">
        <f>SUM(OSRRefD21_10x_9)</f>
        <v>750.14999999999964</v>
      </c>
      <c r="N106" s="2">
        <f>SUM(OSRRefE21_10x_0)</f>
        <v>-1825</v>
      </c>
      <c r="O106" s="2">
        <f>SUM(OSRRefE21_10x_1)</f>
        <v>-2325</v>
      </c>
      <c r="Q106" s="3">
        <f>SUM(OSRRefD20_10x)+IFERROR(SUM(OSRRefE20_10x),0)</f>
        <v>-48005.840000000004</v>
      </c>
    </row>
    <row r="107" spans="1:17" s="42" customFormat="1" ht="15" hidden="1" customHeight="1" outlineLevel="1" x14ac:dyDescent="0.3">
      <c r="A107" s="34"/>
      <c r="B107" s="11" t="str">
        <f>CONCATENATE("          ","6305"," - ","FREIGHT OUT")</f>
        <v xml:space="preserve">          6305 - FREIGHT OUT</v>
      </c>
      <c r="C107" s="15"/>
      <c r="D107" s="21">
        <v>10982.69</v>
      </c>
      <c r="E107" s="21">
        <v>4399.6499999999996</v>
      </c>
      <c r="F107" s="21">
        <v>13314.15</v>
      </c>
      <c r="G107" s="21">
        <v>26190.81</v>
      </c>
      <c r="H107" s="21">
        <v>11064.07</v>
      </c>
      <c r="I107" s="21">
        <v>12270.64</v>
      </c>
      <c r="J107" s="21">
        <v>16037.19</v>
      </c>
      <c r="K107" s="21">
        <v>7594.99</v>
      </c>
      <c r="L107" s="21">
        <v>10386.42</v>
      </c>
      <c r="M107" s="21">
        <v>14219.32</v>
      </c>
      <c r="N107" s="21">
        <v>2565</v>
      </c>
      <c r="O107" s="21">
        <v>2065</v>
      </c>
      <c r="P107" s="35"/>
      <c r="Q107" s="3">
        <f>SUM(OSRRefD21_10_0x)+IFERROR(SUM(OSRRefE21_10_0x),0)</f>
        <v>131089.93</v>
      </c>
    </row>
    <row r="108" spans="1:17" s="42" customFormat="1" ht="15" hidden="1" customHeight="1" outlineLevel="1" x14ac:dyDescent="0.3">
      <c r="A108" s="34"/>
      <c r="B108" s="11" t="str">
        <f>CONCATENATE("          ","6307"," - ","POSTAGE")</f>
        <v xml:space="preserve">          6307 - POSTAGE</v>
      </c>
      <c r="C108" s="15"/>
      <c r="D108" s="21">
        <v>-7299.89</v>
      </c>
      <c r="E108" s="21">
        <v>-23772.19</v>
      </c>
      <c r="F108" s="21">
        <v>-9637.5300000000007</v>
      </c>
      <c r="G108" s="21">
        <v>-49704.57</v>
      </c>
      <c r="H108" s="21">
        <v>-5400.67</v>
      </c>
      <c r="I108" s="21">
        <v>-14451.62</v>
      </c>
      <c r="J108" s="21">
        <v>-23318.080000000002</v>
      </c>
      <c r="K108" s="21">
        <v>-14654.8</v>
      </c>
      <c r="L108" s="21">
        <v>-8607.25</v>
      </c>
      <c r="M108" s="21">
        <v>-13469.17</v>
      </c>
      <c r="N108" s="21">
        <v>-4390</v>
      </c>
      <c r="O108" s="21">
        <v>-4390</v>
      </c>
      <c r="P108" s="35"/>
      <c r="Q108" s="3">
        <f>SUM(OSRRefD21_10_1x)+IFERROR(SUM(OSRRefE21_10_1x),0)</f>
        <v>-179095.77</v>
      </c>
    </row>
    <row r="109" spans="1:17" s="42" customFormat="1" ht="15" customHeight="1" collapsed="1" x14ac:dyDescent="0.3">
      <c r="A109" s="34"/>
      <c r="B109" s="15" t="str">
        <f>CONCATENATE("     ","General                                           ")</f>
        <v xml:space="preserve">     General                                           </v>
      </c>
      <c r="C109" s="15"/>
      <c r="D109" s="2">
        <f>SUM(OSRRefD21_11x_0)</f>
        <v>1271.73</v>
      </c>
      <c r="E109" s="2">
        <f>SUM(OSRRefD21_11x_1)</f>
        <v>20039.87</v>
      </c>
      <c r="F109" s="2">
        <f>SUM(OSRRefD21_11x_2)</f>
        <v>5364.31</v>
      </c>
      <c r="G109" s="2">
        <f>SUM(OSRRefD21_11x_3)</f>
        <v>2393.16</v>
      </c>
      <c r="H109" s="2">
        <f>SUM(OSRRefD21_11x_4)</f>
        <v>1682.28</v>
      </c>
      <c r="I109" s="2">
        <f>SUM(OSRRefD21_11x_5)</f>
        <v>2144.19</v>
      </c>
      <c r="J109" s="2">
        <f>SUM(OSRRefD21_11x_6)</f>
        <v>2740.56</v>
      </c>
      <c r="K109" s="2">
        <f>SUM(OSRRefD21_11x_7)</f>
        <v>4708.4399999999996</v>
      </c>
      <c r="L109" s="2">
        <f>SUM(OSRRefD21_11x_8)</f>
        <v>3802.34</v>
      </c>
      <c r="M109" s="2">
        <f>SUM(OSRRefD21_11x_9)</f>
        <v>5483.44</v>
      </c>
      <c r="N109" s="2">
        <f>SUM(OSRRefE21_11x_0)</f>
        <v>1570</v>
      </c>
      <c r="O109" s="2">
        <f>SUM(OSRRefE21_11x_1)</f>
        <v>1820</v>
      </c>
      <c r="Q109" s="3">
        <f>SUM(OSRRefD20_11x)+IFERROR(SUM(OSRRefE20_11x),0)</f>
        <v>53020.320000000007</v>
      </c>
    </row>
    <row r="110" spans="1:17" s="42" customFormat="1" ht="15" hidden="1" customHeight="1" outlineLevel="1" x14ac:dyDescent="0.3">
      <c r="A110" s="34"/>
      <c r="B110" s="11" t="str">
        <f>CONCATENATE("          ","6279"," - ","GENERAL EXPENSE")</f>
        <v xml:space="preserve">          6279 - GENERAL EXPENSE</v>
      </c>
      <c r="C110" s="15"/>
      <c r="D110" s="21">
        <v>1271.73</v>
      </c>
      <c r="E110" s="21">
        <v>20039.87</v>
      </c>
      <c r="F110" s="21">
        <v>5364.31</v>
      </c>
      <c r="G110" s="21">
        <v>2393.16</v>
      </c>
      <c r="H110" s="21">
        <v>1682.28</v>
      </c>
      <c r="I110" s="21">
        <v>2144.19</v>
      </c>
      <c r="J110" s="21">
        <v>2740.56</v>
      </c>
      <c r="K110" s="21">
        <v>4708.4399999999996</v>
      </c>
      <c r="L110" s="21">
        <v>3802.34</v>
      </c>
      <c r="M110" s="21">
        <v>5483.44</v>
      </c>
      <c r="N110" s="21">
        <v>1570</v>
      </c>
      <c r="O110" s="21">
        <v>1820</v>
      </c>
      <c r="P110" s="35"/>
      <c r="Q110" s="3">
        <f>SUM(OSRRefD21_11_0x)+IFERROR(SUM(OSRRefE21_11_0x),0)</f>
        <v>53020.320000000007</v>
      </c>
    </row>
    <row r="111" spans="1:17" s="42" customFormat="1" ht="15" customHeight="1" collapsed="1" x14ac:dyDescent="0.3">
      <c r="A111" s="34"/>
      <c r="B111" s="15" t="str">
        <f>CONCATENATE("     ","Insurance                                         ")</f>
        <v xml:space="preserve">     Insurance                                         </v>
      </c>
      <c r="C111" s="15"/>
      <c r="D111" s="2">
        <f>SUM(OSRRefD21_12x_0)</f>
        <v>11626.44</v>
      </c>
      <c r="E111" s="2">
        <f>SUM(OSRRefD21_12x_1)</f>
        <v>11626.43</v>
      </c>
      <c r="F111" s="2">
        <f>SUM(OSRRefD21_12x_2)</f>
        <v>11626.43</v>
      </c>
      <c r="G111" s="2">
        <f>SUM(OSRRefD21_12x_3)</f>
        <v>18509.43</v>
      </c>
      <c r="H111" s="2">
        <f>SUM(OSRRefD21_12x_4)</f>
        <v>11626.43</v>
      </c>
      <c r="I111" s="2">
        <f>SUM(OSRRefD21_12x_5)</f>
        <v>11626.43</v>
      </c>
      <c r="J111" s="2">
        <f>SUM(OSRRefD21_12x_6)</f>
        <v>11626.43</v>
      </c>
      <c r="K111" s="2">
        <f>SUM(OSRRefD21_12x_7)</f>
        <v>11626.43</v>
      </c>
      <c r="L111" s="2">
        <f>SUM(OSRRefD21_12x_8)</f>
        <v>11626.43</v>
      </c>
      <c r="M111" s="2">
        <f>SUM(OSRRefD21_12x_9)</f>
        <v>11626.43</v>
      </c>
      <c r="N111" s="2">
        <f>SUM(OSRRefE21_12x_0)</f>
        <v>11425</v>
      </c>
      <c r="O111" s="2">
        <f>SUM(OSRRefE21_12x_1)</f>
        <v>11425</v>
      </c>
      <c r="Q111" s="3">
        <f>SUM(OSRRefD20_12x)+IFERROR(SUM(OSRRefE20_12x),0)</f>
        <v>145997.30999999997</v>
      </c>
    </row>
    <row r="112" spans="1:17" s="42" customFormat="1" ht="15" hidden="1" customHeight="1" outlineLevel="1" x14ac:dyDescent="0.3">
      <c r="A112" s="34"/>
      <c r="B112" s="11" t="str">
        <f>CONCATENATE("          ","6314"," - ","LIABILITY INSURANCE")</f>
        <v xml:space="preserve">          6314 - LIABILITY INSURANCE</v>
      </c>
      <c r="C112" s="15"/>
      <c r="D112" s="21">
        <v>11626.44</v>
      </c>
      <c r="E112" s="21">
        <v>11626.43</v>
      </c>
      <c r="F112" s="21">
        <v>11626.43</v>
      </c>
      <c r="G112" s="21">
        <v>18509.43</v>
      </c>
      <c r="H112" s="21">
        <v>11626.43</v>
      </c>
      <c r="I112" s="21">
        <v>11626.43</v>
      </c>
      <c r="J112" s="21">
        <v>11626.43</v>
      </c>
      <c r="K112" s="21">
        <v>11626.43</v>
      </c>
      <c r="L112" s="21">
        <v>11626.43</v>
      </c>
      <c r="M112" s="21">
        <v>11626.43</v>
      </c>
      <c r="N112" s="21">
        <v>11425</v>
      </c>
      <c r="O112" s="21">
        <v>11425</v>
      </c>
      <c r="P112" s="35"/>
      <c r="Q112" s="3">
        <f>SUM(OSRRefD21_12_0x)+IFERROR(SUM(OSRRefE21_12_0x),0)</f>
        <v>145997.30999999997</v>
      </c>
    </row>
    <row r="113" spans="1:17" s="42" customFormat="1" ht="15" customHeight="1" collapsed="1" x14ac:dyDescent="0.3">
      <c r="A113" s="34"/>
      <c r="B113" s="15" t="str">
        <f>CONCATENATE("     ","Interest                                          ")</f>
        <v xml:space="preserve">     Interest                                          </v>
      </c>
      <c r="C113" s="15"/>
      <c r="D113" s="2">
        <f>SUM(OSRRefD21_13x_0)</f>
        <v>11158</v>
      </c>
      <c r="E113" s="2">
        <f>SUM(OSRRefD21_13x_1)</f>
        <v>11158</v>
      </c>
      <c r="F113" s="2">
        <f>SUM(OSRRefD21_13x_2)</f>
        <v>11158</v>
      </c>
      <c r="G113" s="2">
        <f>SUM(OSRRefD21_13x_3)</f>
        <v>10368</v>
      </c>
      <c r="H113" s="2">
        <f>SUM(OSRRefD21_13x_4)</f>
        <v>11158</v>
      </c>
      <c r="I113" s="2">
        <f>SUM(OSRRefD21_13x_5)</f>
        <v>11158</v>
      </c>
      <c r="J113" s="2">
        <f>SUM(OSRRefD21_13x_6)</f>
        <v>11158</v>
      </c>
      <c r="K113" s="2">
        <f>SUM(OSRRefD21_13x_7)</f>
        <v>11158</v>
      </c>
      <c r="L113" s="2">
        <f>SUM(OSRRefD21_13x_8)</f>
        <v>11158</v>
      </c>
      <c r="M113" s="2">
        <f>SUM(OSRRefD21_13x_9)</f>
        <v>8660</v>
      </c>
      <c r="N113" s="2">
        <f>SUM(OSRRefE21_13x_0)</f>
        <v>10742</v>
      </c>
      <c r="O113" s="2">
        <f>SUM(OSRRefE21_13x_1)</f>
        <v>10742</v>
      </c>
      <c r="Q113" s="3">
        <f>SUM(OSRRefD20_13x)+IFERROR(SUM(OSRRefE20_13x),0)</f>
        <v>129776</v>
      </c>
    </row>
    <row r="114" spans="1:17" s="42" customFormat="1" ht="15" hidden="1" customHeight="1" outlineLevel="1" x14ac:dyDescent="0.3">
      <c r="A114" s="34"/>
      <c r="B114" s="11" t="str">
        <f>CONCATENATE("          ","6401"," - ","INTEREST EXPENSE")</f>
        <v xml:space="preserve">          6401 - INTEREST EXPENSE</v>
      </c>
      <c r="C114" s="15"/>
      <c r="D114" s="21">
        <v>11158</v>
      </c>
      <c r="E114" s="21">
        <v>11158</v>
      </c>
      <c r="F114" s="21">
        <v>11158</v>
      </c>
      <c r="G114" s="21">
        <v>10368</v>
      </c>
      <c r="H114" s="21">
        <v>11158</v>
      </c>
      <c r="I114" s="21">
        <v>11158</v>
      </c>
      <c r="J114" s="21">
        <v>11158</v>
      </c>
      <c r="K114" s="21">
        <v>11158</v>
      </c>
      <c r="L114" s="21">
        <v>11158</v>
      </c>
      <c r="M114" s="21">
        <v>8660</v>
      </c>
      <c r="N114" s="21">
        <v>10742</v>
      </c>
      <c r="O114" s="21">
        <v>10742</v>
      </c>
      <c r="P114" s="35"/>
      <c r="Q114" s="3">
        <f>SUM(OSRRefD21_13_0x)+IFERROR(SUM(OSRRefE21_13_0x),0)</f>
        <v>129776</v>
      </c>
    </row>
    <row r="115" spans="1:17" s="42" customFormat="1" ht="15" customHeight="1" collapsed="1" x14ac:dyDescent="0.3">
      <c r="A115" s="34"/>
      <c r="B115" s="15" t="str">
        <f>CONCATENATE("     ","Inventory Adjustment                              ")</f>
        <v xml:space="preserve">     Inventory Adjustment                              </v>
      </c>
      <c r="C115" s="15"/>
      <c r="D115" s="2">
        <f>SUM(OSRRefD21_14x_0)</f>
        <v>6570</v>
      </c>
      <c r="E115" s="2">
        <f>SUM(OSRRefD21_14x_1)</f>
        <v>7120</v>
      </c>
      <c r="F115" s="2">
        <f>SUM(OSRRefD21_14x_2)</f>
        <v>5690</v>
      </c>
      <c r="G115" s="2">
        <f>SUM(OSRRefD21_14x_3)</f>
        <v>5690</v>
      </c>
      <c r="H115" s="2">
        <f>SUM(OSRRefD21_14x_4)</f>
        <v>5730</v>
      </c>
      <c r="I115" s="2">
        <f>SUM(OSRRefD21_14x_5)</f>
        <v>9440</v>
      </c>
      <c r="J115" s="2">
        <f>SUM(OSRRefD21_14x_6)</f>
        <v>6070</v>
      </c>
      <c r="K115" s="2">
        <f>SUM(OSRRefD21_14x_7)</f>
        <v>5690</v>
      </c>
      <c r="L115" s="2">
        <f>SUM(OSRRefD21_14x_8)</f>
        <v>5440</v>
      </c>
      <c r="M115" s="2">
        <f>SUM(OSRRefD21_14x_9)</f>
        <v>6200</v>
      </c>
      <c r="N115" s="2">
        <f>SUM(OSRRefE21_14x_0)</f>
        <v>7200</v>
      </c>
      <c r="O115" s="2">
        <f>SUM(OSRRefE21_14x_1)</f>
        <v>19650</v>
      </c>
      <c r="Q115" s="3">
        <f>SUM(OSRRefD20_14x)+IFERROR(SUM(OSRRefE20_14x),0)</f>
        <v>90490</v>
      </c>
    </row>
    <row r="116" spans="1:17" s="42" customFormat="1" ht="15" hidden="1" customHeight="1" outlineLevel="1" x14ac:dyDescent="0.3">
      <c r="A116" s="34"/>
      <c r="B116" s="11" t="str">
        <f>CONCATENATE("          ","6408"," - ","INVENTORY ADJUSTMENT")</f>
        <v xml:space="preserve">          6408 - INVENTORY ADJUSTMENT</v>
      </c>
      <c r="C116" s="15"/>
      <c r="D116" s="21">
        <v>6570</v>
      </c>
      <c r="E116" s="21">
        <v>7120</v>
      </c>
      <c r="F116" s="21">
        <v>5690</v>
      </c>
      <c r="G116" s="21">
        <v>5690</v>
      </c>
      <c r="H116" s="21">
        <v>5730</v>
      </c>
      <c r="I116" s="21">
        <v>9440</v>
      </c>
      <c r="J116" s="21">
        <v>6070</v>
      </c>
      <c r="K116" s="21">
        <v>5690</v>
      </c>
      <c r="L116" s="21">
        <v>5440</v>
      </c>
      <c r="M116" s="21">
        <v>6200</v>
      </c>
      <c r="N116" s="21">
        <v>7200</v>
      </c>
      <c r="O116" s="21">
        <v>19650</v>
      </c>
      <c r="P116" s="35"/>
      <c r="Q116" s="3">
        <f>SUM(OSRRefD21_14_0x)+IFERROR(SUM(OSRRefE21_14_0x),0)</f>
        <v>90490</v>
      </c>
    </row>
    <row r="117" spans="1:17" s="42" customFormat="1" ht="15" customHeight="1" collapsed="1" x14ac:dyDescent="0.3">
      <c r="A117" s="34"/>
      <c r="B117" s="15" t="str">
        <f>CONCATENATE("     ","Professional Services                             ")</f>
        <v xml:space="preserve">     Professional Services                             </v>
      </c>
      <c r="C117" s="15"/>
      <c r="D117" s="2">
        <f>SUM(OSRRefD21_15x_0)</f>
        <v>0</v>
      </c>
      <c r="E117" s="2">
        <f>SUM(OSRRefD21_15x_1)</f>
        <v>0</v>
      </c>
      <c r="F117" s="2">
        <f>SUM(OSRRefD21_15x_2)</f>
        <v>0</v>
      </c>
      <c r="G117" s="2">
        <f>SUM(OSRRefD21_15x_3)</f>
        <v>8186.53</v>
      </c>
      <c r="H117" s="2">
        <f>SUM(OSRRefD21_15x_4)</f>
        <v>0</v>
      </c>
      <c r="I117" s="2">
        <f>SUM(OSRRefD21_15x_5)</f>
        <v>0</v>
      </c>
      <c r="J117" s="2">
        <f>SUM(OSRRefD21_15x_6)</f>
        <v>0</v>
      </c>
      <c r="K117" s="2">
        <f>SUM(OSRRefD21_15x_7)</f>
        <v>390</v>
      </c>
      <c r="L117" s="2">
        <f>SUM(OSRRefD21_15x_8)</f>
        <v>1050</v>
      </c>
      <c r="M117" s="2">
        <f>SUM(OSRRefD21_15x_9)</f>
        <v>0</v>
      </c>
      <c r="N117" s="2">
        <f>SUM(OSRRefE21_15x_0)</f>
        <v>0</v>
      </c>
      <c r="O117" s="2">
        <f>SUM(OSRRefE21_15x_1)</f>
        <v>0</v>
      </c>
      <c r="Q117" s="3">
        <f>SUM(OSRRefD20_15x)+IFERROR(SUM(OSRRefE20_15x),0)</f>
        <v>9626.5299999999988</v>
      </c>
    </row>
    <row r="118" spans="1:17" s="42" customFormat="1" ht="15" hidden="1" customHeight="1" outlineLevel="1" x14ac:dyDescent="0.3">
      <c r="A118" s="34"/>
      <c r="B118" s="11" t="str">
        <f>CONCATENATE("          ","6336"," - ","PROFESSIONAL SERVICES")</f>
        <v xml:space="preserve">          6336 - PROFESSIONAL SERVICES</v>
      </c>
      <c r="C118" s="15"/>
      <c r="D118" s="21"/>
      <c r="E118" s="21"/>
      <c r="F118" s="21"/>
      <c r="G118" s="21">
        <v>8186.53</v>
      </c>
      <c r="H118" s="21"/>
      <c r="I118" s="21"/>
      <c r="J118" s="21"/>
      <c r="K118" s="21">
        <v>390</v>
      </c>
      <c r="L118" s="21">
        <v>1050</v>
      </c>
      <c r="M118" s="21"/>
      <c r="N118" s="21">
        <v>0</v>
      </c>
      <c r="O118" s="21">
        <v>0</v>
      </c>
      <c r="P118" s="35"/>
      <c r="Q118" s="3">
        <f>SUM(OSRRefD21_15_0x)+IFERROR(SUM(OSRRefE21_15_0x),0)</f>
        <v>9626.5299999999988</v>
      </c>
    </row>
    <row r="119" spans="1:17" s="42" customFormat="1" ht="15" customHeight="1" collapsed="1" x14ac:dyDescent="0.3">
      <c r="A119" s="34"/>
      <c r="B119" s="15" t="str">
        <f>CONCATENATE("     ","R/H Commissions                                   ")</f>
        <v xml:space="preserve">     R/H Commissions                                   </v>
      </c>
      <c r="C119" s="15"/>
      <c r="D119" s="2">
        <f>SUM(OSRRefD21_16x_0)</f>
        <v>1568</v>
      </c>
      <c r="E119" s="2">
        <f>SUM(OSRRefD21_16x_1)</f>
        <v>38588</v>
      </c>
      <c r="F119" s="2">
        <f>SUM(OSRRefD21_16x_2)</f>
        <v>102646.99</v>
      </c>
      <c r="G119" s="2">
        <f>SUM(OSRRefD21_16x_3)</f>
        <v>127967.99</v>
      </c>
      <c r="H119" s="2">
        <f>SUM(OSRRefD21_16x_4)</f>
        <v>102145.22</v>
      </c>
      <c r="I119" s="2">
        <f>SUM(OSRRefD21_16x_5)</f>
        <v>76752.539999999994</v>
      </c>
      <c r="J119" s="2">
        <f>SUM(OSRRefD21_16x_6)</f>
        <v>49958.66</v>
      </c>
      <c r="K119" s="2">
        <f>SUM(OSRRefD21_16x_7)</f>
        <v>109401.29</v>
      </c>
      <c r="L119" s="2">
        <f>SUM(OSRRefD21_16x_8)</f>
        <v>111663.48</v>
      </c>
      <c r="M119" s="2">
        <f>SUM(OSRRefD21_16x_9)</f>
        <v>135508.24</v>
      </c>
      <c r="N119" s="2">
        <f>SUM(OSRRefE21_16x_0)</f>
        <v>44064</v>
      </c>
      <c r="O119" s="2">
        <f>SUM(OSRRefE21_16x_1)</f>
        <v>0</v>
      </c>
      <c r="Q119" s="3">
        <f>SUM(OSRRefD20_16x)+IFERROR(SUM(OSRRefE20_16x),0)</f>
        <v>900264.40999999992</v>
      </c>
    </row>
    <row r="120" spans="1:17" s="42" customFormat="1" ht="15" hidden="1" customHeight="1" outlineLevel="1" x14ac:dyDescent="0.3">
      <c r="A120" s="34"/>
      <c r="B120" s="11" t="str">
        <f>CONCATENATE("          ","6387"," - ","COMMISSION DUE HOUSING")</f>
        <v xml:space="preserve">          6387 - COMMISSION DUE HOUSING</v>
      </c>
      <c r="C120" s="15"/>
      <c r="D120" s="21">
        <v>1568</v>
      </c>
      <c r="E120" s="21">
        <v>38588</v>
      </c>
      <c r="F120" s="21">
        <v>102646.99</v>
      </c>
      <c r="G120" s="21">
        <v>127967.99</v>
      </c>
      <c r="H120" s="21">
        <v>102145.22</v>
      </c>
      <c r="I120" s="21">
        <v>76752.539999999994</v>
      </c>
      <c r="J120" s="21">
        <v>49958.66</v>
      </c>
      <c r="K120" s="21">
        <v>109401.29</v>
      </c>
      <c r="L120" s="21">
        <v>111663.48</v>
      </c>
      <c r="M120" s="21">
        <v>135508.24</v>
      </c>
      <c r="N120" s="21">
        <v>44064</v>
      </c>
      <c r="O120" s="21"/>
      <c r="P120" s="35"/>
      <c r="Q120" s="3">
        <f>SUM(OSRRefD21_16_0x)+IFERROR(SUM(OSRRefE21_16_0x),0)</f>
        <v>900264.40999999992</v>
      </c>
    </row>
    <row r="121" spans="1:17" s="42" customFormat="1" ht="15" customHeight="1" collapsed="1" x14ac:dyDescent="0.3">
      <c r="A121" s="34"/>
      <c r="B121" s="15" t="str">
        <f>CONCATENATE("     ","Rent                                              ")</f>
        <v xml:space="preserve">     Rent                                              </v>
      </c>
      <c r="C121" s="15"/>
      <c r="D121" s="2">
        <f>SUM(OSRRefD21_17x_0)</f>
        <v>8750</v>
      </c>
      <c r="E121" s="2">
        <f>SUM(OSRRefD21_17x_1)</f>
        <v>8750</v>
      </c>
      <c r="F121" s="2">
        <f>SUM(OSRRefD21_17x_2)</f>
        <v>8750</v>
      </c>
      <c r="G121" s="2">
        <f>SUM(OSRRefD21_17x_3)</f>
        <v>8750</v>
      </c>
      <c r="H121" s="2">
        <f>SUM(OSRRefD21_17x_4)</f>
        <v>8750</v>
      </c>
      <c r="I121" s="2">
        <f>SUM(OSRRefD21_17x_5)</f>
        <v>8750</v>
      </c>
      <c r="J121" s="2">
        <f>SUM(OSRRefD21_17x_6)</f>
        <v>8750</v>
      </c>
      <c r="K121" s="2">
        <f>SUM(OSRRefD21_17x_7)</f>
        <v>8750</v>
      </c>
      <c r="L121" s="2">
        <f>SUM(OSRRefD21_17x_8)</f>
        <v>8750</v>
      </c>
      <c r="M121" s="2">
        <f>SUM(OSRRefD21_17x_9)</f>
        <v>8750</v>
      </c>
      <c r="N121" s="2">
        <f>SUM(OSRRefE21_17x_0)</f>
        <v>8750</v>
      </c>
      <c r="O121" s="2">
        <f>SUM(OSRRefE21_17x_1)</f>
        <v>8750</v>
      </c>
      <c r="Q121" s="3">
        <f>SUM(OSRRefD20_17x)+IFERROR(SUM(OSRRefE20_17x),0)</f>
        <v>105000</v>
      </c>
    </row>
    <row r="122" spans="1:17" s="42" customFormat="1" ht="15" hidden="1" customHeight="1" outlineLevel="1" x14ac:dyDescent="0.3">
      <c r="A122" s="34"/>
      <c r="B122" s="11" t="str">
        <f>CONCATENATE("          ","6273"," - ","RENT")</f>
        <v xml:space="preserve">          6273 - RENT</v>
      </c>
      <c r="C122" s="15"/>
      <c r="D122" s="21">
        <v>8750</v>
      </c>
      <c r="E122" s="21">
        <v>8750</v>
      </c>
      <c r="F122" s="21">
        <v>8750</v>
      </c>
      <c r="G122" s="21">
        <v>8750</v>
      </c>
      <c r="H122" s="21">
        <v>8750</v>
      </c>
      <c r="I122" s="21">
        <v>8750</v>
      </c>
      <c r="J122" s="21">
        <v>8750</v>
      </c>
      <c r="K122" s="21">
        <v>8750</v>
      </c>
      <c r="L122" s="21">
        <v>8750</v>
      </c>
      <c r="M122" s="21">
        <v>8750</v>
      </c>
      <c r="N122" s="21">
        <v>8750</v>
      </c>
      <c r="O122" s="21">
        <v>8750</v>
      </c>
      <c r="P122" s="35"/>
      <c r="Q122" s="3">
        <f>SUM(OSRRefD21_17_0x)+IFERROR(SUM(OSRRefE21_17_0x),0)</f>
        <v>105000</v>
      </c>
    </row>
    <row r="123" spans="1:17" s="42" customFormat="1" ht="15" customHeight="1" collapsed="1" x14ac:dyDescent="0.3">
      <c r="A123" s="34"/>
      <c r="B123" s="15" t="str">
        <f>CONCATENATE("     ","Repair and Maintenance                            ")</f>
        <v xml:space="preserve">     Repair and Maintenance                            </v>
      </c>
      <c r="C123" s="15"/>
      <c r="D123" s="2">
        <f>SUM(OSRRefD21_18x_0)</f>
        <v>194024.06</v>
      </c>
      <c r="E123" s="2">
        <f>SUM(OSRRefD21_18x_1)</f>
        <v>36023.160000000003</v>
      </c>
      <c r="F123" s="2">
        <f>SUM(OSRRefD21_18x_2)</f>
        <v>11438.830000000002</v>
      </c>
      <c r="G123" s="2">
        <f>SUM(OSRRefD21_18x_3)</f>
        <v>27285.43</v>
      </c>
      <c r="H123" s="2">
        <f>SUM(OSRRefD21_18x_4)</f>
        <v>10867.77</v>
      </c>
      <c r="I123" s="2">
        <f>SUM(OSRRefD21_18x_5)</f>
        <v>22530.019999999997</v>
      </c>
      <c r="J123" s="2">
        <f>SUM(OSRRefD21_18x_6)</f>
        <v>21476.55</v>
      </c>
      <c r="K123" s="2">
        <f>SUM(OSRRefD21_18x_7)</f>
        <v>24796.82</v>
      </c>
      <c r="L123" s="2">
        <f>SUM(OSRRefD21_18x_8)</f>
        <v>29977.87</v>
      </c>
      <c r="M123" s="2">
        <f>SUM(OSRRefD21_18x_9)</f>
        <v>28585.67</v>
      </c>
      <c r="N123" s="2">
        <f>SUM(OSRRefE21_18x_0)</f>
        <v>22589</v>
      </c>
      <c r="O123" s="2">
        <f>SUM(OSRRefE21_18x_1)</f>
        <v>19865</v>
      </c>
      <c r="Q123" s="3">
        <f>SUM(OSRRefD20_18x)+IFERROR(SUM(OSRRefE20_18x),0)</f>
        <v>449460.18</v>
      </c>
    </row>
    <row r="124" spans="1:17" s="42" customFormat="1" ht="15" hidden="1" customHeight="1" outlineLevel="1" x14ac:dyDescent="0.3">
      <c r="A124" s="34"/>
      <c r="B124" s="11" t="str">
        <f>CONCATENATE("          ","6371"," - ","COMPUTER SOFTWARE MAINTENANCE")</f>
        <v xml:space="preserve">          6371 - COMPUTER SOFTWARE MAINTENANCE</v>
      </c>
      <c r="C124" s="15"/>
      <c r="D124" s="21">
        <v>63123.5</v>
      </c>
      <c r="E124" s="21">
        <v>8677.7199999999993</v>
      </c>
      <c r="F124" s="21">
        <v>3500</v>
      </c>
      <c r="G124" s="21">
        <v>6547.18</v>
      </c>
      <c r="H124" s="21">
        <v>3880.32</v>
      </c>
      <c r="I124" s="21">
        <v>4118.3599999999997</v>
      </c>
      <c r="J124" s="21">
        <v>3981.09</v>
      </c>
      <c r="K124" s="21">
        <v>11083.7</v>
      </c>
      <c r="L124" s="21">
        <v>5833.7</v>
      </c>
      <c r="M124" s="21">
        <v>12466.19</v>
      </c>
      <c r="N124" s="21">
        <v>4500</v>
      </c>
      <c r="O124" s="21">
        <v>4500</v>
      </c>
      <c r="P124" s="35"/>
      <c r="Q124" s="3">
        <f>SUM(OSRRefD21_18_0x)+IFERROR(SUM(OSRRefE21_18_0x),0)</f>
        <v>132211.76</v>
      </c>
    </row>
    <row r="125" spans="1:17" s="42" customFormat="1" ht="15" hidden="1" customHeight="1" outlineLevel="1" x14ac:dyDescent="0.3">
      <c r="A125" s="34"/>
      <c r="B125" s="11" t="str">
        <f>CONCATENATE("          ","6372"," - ","COMPUTER HARDWARE MAINTENANCE")</f>
        <v xml:space="preserve">          6372 - COMPUTER HARDWARE MAINTENANCE</v>
      </c>
      <c r="C125" s="15"/>
      <c r="D125" s="21"/>
      <c r="E125" s="21"/>
      <c r="F125" s="21"/>
      <c r="G125" s="21"/>
      <c r="H125" s="21"/>
      <c r="I125" s="21"/>
      <c r="J125" s="21">
        <v>1555.65</v>
      </c>
      <c r="K125" s="21"/>
      <c r="L125" s="21"/>
      <c r="M125" s="21"/>
      <c r="N125" s="21">
        <v>6950</v>
      </c>
      <c r="O125" s="21">
        <v>6950</v>
      </c>
      <c r="P125" s="35"/>
      <c r="Q125" s="3">
        <f>SUM(OSRRefD21_18_1x)+IFERROR(SUM(OSRRefE21_18_1x),0)</f>
        <v>15455.65</v>
      </c>
    </row>
    <row r="126" spans="1:17" s="42" customFormat="1" ht="15" hidden="1" customHeight="1" outlineLevel="1" x14ac:dyDescent="0.3">
      <c r="A126" s="34"/>
      <c r="B126" s="11" t="str">
        <f>CONCATENATE("          ","6373"," - ","MAINTENANCE CONTRACTS")</f>
        <v xml:space="preserve">          6373 - MAINTENANCE CONTRACTS</v>
      </c>
      <c r="C126" s="15"/>
      <c r="D126" s="21">
        <v>122670.12</v>
      </c>
      <c r="E126" s="21">
        <v>6010.42</v>
      </c>
      <c r="F126" s="21">
        <v>2767.77</v>
      </c>
      <c r="G126" s="21">
        <v>6946.49</v>
      </c>
      <c r="H126" s="21">
        <v>3052.32</v>
      </c>
      <c r="I126" s="21">
        <v>7565.69</v>
      </c>
      <c r="J126" s="21">
        <v>4151.88</v>
      </c>
      <c r="K126" s="21">
        <v>2817.99</v>
      </c>
      <c r="L126" s="21">
        <v>9634.01</v>
      </c>
      <c r="M126" s="21">
        <v>800.5</v>
      </c>
      <c r="N126" s="21">
        <v>7655</v>
      </c>
      <c r="O126" s="21">
        <v>5955</v>
      </c>
      <c r="P126" s="35"/>
      <c r="Q126" s="3">
        <f>SUM(OSRRefD21_18_2x)+IFERROR(SUM(OSRRefE21_18_2x),0)</f>
        <v>180027.19</v>
      </c>
    </row>
    <row r="127" spans="1:17" s="42" customFormat="1" ht="15" hidden="1" customHeight="1" outlineLevel="1" x14ac:dyDescent="0.3">
      <c r="A127" s="34"/>
      <c r="B127" s="11" t="str">
        <f>CONCATENATE("          ","6375"," - ","OUTSIDE REPAIRS &amp; MAINTENANCE")</f>
        <v xml:space="preserve">          6375 - OUTSIDE REPAIRS &amp; MAINTENANCE</v>
      </c>
      <c r="C127" s="15"/>
      <c r="D127" s="21">
        <v>8230.44</v>
      </c>
      <c r="E127" s="21">
        <v>21335.02</v>
      </c>
      <c r="F127" s="21">
        <v>5171.0600000000004</v>
      </c>
      <c r="G127" s="21">
        <v>13791.76</v>
      </c>
      <c r="H127" s="21">
        <v>3935.13</v>
      </c>
      <c r="I127" s="21">
        <v>10845.97</v>
      </c>
      <c r="J127" s="21">
        <v>11787.93</v>
      </c>
      <c r="K127" s="21">
        <v>10895.13</v>
      </c>
      <c r="L127" s="21">
        <v>14510.16</v>
      </c>
      <c r="M127" s="21">
        <v>15318.98</v>
      </c>
      <c r="N127" s="21">
        <v>3484</v>
      </c>
      <c r="O127" s="21">
        <v>2460</v>
      </c>
      <c r="P127" s="35"/>
      <c r="Q127" s="3">
        <f>SUM(OSRRefD21_18_3x)+IFERROR(SUM(OSRRefE21_18_3x),0)</f>
        <v>121765.58</v>
      </c>
    </row>
    <row r="128" spans="1:17" s="42" customFormat="1" ht="15" customHeight="1" collapsed="1" x14ac:dyDescent="0.3">
      <c r="A128" s="34"/>
      <c r="B128" s="15" t="str">
        <f>CONCATENATE("     ","Royalty &amp; Commissions                             ")</f>
        <v xml:space="preserve">     Royalty &amp; Commissions                             </v>
      </c>
      <c r="C128" s="15"/>
      <c r="D128" s="2">
        <f>SUM(OSRRefD21_19x_0)</f>
        <v>7355.1000000000013</v>
      </c>
      <c r="E128" s="2">
        <f>SUM(OSRRefD21_19x_1)</f>
        <v>601.89</v>
      </c>
      <c r="F128" s="2">
        <f>SUM(OSRRefD21_19x_2)</f>
        <v>1174.22</v>
      </c>
      <c r="G128" s="2">
        <f>SUM(OSRRefD21_19x_3)</f>
        <v>11775.939999999999</v>
      </c>
      <c r="H128" s="2">
        <f>SUM(OSRRefD21_19x_4)</f>
        <v>1150.99</v>
      </c>
      <c r="I128" s="2">
        <f>SUM(OSRRefD21_19x_5)</f>
        <v>1533.7</v>
      </c>
      <c r="J128" s="2">
        <f>SUM(OSRRefD21_19x_6)</f>
        <v>23704.5</v>
      </c>
      <c r="K128" s="2">
        <f>SUM(OSRRefD21_19x_7)</f>
        <v>6571.48</v>
      </c>
      <c r="L128" s="2">
        <f>SUM(OSRRefD21_19x_8)</f>
        <v>3085.8199999999997</v>
      </c>
      <c r="M128" s="2">
        <f>SUM(OSRRefD21_19x_9)</f>
        <v>35099.46</v>
      </c>
      <c r="N128" s="2">
        <f>SUM(OSRRefE21_19x_0)</f>
        <v>10895</v>
      </c>
      <c r="O128" s="2">
        <f>SUM(OSRRefE21_19x_1)</f>
        <v>10158</v>
      </c>
      <c r="Q128" s="3">
        <f>SUM(OSRRefD20_19x)+IFERROR(SUM(OSRRefE20_19x),0)</f>
        <v>113106.1</v>
      </c>
    </row>
    <row r="129" spans="1:17" s="42" customFormat="1" ht="15" hidden="1" customHeight="1" outlineLevel="1" x14ac:dyDescent="0.3">
      <c r="A129" s="34"/>
      <c r="B129" s="11" t="str">
        <f>CONCATENATE("          ","6252"," - ","ROYALTY DUE CSTV")</f>
        <v xml:space="preserve">          6252 - ROYALTY DUE CSTV</v>
      </c>
      <c r="C129" s="15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>
        <v>2156</v>
      </c>
      <c r="O129" s="21">
        <v>3322</v>
      </c>
      <c r="P129" s="35"/>
      <c r="Q129" s="3">
        <f>SUM(OSRRefD21_19_0x)+IFERROR(SUM(OSRRefE21_19_0x),0)</f>
        <v>5478</v>
      </c>
    </row>
    <row r="130" spans="1:17" s="42" customFormat="1" ht="15" hidden="1" customHeight="1" outlineLevel="1" x14ac:dyDescent="0.3">
      <c r="A130" s="34"/>
      <c r="B130" s="11" t="str">
        <f>CONCATENATE("          ","6253"," - ","ROYALTY DUE ATHLETICS-LRG")</f>
        <v xml:space="preserve">          6253 - ROYALTY DUE ATHLETICS-LRG</v>
      </c>
      <c r="C130" s="15"/>
      <c r="D130" s="21">
        <v>14376.54</v>
      </c>
      <c r="E130" s="21"/>
      <c r="F130" s="21"/>
      <c r="G130" s="21">
        <v>8783.75</v>
      </c>
      <c r="H130" s="21"/>
      <c r="I130" s="21"/>
      <c r="J130" s="21">
        <v>16060.87</v>
      </c>
      <c r="K130" s="21"/>
      <c r="L130" s="21"/>
      <c r="M130" s="21">
        <v>15944.33</v>
      </c>
      <c r="N130" s="21">
        <v>0</v>
      </c>
      <c r="O130" s="21">
        <v>0</v>
      </c>
      <c r="P130" s="35"/>
      <c r="Q130" s="3">
        <f>SUM(OSRRefD21_19_1x)+IFERROR(SUM(OSRRefE21_19_1x),0)</f>
        <v>55165.490000000005</v>
      </c>
    </row>
    <row r="131" spans="1:17" s="42" customFormat="1" ht="15" hidden="1" customHeight="1" outlineLevel="1" x14ac:dyDescent="0.3">
      <c r="A131" s="34"/>
      <c r="B131" s="11" t="str">
        <f>CONCATENATE("          ","6254"," - ","ROYALTY &amp; COMMISSIONS")</f>
        <v xml:space="preserve">          6254 - ROYALTY &amp; COMMISSIONS</v>
      </c>
      <c r="C131" s="15"/>
      <c r="D131" s="21">
        <v>-7027.5</v>
      </c>
      <c r="E131" s="21"/>
      <c r="F131" s="21"/>
      <c r="G131" s="21">
        <v>1066.22</v>
      </c>
      <c r="H131" s="21">
        <v>366.22</v>
      </c>
      <c r="I131" s="21">
        <v>412.47</v>
      </c>
      <c r="J131" s="21">
        <v>7389.19</v>
      </c>
      <c r="K131" s="21">
        <v>4936.58</v>
      </c>
      <c r="L131" s="21">
        <v>583.67999999999995</v>
      </c>
      <c r="M131" s="21">
        <v>17110.099999999999</v>
      </c>
      <c r="N131" s="21">
        <v>1000</v>
      </c>
      <c r="O131" s="21">
        <v>0</v>
      </c>
      <c r="P131" s="35"/>
      <c r="Q131" s="3">
        <f>SUM(OSRRefD21_19_2x)+IFERROR(SUM(OSRRefE21_19_2x),0)</f>
        <v>25836.959999999999</v>
      </c>
    </row>
    <row r="132" spans="1:17" s="42" customFormat="1" ht="15" hidden="1" customHeight="1" outlineLevel="1" x14ac:dyDescent="0.3">
      <c r="A132" s="34"/>
      <c r="B132" s="11" t="str">
        <f>CONCATENATE("          ","6259"," - ","ROYALTY &amp; COMMISSIONS")</f>
        <v xml:space="preserve">          6259 - ROYALTY &amp; COMMISSIONS</v>
      </c>
      <c r="C132" s="15"/>
      <c r="D132" s="21">
        <v>6.06</v>
      </c>
      <c r="E132" s="21">
        <v>601.89</v>
      </c>
      <c r="F132" s="21">
        <v>1174.22</v>
      </c>
      <c r="G132" s="21">
        <v>1925.97</v>
      </c>
      <c r="H132" s="21">
        <v>784.77</v>
      </c>
      <c r="I132" s="21">
        <v>1121.23</v>
      </c>
      <c r="J132" s="21">
        <v>254.44</v>
      </c>
      <c r="K132" s="21">
        <v>1634.9</v>
      </c>
      <c r="L132" s="21">
        <v>2502.14</v>
      </c>
      <c r="M132" s="21">
        <v>2045.03</v>
      </c>
      <c r="N132" s="21">
        <v>7739</v>
      </c>
      <c r="O132" s="21">
        <v>6836</v>
      </c>
      <c r="P132" s="35"/>
      <c r="Q132" s="3">
        <f>SUM(OSRRefD21_19_3x)+IFERROR(SUM(OSRRefE21_19_3x),0)</f>
        <v>26625.65</v>
      </c>
    </row>
    <row r="133" spans="1:17" s="42" customFormat="1" ht="15" customHeight="1" collapsed="1" x14ac:dyDescent="0.3">
      <c r="A133" s="34"/>
      <c r="B133" s="15" t="str">
        <f>CONCATENATE("     ","Services                                          ")</f>
        <v xml:space="preserve">     Services                                          </v>
      </c>
      <c r="C133" s="15"/>
      <c r="D133" s="2">
        <f>SUM(OSRRefD21_20x_0)</f>
        <v>21826.320000000003</v>
      </c>
      <c r="E133" s="2">
        <f>SUM(OSRRefD21_20x_1)</f>
        <v>50552.71</v>
      </c>
      <c r="F133" s="2">
        <f>SUM(OSRRefD21_20x_2)</f>
        <v>26170.71</v>
      </c>
      <c r="G133" s="2">
        <f>SUM(OSRRefD21_20x_3)</f>
        <v>34896.58</v>
      </c>
      <c r="H133" s="2">
        <f>SUM(OSRRefD21_20x_4)</f>
        <v>28531.78</v>
      </c>
      <c r="I133" s="2">
        <f>SUM(OSRRefD21_20x_5)</f>
        <v>22796.309999999998</v>
      </c>
      <c r="J133" s="2">
        <f>SUM(OSRRefD21_20x_6)</f>
        <v>26700.649999999998</v>
      </c>
      <c r="K133" s="2">
        <f>SUM(OSRRefD21_20x_7)</f>
        <v>35891.299999999996</v>
      </c>
      <c r="L133" s="2">
        <f>SUM(OSRRefD21_20x_8)</f>
        <v>32330.14</v>
      </c>
      <c r="M133" s="2">
        <f>SUM(OSRRefD21_20x_9)</f>
        <v>33001.03</v>
      </c>
      <c r="N133" s="2">
        <f>SUM(OSRRefE21_20x_0)</f>
        <v>37453</v>
      </c>
      <c r="O133" s="2">
        <f>SUM(OSRRefE21_20x_1)</f>
        <v>37596</v>
      </c>
      <c r="Q133" s="3">
        <f>SUM(OSRRefD20_20x)+IFERROR(SUM(OSRRefE20_20x),0)</f>
        <v>387746.53</v>
      </c>
    </row>
    <row r="134" spans="1:17" s="42" customFormat="1" ht="15" hidden="1" customHeight="1" outlineLevel="1" x14ac:dyDescent="0.3">
      <c r="A134" s="34"/>
      <c r="B134" s="11" t="str">
        <f>CONCATENATE("          ","6282"," - ","JANITORIAL/EXTERMINATOR EXPENS")</f>
        <v xml:space="preserve">          6282 - JANITORIAL/EXTERMINATOR EXPENS</v>
      </c>
      <c r="C134" s="15"/>
      <c r="D134" s="21">
        <v>2330.4499999999998</v>
      </c>
      <c r="E134" s="21">
        <v>2054.2399999999998</v>
      </c>
      <c r="F134" s="21">
        <v>4362.9399999999996</v>
      </c>
      <c r="G134" s="21">
        <v>6099.35</v>
      </c>
      <c r="H134" s="21">
        <v>3176.63</v>
      </c>
      <c r="I134" s="21">
        <v>2456.15</v>
      </c>
      <c r="J134" s="21">
        <v>1805.15</v>
      </c>
      <c r="K134" s="21">
        <v>4256.1000000000004</v>
      </c>
      <c r="L134" s="21">
        <v>4733.6000000000004</v>
      </c>
      <c r="M134" s="21">
        <v>3313.8</v>
      </c>
      <c r="N134" s="21">
        <v>7256</v>
      </c>
      <c r="O134" s="21">
        <v>7256</v>
      </c>
      <c r="P134" s="35"/>
      <c r="Q134" s="3">
        <f>SUM(OSRRefD21_20_0x)+IFERROR(SUM(OSRRefE21_20_0x),0)</f>
        <v>49100.41</v>
      </c>
    </row>
    <row r="135" spans="1:17" s="42" customFormat="1" ht="15" hidden="1" customHeight="1" outlineLevel="1" x14ac:dyDescent="0.3">
      <c r="A135" s="34"/>
      <c r="B135" s="11" t="str">
        <f>CONCATENATE("          ","6283"," - ","PLANT SERVICE")</f>
        <v xml:space="preserve">          6283 - PLANT SERVICE</v>
      </c>
      <c r="C135" s="15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>
        <v>100</v>
      </c>
      <c r="O135" s="21">
        <v>100</v>
      </c>
      <c r="P135" s="35"/>
      <c r="Q135" s="3">
        <f>SUM(OSRRefD21_20_1x)+IFERROR(SUM(OSRRefE21_20_1x),0)</f>
        <v>200</v>
      </c>
    </row>
    <row r="136" spans="1:17" s="42" customFormat="1" ht="15" hidden="1" customHeight="1" outlineLevel="1" x14ac:dyDescent="0.3">
      <c r="A136" s="34"/>
      <c r="B136" s="11" t="str">
        <f>CONCATENATE("          ","6284"," - ","TRASH REMOVAL EXPENSE")</f>
        <v xml:space="preserve">          6284 - TRASH REMOVAL EXPENSE</v>
      </c>
      <c r="C136" s="15"/>
      <c r="D136" s="21">
        <v>142.57</v>
      </c>
      <c r="E136" s="21">
        <v>149.69999999999999</v>
      </c>
      <c r="F136" s="21">
        <v>149.69999999999999</v>
      </c>
      <c r="G136" s="21">
        <v>149.69999999999999</v>
      </c>
      <c r="H136" s="21">
        <v>149.69999999999999</v>
      </c>
      <c r="I136" s="21">
        <v>149.69999999999999</v>
      </c>
      <c r="J136" s="21">
        <v>149.69999999999999</v>
      </c>
      <c r="K136" s="21">
        <v>149.69999999999999</v>
      </c>
      <c r="L136" s="21">
        <v>149.69999999999999</v>
      </c>
      <c r="M136" s="21"/>
      <c r="N136" s="21">
        <v>1660</v>
      </c>
      <c r="O136" s="21">
        <v>1720</v>
      </c>
      <c r="P136" s="35"/>
      <c r="Q136" s="3">
        <f>SUM(OSRRefD21_20_2x)+IFERROR(SUM(OSRRefE21_20_2x),0)</f>
        <v>4720.17</v>
      </c>
    </row>
    <row r="137" spans="1:17" s="42" customFormat="1" ht="15" hidden="1" customHeight="1" outlineLevel="1" x14ac:dyDescent="0.3">
      <c r="A137" s="34"/>
      <c r="B137" s="11" t="str">
        <f>CONCATENATE("          ","6285"," - ","JANITORIAL SERVICES")</f>
        <v xml:space="preserve">          6285 - JANITORIAL SERVICES</v>
      </c>
      <c r="C137" s="15"/>
      <c r="D137" s="21">
        <v>18270.330000000002</v>
      </c>
      <c r="E137" s="21">
        <v>45794.2</v>
      </c>
      <c r="F137" s="21">
        <v>20228.560000000001</v>
      </c>
      <c r="G137" s="21">
        <v>21211.46</v>
      </c>
      <c r="H137" s="21">
        <v>22379.7</v>
      </c>
      <c r="I137" s="21">
        <v>18038.61</v>
      </c>
      <c r="J137" s="21">
        <v>21653.82</v>
      </c>
      <c r="K137" s="21">
        <v>28235.23</v>
      </c>
      <c r="L137" s="21">
        <v>22575.33</v>
      </c>
      <c r="M137" s="21">
        <v>22954</v>
      </c>
      <c r="N137" s="21">
        <v>23083</v>
      </c>
      <c r="O137" s="21">
        <v>23083</v>
      </c>
      <c r="P137" s="35"/>
      <c r="Q137" s="3">
        <f>SUM(OSRRefD21_20_3x)+IFERROR(SUM(OSRRefE21_20_3x),0)</f>
        <v>287507.24</v>
      </c>
    </row>
    <row r="138" spans="1:17" s="42" customFormat="1" ht="15" hidden="1" customHeight="1" outlineLevel="1" x14ac:dyDescent="0.3">
      <c r="A138" s="34"/>
      <c r="B138" s="11" t="str">
        <f>CONCATENATE("          ","6286"," - ","LAUNDRY EXPENSE")</f>
        <v xml:space="preserve">          6286 - LAUNDRY EXPENSE</v>
      </c>
      <c r="C138" s="15"/>
      <c r="D138" s="21">
        <v>1082.97</v>
      </c>
      <c r="E138" s="21">
        <v>2554.5700000000002</v>
      </c>
      <c r="F138" s="21">
        <v>1429.51</v>
      </c>
      <c r="G138" s="21">
        <v>7436.07</v>
      </c>
      <c r="H138" s="21">
        <v>2825.75</v>
      </c>
      <c r="I138" s="21">
        <v>2151.85</v>
      </c>
      <c r="J138" s="21">
        <v>3091.98</v>
      </c>
      <c r="K138" s="21">
        <v>3250.27</v>
      </c>
      <c r="L138" s="21">
        <v>4871.51</v>
      </c>
      <c r="M138" s="21">
        <v>6733.23</v>
      </c>
      <c r="N138" s="21">
        <v>5354</v>
      </c>
      <c r="O138" s="21">
        <v>5437</v>
      </c>
      <c r="P138" s="35"/>
      <c r="Q138" s="3">
        <f>SUM(OSRRefD21_20_4x)+IFERROR(SUM(OSRRefE21_20_4x),0)</f>
        <v>46218.709999999992</v>
      </c>
    </row>
    <row r="139" spans="1:17" s="42" customFormat="1" ht="15" customHeight="1" collapsed="1" x14ac:dyDescent="0.3">
      <c r="A139" s="34"/>
      <c r="B139" s="15" t="str">
        <f>CONCATENATE("     ","Subscriptions &amp; Dues                              ")</f>
        <v xml:space="preserve">     Subscriptions &amp; Dues                              </v>
      </c>
      <c r="C139" s="15"/>
      <c r="D139" s="2">
        <f>SUM(OSRRefD21_21x_0)</f>
        <v>198.98999999999998</v>
      </c>
      <c r="E139" s="2">
        <f>SUM(OSRRefD21_21x_1)</f>
        <v>650.59</v>
      </c>
      <c r="F139" s="2">
        <f>SUM(OSRRefD21_21x_2)</f>
        <v>336.37</v>
      </c>
      <c r="G139" s="2">
        <f>SUM(OSRRefD21_21x_3)</f>
        <v>1717.8899999999999</v>
      </c>
      <c r="H139" s="2">
        <f>SUM(OSRRefD21_21x_4)</f>
        <v>718.16</v>
      </c>
      <c r="I139" s="2">
        <f>SUM(OSRRefD21_21x_5)</f>
        <v>1742.35</v>
      </c>
      <c r="J139" s="2">
        <f>SUM(OSRRefD21_21x_6)</f>
        <v>862.49</v>
      </c>
      <c r="K139" s="2">
        <f>SUM(OSRRefD21_21x_7)</f>
        <v>799.24</v>
      </c>
      <c r="L139" s="2">
        <f>SUM(OSRRefD21_21x_8)</f>
        <v>1298.4699999999998</v>
      </c>
      <c r="M139" s="2">
        <f>SUM(OSRRefD21_21x_9)</f>
        <v>2978.79</v>
      </c>
      <c r="N139" s="2">
        <f>SUM(OSRRefE21_21x_0)</f>
        <v>1176</v>
      </c>
      <c r="O139" s="2">
        <f>SUM(OSRRefE21_21x_1)</f>
        <v>1356</v>
      </c>
      <c r="Q139" s="3">
        <f>SUM(OSRRefD20_21x)+IFERROR(SUM(OSRRefE20_21x),0)</f>
        <v>13835.34</v>
      </c>
    </row>
    <row r="140" spans="1:17" s="42" customFormat="1" ht="15" hidden="1" customHeight="1" outlineLevel="1" x14ac:dyDescent="0.3">
      <c r="A140" s="34"/>
      <c r="B140" s="11" t="str">
        <f>CONCATENATE("          ","6258"," - ","MEMBERSHIP DUES")</f>
        <v xml:space="preserve">          6258 - MEMBERSHIP DUES</v>
      </c>
      <c r="C140" s="15"/>
      <c r="D140" s="21">
        <v>68.319999999999993</v>
      </c>
      <c r="E140" s="21">
        <v>57</v>
      </c>
      <c r="F140" s="21">
        <v>-72.56</v>
      </c>
      <c r="G140" s="21">
        <v>904.08</v>
      </c>
      <c r="H140" s="21">
        <v>148.66</v>
      </c>
      <c r="I140" s="21">
        <v>286.24</v>
      </c>
      <c r="J140" s="21">
        <v>301.99</v>
      </c>
      <c r="K140" s="21">
        <v>176.99</v>
      </c>
      <c r="L140" s="21">
        <v>606.92999999999995</v>
      </c>
      <c r="M140" s="21">
        <v>510.65</v>
      </c>
      <c r="N140" s="21">
        <v>385</v>
      </c>
      <c r="O140" s="21">
        <v>585</v>
      </c>
      <c r="P140" s="35"/>
      <c r="Q140" s="3">
        <f>SUM(OSRRefD21_21_0x)+IFERROR(SUM(OSRRefE21_21_0x),0)</f>
        <v>3958.3</v>
      </c>
    </row>
    <row r="141" spans="1:17" s="42" customFormat="1" ht="15" hidden="1" customHeight="1" outlineLevel="1" x14ac:dyDescent="0.3">
      <c r="A141" s="34"/>
      <c r="B141" s="11" t="str">
        <f>CONCATENATE("          ","6275"," - ","SUBSCRIPTIONS")</f>
        <v xml:space="preserve">          6275 - SUBSCRIPTIONS</v>
      </c>
      <c r="C141" s="15"/>
      <c r="D141" s="21">
        <v>130.66999999999999</v>
      </c>
      <c r="E141" s="21">
        <v>593.59</v>
      </c>
      <c r="F141" s="21">
        <v>408.93</v>
      </c>
      <c r="G141" s="21">
        <v>813.81</v>
      </c>
      <c r="H141" s="21">
        <v>569.5</v>
      </c>
      <c r="I141" s="21">
        <v>1456.11</v>
      </c>
      <c r="J141" s="21">
        <v>560.5</v>
      </c>
      <c r="K141" s="21">
        <v>622.25</v>
      </c>
      <c r="L141" s="21">
        <v>691.54</v>
      </c>
      <c r="M141" s="21">
        <v>2468.14</v>
      </c>
      <c r="N141" s="21">
        <v>791</v>
      </c>
      <c r="O141" s="21">
        <v>771</v>
      </c>
      <c r="P141" s="35"/>
      <c r="Q141" s="3">
        <f>SUM(OSRRefD21_21_1x)+IFERROR(SUM(OSRRefE21_21_1x),0)</f>
        <v>9877.0399999999991</v>
      </c>
    </row>
    <row r="142" spans="1:17" s="42" customFormat="1" ht="15" customHeight="1" collapsed="1" x14ac:dyDescent="0.3">
      <c r="A142" s="34"/>
      <c r="B142" s="15" t="str">
        <f>CONCATENATE("     ","Supplies                                          ")</f>
        <v xml:space="preserve">     Supplies                                          </v>
      </c>
      <c r="C142" s="15"/>
      <c r="D142" s="2">
        <f>SUM(OSRRefD21_22x_0)</f>
        <v>16538.2</v>
      </c>
      <c r="E142" s="2">
        <f>SUM(OSRRefD21_22x_1)</f>
        <v>44678.270000000004</v>
      </c>
      <c r="F142" s="2">
        <f>SUM(OSRRefD21_22x_2)</f>
        <v>57008.959999999999</v>
      </c>
      <c r="G142" s="2">
        <f>SUM(OSRRefD21_22x_3)</f>
        <v>117629.37999999998</v>
      </c>
      <c r="H142" s="2">
        <f>SUM(OSRRefD21_22x_4)</f>
        <v>28990.579999999998</v>
      </c>
      <c r="I142" s="2">
        <f>SUM(OSRRefD21_22x_5)</f>
        <v>37255.919999999998</v>
      </c>
      <c r="J142" s="2">
        <f>SUM(OSRRefD21_22x_6)</f>
        <v>18272.350000000002</v>
      </c>
      <c r="K142" s="2">
        <f>SUM(OSRRefD21_22x_7)</f>
        <v>54570.229999999996</v>
      </c>
      <c r="L142" s="2">
        <f>SUM(OSRRefD21_22x_8)</f>
        <v>47472.570000000007</v>
      </c>
      <c r="M142" s="2">
        <f>SUM(OSRRefD21_22x_9)</f>
        <v>58390.84</v>
      </c>
      <c r="N142" s="2">
        <f>SUM(OSRRefE21_22x_0)</f>
        <v>50205</v>
      </c>
      <c r="O142" s="2">
        <f>SUM(OSRRefE21_22x_1)</f>
        <v>40480</v>
      </c>
      <c r="Q142" s="3">
        <f>SUM(OSRRefD20_22x)+IFERROR(SUM(OSRRefE20_22x),0)</f>
        <v>571492.29999999993</v>
      </c>
    </row>
    <row r="143" spans="1:17" s="42" customFormat="1" ht="15" hidden="1" customHeight="1" outlineLevel="1" x14ac:dyDescent="0.3">
      <c r="A143" s="34"/>
      <c r="B143" s="11" t="str">
        <f>CONCATENATE("          ","6234"," - ","EXPENDABLE SUPPLIES &amp; EQUIPMEN")</f>
        <v xml:space="preserve">          6234 - EXPENDABLE SUPPLIES &amp; EQUIPMEN</v>
      </c>
      <c r="C143" s="15"/>
      <c r="D143" s="21"/>
      <c r="E143" s="21"/>
      <c r="F143" s="21">
        <v>21.98</v>
      </c>
      <c r="G143" s="21">
        <v>3737.3</v>
      </c>
      <c r="H143" s="21">
        <v>2747.16</v>
      </c>
      <c r="I143" s="21">
        <v>315</v>
      </c>
      <c r="J143" s="21">
        <v>57.77</v>
      </c>
      <c r="K143" s="21"/>
      <c r="L143" s="21">
        <v>108.73</v>
      </c>
      <c r="M143" s="21">
        <v>5168.6499999999996</v>
      </c>
      <c r="N143" s="21">
        <v>6492</v>
      </c>
      <c r="O143" s="21">
        <v>6488</v>
      </c>
      <c r="P143" s="35"/>
      <c r="Q143" s="3">
        <f>SUM(OSRRefD21_22_0x)+IFERROR(SUM(OSRRefE21_22_0x),0)</f>
        <v>25136.59</v>
      </c>
    </row>
    <row r="144" spans="1:17" s="42" customFormat="1" ht="15" hidden="1" customHeight="1" outlineLevel="1" x14ac:dyDescent="0.3">
      <c r="A144" s="34"/>
      <c r="B144" s="11" t="str">
        <f>CONCATENATE("          ","6235"," - ","COVID-19 EXPENSES")</f>
        <v xml:space="preserve">          6235 - COVID-19 EXPENSES</v>
      </c>
      <c r="C144" s="15"/>
      <c r="D144" s="21">
        <v>272.22000000000003</v>
      </c>
      <c r="E144" s="21">
        <v>2695.61</v>
      </c>
      <c r="F144" s="21">
        <v>655.99</v>
      </c>
      <c r="G144" s="21"/>
      <c r="H144" s="21"/>
      <c r="I144" s="21"/>
      <c r="J144" s="21">
        <v>318.42</v>
      </c>
      <c r="K144" s="21">
        <v>158.76</v>
      </c>
      <c r="L144" s="21">
        <v>178.61</v>
      </c>
      <c r="M144" s="21"/>
      <c r="N144" s="21">
        <v>375</v>
      </c>
      <c r="O144" s="21">
        <v>350</v>
      </c>
      <c r="P144" s="35"/>
      <c r="Q144" s="3">
        <f>SUM(OSRRefD21_22_1x)+IFERROR(SUM(OSRRefE21_22_1x),0)</f>
        <v>5004.6099999999997</v>
      </c>
    </row>
    <row r="145" spans="1:17" s="42" customFormat="1" ht="15" hidden="1" customHeight="1" outlineLevel="1" x14ac:dyDescent="0.3">
      <c r="A145" s="34"/>
      <c r="B145" s="11" t="str">
        <f>CONCATENATE("          ","6237"," - ","JANITORIAL SUPPLIES")</f>
        <v xml:space="preserve">          6237 - JANITORIAL SUPPLIES</v>
      </c>
      <c r="C145" s="15"/>
      <c r="D145" s="21">
        <v>5360.09</v>
      </c>
      <c r="E145" s="21">
        <v>5053.05</v>
      </c>
      <c r="F145" s="21">
        <v>13865.8</v>
      </c>
      <c r="G145" s="21">
        <v>7075.92</v>
      </c>
      <c r="H145" s="21">
        <v>5132.4399999999996</v>
      </c>
      <c r="I145" s="21">
        <v>5627.79</v>
      </c>
      <c r="J145" s="21">
        <v>2955.06</v>
      </c>
      <c r="K145" s="21">
        <v>9698.02</v>
      </c>
      <c r="L145" s="21">
        <v>6730.1</v>
      </c>
      <c r="M145" s="21">
        <v>25364.52</v>
      </c>
      <c r="N145" s="21">
        <v>10025</v>
      </c>
      <c r="O145" s="21">
        <v>7935</v>
      </c>
      <c r="P145" s="35"/>
      <c r="Q145" s="3">
        <f>SUM(OSRRefD21_22_2x)+IFERROR(SUM(OSRRefE21_22_2x),0)</f>
        <v>104822.79</v>
      </c>
    </row>
    <row r="146" spans="1:17" s="42" customFormat="1" ht="15" hidden="1" customHeight="1" outlineLevel="1" x14ac:dyDescent="0.3">
      <c r="A146" s="34"/>
      <c r="B146" s="11" t="str">
        <f>CONCATENATE("          ","6239"," - ","KITCHEN SUPPLIES")</f>
        <v xml:space="preserve">          6239 - KITCHEN SUPPLIES</v>
      </c>
      <c r="C146" s="15"/>
      <c r="D146" s="21">
        <v>32.03</v>
      </c>
      <c r="E146" s="21">
        <v>3069.8</v>
      </c>
      <c r="F146" s="21">
        <v>11018.05</v>
      </c>
      <c r="G146" s="21">
        <v>10993.74</v>
      </c>
      <c r="H146" s="21">
        <v>1163.5</v>
      </c>
      <c r="I146" s="21">
        <v>738.59</v>
      </c>
      <c r="J146" s="21">
        <v>1944.52</v>
      </c>
      <c r="K146" s="21">
        <v>3639.07</v>
      </c>
      <c r="L146" s="21">
        <v>3919.57</v>
      </c>
      <c r="M146" s="21">
        <v>8107.13</v>
      </c>
      <c r="N146" s="21">
        <v>3300</v>
      </c>
      <c r="O146" s="21">
        <v>3300</v>
      </c>
      <c r="P146" s="35"/>
      <c r="Q146" s="3">
        <f>SUM(OSRRefD21_22_3x)+IFERROR(SUM(OSRRefE21_22_3x),0)</f>
        <v>51226</v>
      </c>
    </row>
    <row r="147" spans="1:17" s="42" customFormat="1" ht="15" hidden="1" customHeight="1" outlineLevel="1" x14ac:dyDescent="0.3">
      <c r="A147" s="34"/>
      <c r="B147" s="11" t="str">
        <f>CONCATENATE("          ","6241"," - ","OFFICE EXPENSE")</f>
        <v xml:space="preserve">          6241 - OFFICE EXPENSE</v>
      </c>
      <c r="C147" s="15"/>
      <c r="D147" s="21">
        <v>1860.65</v>
      </c>
      <c r="E147" s="21">
        <v>11881.58</v>
      </c>
      <c r="F147" s="21">
        <v>2951.74</v>
      </c>
      <c r="G147" s="21">
        <v>22884.22</v>
      </c>
      <c r="H147" s="21">
        <v>1621.89</v>
      </c>
      <c r="I147" s="21">
        <v>3619.51</v>
      </c>
      <c r="J147" s="21">
        <v>3943.75</v>
      </c>
      <c r="K147" s="21">
        <v>7961.45</v>
      </c>
      <c r="L147" s="21">
        <v>12979.06</v>
      </c>
      <c r="M147" s="21">
        <v>3964.42</v>
      </c>
      <c r="N147" s="21">
        <v>2075</v>
      </c>
      <c r="O147" s="21">
        <v>1975</v>
      </c>
      <c r="P147" s="35"/>
      <c r="Q147" s="3">
        <f>SUM(OSRRefD21_22_4x)+IFERROR(SUM(OSRRefE21_22_4x),0)</f>
        <v>77718.27</v>
      </c>
    </row>
    <row r="148" spans="1:17" s="42" customFormat="1" ht="15" hidden="1" customHeight="1" outlineLevel="1" x14ac:dyDescent="0.3">
      <c r="A148" s="34"/>
      <c r="B148" s="11" t="str">
        <f>CONCATENATE("          ","6243"," - ","PAPER SUPPLIES")</f>
        <v xml:space="preserve">          6243 - PAPER SUPPLIES</v>
      </c>
      <c r="C148" s="15"/>
      <c r="D148" s="21">
        <v>2877.69</v>
      </c>
      <c r="E148" s="21">
        <v>16472.22</v>
      </c>
      <c r="F148" s="21">
        <v>23477.5</v>
      </c>
      <c r="G148" s="21">
        <v>58972.06</v>
      </c>
      <c r="H148" s="21">
        <v>14963.48</v>
      </c>
      <c r="I148" s="21">
        <v>21319.1</v>
      </c>
      <c r="J148" s="21">
        <v>5706.29</v>
      </c>
      <c r="K148" s="21">
        <v>15191.45</v>
      </c>
      <c r="L148" s="21">
        <v>13329.54</v>
      </c>
      <c r="M148" s="21">
        <v>14135.35</v>
      </c>
      <c r="N148" s="21">
        <v>16900</v>
      </c>
      <c r="O148" s="21">
        <v>13250</v>
      </c>
      <c r="P148" s="35"/>
      <c r="Q148" s="3">
        <f>SUM(OSRRefD21_22_5x)+IFERROR(SUM(OSRRefE21_22_5x),0)</f>
        <v>216594.68000000002</v>
      </c>
    </row>
    <row r="149" spans="1:17" s="42" customFormat="1" ht="15" hidden="1" customHeight="1" outlineLevel="1" x14ac:dyDescent="0.3">
      <c r="A149" s="34"/>
      <c r="B149" s="11" t="str">
        <f>CONCATENATE("          ","6244"," - ","SAFETY SUPPLY EXPENSE")</f>
        <v xml:space="preserve">          6244 - SAFETY SUPPLY EXPENSE</v>
      </c>
      <c r="C149" s="15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>
        <v>525</v>
      </c>
      <c r="O149" s="21">
        <v>525</v>
      </c>
      <c r="P149" s="35"/>
      <c r="Q149" s="3">
        <f>SUM(OSRRefD21_22_6x)+IFERROR(SUM(OSRRefE21_22_6x),0)</f>
        <v>1050</v>
      </c>
    </row>
    <row r="150" spans="1:17" s="42" customFormat="1" ht="15" hidden="1" customHeight="1" outlineLevel="1" x14ac:dyDescent="0.3">
      <c r="A150" s="34"/>
      <c r="B150" s="11" t="str">
        <f>CONCATENATE("          ","6245"," - ","PRINTING")</f>
        <v xml:space="preserve">          6245 - PRINTING</v>
      </c>
      <c r="C150" s="15"/>
      <c r="D150" s="21">
        <v>251.64</v>
      </c>
      <c r="E150" s="21">
        <v>-851.82</v>
      </c>
      <c r="F150" s="21">
        <v>276.43</v>
      </c>
      <c r="G150" s="21">
        <v>1367.68</v>
      </c>
      <c r="H150" s="21">
        <v>1092.56</v>
      </c>
      <c r="I150" s="21">
        <v>1046.49</v>
      </c>
      <c r="J150" s="21">
        <v>689.76</v>
      </c>
      <c r="K150" s="21">
        <v>502.78</v>
      </c>
      <c r="L150" s="21">
        <v>3682</v>
      </c>
      <c r="M150" s="21">
        <v>-45.84</v>
      </c>
      <c r="N150" s="21">
        <v>2400</v>
      </c>
      <c r="O150" s="21">
        <v>150</v>
      </c>
      <c r="P150" s="35"/>
      <c r="Q150" s="3">
        <f>SUM(OSRRefD21_22_7x)+IFERROR(SUM(OSRRefE21_22_7x),0)</f>
        <v>10561.68</v>
      </c>
    </row>
    <row r="151" spans="1:17" s="42" customFormat="1" ht="15" hidden="1" customHeight="1" outlineLevel="1" x14ac:dyDescent="0.3">
      <c r="A151" s="34"/>
      <c r="B151" s="11" t="str">
        <f>CONCATENATE("          ","6247"," - ","STORE SUPPLIES")</f>
        <v xml:space="preserve">          6247 - STORE SUPPLIES</v>
      </c>
      <c r="C151" s="15"/>
      <c r="D151" s="21">
        <v>5883.88</v>
      </c>
      <c r="E151" s="21">
        <v>6357.83</v>
      </c>
      <c r="F151" s="21">
        <v>4741.47</v>
      </c>
      <c r="G151" s="21">
        <v>6987.23</v>
      </c>
      <c r="H151" s="21">
        <v>2016.6</v>
      </c>
      <c r="I151" s="21">
        <v>4589.4399999999996</v>
      </c>
      <c r="J151" s="21">
        <v>2307.48</v>
      </c>
      <c r="K151" s="21">
        <v>15896.45</v>
      </c>
      <c r="L151" s="21">
        <v>4947.3</v>
      </c>
      <c r="M151" s="21">
        <v>1498.16</v>
      </c>
      <c r="N151" s="21">
        <v>7525</v>
      </c>
      <c r="O151" s="21">
        <v>5925</v>
      </c>
      <c r="P151" s="35"/>
      <c r="Q151" s="3">
        <f>SUM(OSRRefD21_22_8x)+IFERROR(SUM(OSRRefE21_22_8x),0)</f>
        <v>68675.840000000011</v>
      </c>
    </row>
    <row r="152" spans="1:17" s="42" customFormat="1" ht="15" hidden="1" customHeight="1" outlineLevel="1" x14ac:dyDescent="0.3">
      <c r="A152" s="34"/>
      <c r="B152" s="11" t="str">
        <f>CONCATENATE("          ","6248"," - ","UNIFORMS")</f>
        <v xml:space="preserve">          6248 - UNIFORMS</v>
      </c>
      <c r="C152" s="15"/>
      <c r="D152" s="21"/>
      <c r="E152" s="21"/>
      <c r="F152" s="21"/>
      <c r="G152" s="21">
        <v>5611.23</v>
      </c>
      <c r="H152" s="21">
        <v>252.95</v>
      </c>
      <c r="I152" s="21"/>
      <c r="J152" s="21">
        <v>349.3</v>
      </c>
      <c r="K152" s="21">
        <v>1522.25</v>
      </c>
      <c r="L152" s="21">
        <v>1597.66</v>
      </c>
      <c r="M152" s="21">
        <v>198.45</v>
      </c>
      <c r="N152" s="21">
        <v>588</v>
      </c>
      <c r="O152" s="21">
        <v>582</v>
      </c>
      <c r="P152" s="35"/>
      <c r="Q152" s="3">
        <f>SUM(OSRRefD21_22_9x)+IFERROR(SUM(OSRRefE21_22_9x),0)</f>
        <v>10701.84</v>
      </c>
    </row>
    <row r="153" spans="1:17" s="42" customFormat="1" ht="15" customHeight="1" collapsed="1" x14ac:dyDescent="0.3">
      <c r="A153" s="34"/>
      <c r="B153" s="15" t="str">
        <f>CONCATENATE("     ","Telephone/Data Lines                              ")</f>
        <v xml:space="preserve">     Telephone/Data Lines                              </v>
      </c>
      <c r="C153" s="15"/>
      <c r="D153" s="2">
        <f>SUM(OSRRefD21_23x_0)</f>
        <v>2742.84</v>
      </c>
      <c r="E153" s="2">
        <f>SUM(OSRRefD21_23x_1)</f>
        <v>3874.49</v>
      </c>
      <c r="F153" s="2">
        <f>SUM(OSRRefD21_23x_2)</f>
        <v>3604.77</v>
      </c>
      <c r="G153" s="2">
        <f>SUM(OSRRefD21_23x_3)</f>
        <v>4785.75</v>
      </c>
      <c r="H153" s="2">
        <f>SUM(OSRRefD21_23x_4)</f>
        <v>3576.09</v>
      </c>
      <c r="I153" s="2">
        <f>SUM(OSRRefD21_23x_5)</f>
        <v>2527.56</v>
      </c>
      <c r="J153" s="2">
        <f>SUM(OSRRefD21_23x_6)</f>
        <v>3891.13</v>
      </c>
      <c r="K153" s="2">
        <f>SUM(OSRRefD21_23x_7)</f>
        <v>3525.37</v>
      </c>
      <c r="L153" s="2">
        <f>SUM(OSRRefD21_23x_8)</f>
        <v>3557.8</v>
      </c>
      <c r="M153" s="2">
        <f>SUM(OSRRefD21_23x_9)</f>
        <v>4995.8500000000004</v>
      </c>
      <c r="N153" s="2">
        <f>SUM(OSRRefE21_23x_0)</f>
        <v>3699</v>
      </c>
      <c r="O153" s="2">
        <f>SUM(OSRRefE21_23x_1)</f>
        <v>3553</v>
      </c>
      <c r="Q153" s="3">
        <f>SUM(OSRRefD20_23x)+IFERROR(SUM(OSRRefE20_23x),0)</f>
        <v>44333.65</v>
      </c>
    </row>
    <row r="154" spans="1:17" s="42" customFormat="1" ht="15" hidden="1" customHeight="1" outlineLevel="1" x14ac:dyDescent="0.3">
      <c r="A154" s="34"/>
      <c r="B154" s="11" t="str">
        <f>CONCATENATE("          ","6303"," - ","DATA PHONE LINES")</f>
        <v xml:space="preserve">          6303 - DATA PHONE LINES</v>
      </c>
      <c r="C154" s="15"/>
      <c r="D154" s="21">
        <v>295</v>
      </c>
      <c r="E154" s="21"/>
      <c r="F154" s="21"/>
      <c r="G154" s="21"/>
      <c r="H154" s="21"/>
      <c r="I154" s="21"/>
      <c r="J154" s="21"/>
      <c r="K154" s="21"/>
      <c r="L154" s="21"/>
      <c r="M154" s="21"/>
      <c r="N154" s="21">
        <v>243</v>
      </c>
      <c r="O154" s="21">
        <v>247</v>
      </c>
      <c r="P154" s="35"/>
      <c r="Q154" s="3">
        <f>SUM(OSRRefD21_23_0x)+IFERROR(SUM(OSRRefE21_23_0x),0)</f>
        <v>785</v>
      </c>
    </row>
    <row r="155" spans="1:17" s="42" customFormat="1" ht="15" hidden="1" customHeight="1" outlineLevel="1" x14ac:dyDescent="0.3">
      <c r="A155" s="34"/>
      <c r="B155" s="11" t="str">
        <f>CONCATENATE("          ","6309"," - ","TELEPHONE")</f>
        <v xml:space="preserve">          6309 - TELEPHONE</v>
      </c>
      <c r="C155" s="15"/>
      <c r="D155" s="21">
        <v>2447.84</v>
      </c>
      <c r="E155" s="21">
        <v>3874.49</v>
      </c>
      <c r="F155" s="21">
        <v>3604.77</v>
      </c>
      <c r="G155" s="21">
        <v>4785.75</v>
      </c>
      <c r="H155" s="21">
        <v>3576.09</v>
      </c>
      <c r="I155" s="21">
        <v>2527.56</v>
      </c>
      <c r="J155" s="21">
        <v>3891.13</v>
      </c>
      <c r="K155" s="21">
        <v>3525.37</v>
      </c>
      <c r="L155" s="21">
        <v>3557.8</v>
      </c>
      <c r="M155" s="21">
        <v>4995.8500000000004</v>
      </c>
      <c r="N155" s="21">
        <v>3456</v>
      </c>
      <c r="O155" s="21">
        <v>3306</v>
      </c>
      <c r="P155" s="35"/>
      <c r="Q155" s="3">
        <f>SUM(OSRRefD21_23_1x)+IFERROR(SUM(OSRRefE21_23_1x),0)</f>
        <v>43548.65</v>
      </c>
    </row>
    <row r="156" spans="1:17" s="42" customFormat="1" ht="15" customHeight="1" collapsed="1" x14ac:dyDescent="0.3">
      <c r="A156" s="34"/>
      <c r="B156" s="15" t="str">
        <f>CONCATENATE("     ","Training                                          ")</f>
        <v xml:space="preserve">     Training                                          </v>
      </c>
      <c r="C156" s="15"/>
      <c r="D156" s="2">
        <f>SUM(OSRRefD21_24x_0)</f>
        <v>0</v>
      </c>
      <c r="E156" s="2">
        <f>SUM(OSRRefD21_24x_1)</f>
        <v>0</v>
      </c>
      <c r="F156" s="2">
        <f>SUM(OSRRefD21_24x_2)</f>
        <v>595</v>
      </c>
      <c r="G156" s="2">
        <f>SUM(OSRRefD21_24x_3)</f>
        <v>2000</v>
      </c>
      <c r="H156" s="2">
        <f>SUM(OSRRefD21_24x_4)</f>
        <v>245</v>
      </c>
      <c r="I156" s="2">
        <f>SUM(OSRRefD21_24x_5)</f>
        <v>825</v>
      </c>
      <c r="J156" s="2">
        <f>SUM(OSRRefD21_24x_6)</f>
        <v>323.87</v>
      </c>
      <c r="K156" s="2">
        <f>SUM(OSRRefD21_24x_7)</f>
        <v>5100</v>
      </c>
      <c r="L156" s="2">
        <f>SUM(OSRRefD21_24x_8)</f>
        <v>2664.1</v>
      </c>
      <c r="M156" s="2">
        <f>SUM(OSRRefD21_24x_9)</f>
        <v>1076.95</v>
      </c>
      <c r="N156" s="2">
        <f>SUM(OSRRefE21_24x_0)</f>
        <v>615</v>
      </c>
      <c r="O156" s="2">
        <f>SUM(OSRRefE21_24x_1)</f>
        <v>1615</v>
      </c>
      <c r="Q156" s="3">
        <f>SUM(OSRRefD20_24x)+IFERROR(SUM(OSRRefE20_24x),0)</f>
        <v>15059.92</v>
      </c>
    </row>
    <row r="157" spans="1:17" s="42" customFormat="1" ht="15" hidden="1" customHeight="1" outlineLevel="1" x14ac:dyDescent="0.3">
      <c r="A157" s="34"/>
      <c r="B157" s="11" t="str">
        <f>CONCATENATE("          ","6376"," - ","TRAINING")</f>
        <v xml:space="preserve">          6376 - TRAINING</v>
      </c>
      <c r="C157" s="15"/>
      <c r="D157" s="21"/>
      <c r="E157" s="21"/>
      <c r="F157" s="21">
        <v>595</v>
      </c>
      <c r="G157" s="21">
        <v>2000</v>
      </c>
      <c r="H157" s="21">
        <v>245</v>
      </c>
      <c r="I157" s="21">
        <v>825</v>
      </c>
      <c r="J157" s="21">
        <v>323.87</v>
      </c>
      <c r="K157" s="21">
        <v>5100</v>
      </c>
      <c r="L157" s="21">
        <v>2664.1</v>
      </c>
      <c r="M157" s="21">
        <v>1076.95</v>
      </c>
      <c r="N157" s="21">
        <v>615</v>
      </c>
      <c r="O157" s="21">
        <v>1615</v>
      </c>
      <c r="P157" s="35"/>
      <c r="Q157" s="3">
        <f>SUM(OSRRefD21_24_0x)+IFERROR(SUM(OSRRefE21_24_0x),0)</f>
        <v>15059.92</v>
      </c>
    </row>
    <row r="158" spans="1:17" s="42" customFormat="1" ht="15" customHeight="1" collapsed="1" x14ac:dyDescent="0.3">
      <c r="A158" s="34"/>
      <c r="B158" s="15" t="str">
        <f>CONCATENATE("     ","Travel                                            ")</f>
        <v xml:space="preserve">     Travel                                            </v>
      </c>
      <c r="C158" s="15"/>
      <c r="D158" s="2">
        <f>SUM(OSRRefD21_25x_0)</f>
        <v>683.14</v>
      </c>
      <c r="E158" s="2">
        <f>SUM(OSRRefD21_25x_1)</f>
        <v>595</v>
      </c>
      <c r="F158" s="2">
        <f>SUM(OSRRefD21_25x_2)</f>
        <v>131.41</v>
      </c>
      <c r="G158" s="2">
        <f>SUM(OSRRefD21_25x_3)</f>
        <v>50</v>
      </c>
      <c r="H158" s="2">
        <f>SUM(OSRRefD21_25x_4)</f>
        <v>115.67</v>
      </c>
      <c r="I158" s="2">
        <f>SUM(OSRRefD21_25x_5)</f>
        <v>24.4</v>
      </c>
      <c r="J158" s="2">
        <f>SUM(OSRRefD21_25x_6)</f>
        <v>0</v>
      </c>
      <c r="K158" s="2">
        <f>SUM(OSRRefD21_25x_7)</f>
        <v>329.4</v>
      </c>
      <c r="L158" s="2">
        <f>SUM(OSRRefD21_25x_8)</f>
        <v>181.83</v>
      </c>
      <c r="M158" s="2">
        <f>SUM(OSRRefD21_25x_9)</f>
        <v>149.41</v>
      </c>
      <c r="N158" s="2">
        <f>SUM(OSRRefE21_25x_0)</f>
        <v>175</v>
      </c>
      <c r="O158" s="2">
        <f>SUM(OSRRefE21_25x_1)</f>
        <v>175</v>
      </c>
      <c r="Q158" s="3">
        <f>SUM(OSRRefD20_25x)+IFERROR(SUM(OSRRefE20_25x),0)</f>
        <v>2610.2599999999998</v>
      </c>
    </row>
    <row r="159" spans="1:17" s="42" customFormat="1" ht="15" hidden="1" customHeight="1" outlineLevel="1" x14ac:dyDescent="0.3">
      <c r="A159" s="34"/>
      <c r="B159" s="11" t="str">
        <f>CONCATENATE("          ","6292"," - ","TRAVEL/CONFERENCE")</f>
        <v xml:space="preserve">          6292 - TRAVEL/CONFERENCE</v>
      </c>
      <c r="C159" s="15"/>
      <c r="D159" s="21">
        <v>495</v>
      </c>
      <c r="E159" s="21">
        <v>595</v>
      </c>
      <c r="F159" s="21"/>
      <c r="G159" s="21"/>
      <c r="H159" s="21">
        <v>18.59</v>
      </c>
      <c r="I159" s="21"/>
      <c r="J159" s="21"/>
      <c r="K159" s="21"/>
      <c r="L159" s="21"/>
      <c r="M159" s="21"/>
      <c r="N159" s="21">
        <v>125</v>
      </c>
      <c r="O159" s="21">
        <v>125</v>
      </c>
      <c r="P159" s="35"/>
      <c r="Q159" s="3">
        <f>SUM(OSRRefD21_25_0x)+IFERROR(SUM(OSRRefE21_25_0x),0)</f>
        <v>1358.59</v>
      </c>
    </row>
    <row r="160" spans="1:17" s="42" customFormat="1" ht="15" hidden="1" customHeight="1" outlineLevel="1" x14ac:dyDescent="0.3">
      <c r="A160" s="34"/>
      <c r="B160" s="11" t="str">
        <f>CONCATENATE("          ","6294"," - ","TRAVEL OPERATIONAL")</f>
        <v xml:space="preserve">          6294 - TRAVEL OPERATIONAL</v>
      </c>
      <c r="C160" s="15"/>
      <c r="D160" s="21">
        <v>188.14</v>
      </c>
      <c r="E160" s="21"/>
      <c r="F160" s="21">
        <v>27.39</v>
      </c>
      <c r="G160" s="21"/>
      <c r="H160" s="21"/>
      <c r="I160" s="21">
        <v>24.4</v>
      </c>
      <c r="J160" s="21"/>
      <c r="K160" s="21">
        <v>116.74</v>
      </c>
      <c r="L160" s="21">
        <v>46.81</v>
      </c>
      <c r="M160" s="21"/>
      <c r="N160" s="21">
        <v>25</v>
      </c>
      <c r="O160" s="21">
        <v>25</v>
      </c>
      <c r="P160" s="35"/>
      <c r="Q160" s="3">
        <f>SUM(OSRRefD21_25_1x)+IFERROR(SUM(OSRRefE21_25_1x),0)</f>
        <v>453.47999999999996</v>
      </c>
    </row>
    <row r="161" spans="1:17" s="42" customFormat="1" ht="15" hidden="1" customHeight="1" outlineLevel="1" x14ac:dyDescent="0.3">
      <c r="A161" s="34"/>
      <c r="B161" s="11" t="str">
        <f>CONCATENATE("          ","6298"," - ","VEHICLE MILEAGE")</f>
        <v xml:space="preserve">          6298 - VEHICLE MILEAGE</v>
      </c>
      <c r="C161" s="15"/>
      <c r="D161" s="21"/>
      <c r="E161" s="21"/>
      <c r="F161" s="21">
        <v>104.02</v>
      </c>
      <c r="G161" s="21">
        <v>50</v>
      </c>
      <c r="H161" s="21">
        <v>97.08</v>
      </c>
      <c r="I161" s="21"/>
      <c r="J161" s="21"/>
      <c r="K161" s="21">
        <v>212.66</v>
      </c>
      <c r="L161" s="21">
        <v>135.02000000000001</v>
      </c>
      <c r="M161" s="21">
        <v>149.41</v>
      </c>
      <c r="N161" s="21">
        <v>25</v>
      </c>
      <c r="O161" s="21">
        <v>25</v>
      </c>
      <c r="P161" s="35"/>
      <c r="Q161" s="3">
        <f>SUM(OSRRefD21_25_2x)+IFERROR(SUM(OSRRefE21_25_2x),0)</f>
        <v>798.18999999999994</v>
      </c>
    </row>
    <row r="162" spans="1:17" s="42" customFormat="1" ht="15" customHeight="1" collapsed="1" x14ac:dyDescent="0.3">
      <c r="A162" s="34"/>
      <c r="B162" s="15" t="str">
        <f>CONCATENATE("     ","Utilities                                         ")</f>
        <v xml:space="preserve">     Utilities                                         </v>
      </c>
      <c r="C162" s="15"/>
      <c r="D162" s="2">
        <f>SUM(OSRRefD21_26x_0)</f>
        <v>14286.49</v>
      </c>
      <c r="E162" s="2">
        <f>SUM(OSRRefD21_26x_1)</f>
        <v>14287.29</v>
      </c>
      <c r="F162" s="2">
        <f>SUM(OSRRefD21_26x_2)</f>
        <v>14287.6</v>
      </c>
      <c r="G162" s="2">
        <f>SUM(OSRRefD21_26x_3)</f>
        <v>11888.6</v>
      </c>
      <c r="H162" s="2">
        <f>SUM(OSRRefD21_26x_4)</f>
        <v>14283.61</v>
      </c>
      <c r="I162" s="2">
        <f>SUM(OSRRefD21_26x_5)</f>
        <v>8312.92</v>
      </c>
      <c r="J162" s="2">
        <f>SUM(OSRRefD21_26x_6)</f>
        <v>14542.91</v>
      </c>
      <c r="K162" s="2">
        <f>SUM(OSRRefD21_26x_7)</f>
        <v>14605.65</v>
      </c>
      <c r="L162" s="2">
        <f>SUM(OSRRefD21_26x_8)</f>
        <v>14387.83</v>
      </c>
      <c r="M162" s="2">
        <f>SUM(OSRRefD21_26x_9)</f>
        <v>14504.32</v>
      </c>
      <c r="N162" s="2">
        <f>SUM(OSRRefE21_26x_0)</f>
        <v>14787</v>
      </c>
      <c r="O162" s="2">
        <f>SUM(OSRRefE21_26x_1)</f>
        <v>14783</v>
      </c>
      <c r="Q162" s="3">
        <f>SUM(OSRRefD20_26x)+IFERROR(SUM(OSRRefE20_26x),0)</f>
        <v>164957.22</v>
      </c>
    </row>
    <row r="163" spans="1:17" s="42" customFormat="1" ht="15" hidden="1" customHeight="1" outlineLevel="1" x14ac:dyDescent="0.3">
      <c r="A163" s="34"/>
      <c r="B163" s="11" t="str">
        <f>CONCATENATE("          ","6274"," - ","UTILITIES")</f>
        <v xml:space="preserve">          6274 - UTILITIES</v>
      </c>
      <c r="C163" s="15"/>
      <c r="D163" s="21">
        <v>14286.49</v>
      </c>
      <c r="E163" s="21">
        <v>14287.29</v>
      </c>
      <c r="F163" s="21">
        <v>14287.6</v>
      </c>
      <c r="G163" s="21">
        <v>11888.6</v>
      </c>
      <c r="H163" s="21">
        <v>14283.61</v>
      </c>
      <c r="I163" s="21">
        <v>8312.92</v>
      </c>
      <c r="J163" s="21">
        <v>14542.91</v>
      </c>
      <c r="K163" s="21">
        <v>14605.65</v>
      </c>
      <c r="L163" s="21">
        <v>14387.83</v>
      </c>
      <c r="M163" s="21">
        <v>14504.32</v>
      </c>
      <c r="N163" s="21">
        <v>14787</v>
      </c>
      <c r="O163" s="21">
        <v>14783</v>
      </c>
      <c r="P163" s="35"/>
      <c r="Q163" s="3">
        <f>SUM(OSRRefD21_26_0x)+IFERROR(SUM(OSRRefE21_26_0x),0)</f>
        <v>164957.22</v>
      </c>
    </row>
    <row r="164" spans="1:17" s="40" customFormat="1" ht="15" customHeight="1" x14ac:dyDescent="0.3">
      <c r="A164" s="22"/>
      <c r="B164" s="22"/>
      <c r="C164" s="2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Q164" s="2"/>
    </row>
    <row r="165" spans="1:17" s="39" customFormat="1" ht="15" customHeight="1" x14ac:dyDescent="0.3">
      <c r="A165" s="24"/>
      <c r="B165" s="17" t="s">
        <v>287</v>
      </c>
      <c r="C165" s="23"/>
      <c r="D165" s="4">
        <f>--42597.81</f>
        <v>42597.81</v>
      </c>
      <c r="E165" s="4">
        <f>--159547.55</f>
        <v>159547.54999999999</v>
      </c>
      <c r="F165" s="4">
        <f>--183399.98</f>
        <v>183399.98</v>
      </c>
      <c r="G165" s="4">
        <f>--46304.48</f>
        <v>46304.480000000003</v>
      </c>
      <c r="H165" s="4">
        <f>--61142.06</f>
        <v>61142.06</v>
      </c>
      <c r="I165" s="4">
        <f>--119863.78</f>
        <v>119863.78</v>
      </c>
      <c r="J165" s="4">
        <f>--54263.9</f>
        <v>54263.9</v>
      </c>
      <c r="K165" s="4">
        <f>--216629.77</f>
        <v>216629.77</v>
      </c>
      <c r="L165" s="4">
        <f>--208608.68</f>
        <v>208608.68</v>
      </c>
      <c r="M165" s="4">
        <f>--64794.1</f>
        <v>64794.1</v>
      </c>
      <c r="N165" s="4">
        <v>335103.49</v>
      </c>
      <c r="O165" s="4">
        <v>236500</v>
      </c>
      <c r="P165" s="25"/>
      <c r="Q165" s="3">
        <f>SUM(OSRRefD23_0x)+IFERROR(SUM(OSRRefE23_0x),0)</f>
        <v>1728755.6</v>
      </c>
    </row>
    <row r="166" spans="1:17" ht="15" customHeight="1" x14ac:dyDescent="0.3">
      <c r="A166" s="6"/>
      <c r="B166" s="7"/>
      <c r="C166" s="7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Q166" s="4"/>
    </row>
    <row r="167" spans="1:17" s="37" customFormat="1" ht="15" customHeight="1" x14ac:dyDescent="0.3">
      <c r="A167" s="7"/>
      <c r="B167" s="18" t="s">
        <v>288</v>
      </c>
      <c r="C167" s="18"/>
      <c r="D167" s="9">
        <f t="shared" ref="D167:O167" si="2">IFERROR(+D62-D65+D165,0)</f>
        <v>-563723.07999999984</v>
      </c>
      <c r="E167" s="9">
        <f t="shared" si="2"/>
        <v>249907.76999999949</v>
      </c>
      <c r="F167" s="9">
        <f t="shared" si="2"/>
        <v>599789.20000000019</v>
      </c>
      <c r="G167" s="9">
        <f t="shared" si="2"/>
        <v>233738.16000000018</v>
      </c>
      <c r="H167" s="9">
        <f t="shared" si="2"/>
        <v>346656.13000000006</v>
      </c>
      <c r="I167" s="9">
        <f t="shared" si="2"/>
        <v>201021.22000000018</v>
      </c>
      <c r="J167" s="9">
        <f t="shared" si="2"/>
        <v>-7582.5500000000684</v>
      </c>
      <c r="K167" s="9">
        <f t="shared" si="2"/>
        <v>777304.89000000036</v>
      </c>
      <c r="L167" s="9">
        <f t="shared" si="2"/>
        <v>790066.26999999955</v>
      </c>
      <c r="M167" s="9">
        <f t="shared" si="2"/>
        <v>915513.41</v>
      </c>
      <c r="N167" s="9">
        <f t="shared" si="2"/>
        <v>235335.470730111</v>
      </c>
      <c r="O167" s="9">
        <f t="shared" si="2"/>
        <v>-308099.76545218984</v>
      </c>
      <c r="Q167" s="9">
        <f>IFERROR(+Q62-Q65+Q165,0)</f>
        <v>3469927.1252779239</v>
      </c>
    </row>
    <row r="168" spans="1:17" s="38" customFormat="1" ht="15" customHeight="1" x14ac:dyDescent="0.3">
      <c r="B168" s="17"/>
      <c r="C168" s="17"/>
      <c r="D168" s="5">
        <f t="shared" ref="D168:O168" si="3">IFERROR(D167/D10,0)</f>
        <v>-1.118167205984546</v>
      </c>
      <c r="E168" s="5">
        <f t="shared" si="3"/>
        <v>0.10042372592233172</v>
      </c>
      <c r="F168" s="5">
        <f t="shared" si="3"/>
        <v>0.25527257592491287</v>
      </c>
      <c r="G168" s="5">
        <f t="shared" si="3"/>
        <v>9.2422817719717054E-2</v>
      </c>
      <c r="H168" s="5">
        <f t="shared" si="3"/>
        <v>0.19191350099646276</v>
      </c>
      <c r="I168" s="5">
        <f t="shared" si="3"/>
        <v>0.11838812768516134</v>
      </c>
      <c r="J168" s="5">
        <f t="shared" si="3"/>
        <v>-4.7835521735930192E-3</v>
      </c>
      <c r="K168" s="5">
        <f t="shared" si="3"/>
        <v>0.28941688419927691</v>
      </c>
      <c r="L168" s="5">
        <f t="shared" si="3"/>
        <v>0.27546129629880195</v>
      </c>
      <c r="M168" s="5">
        <f t="shared" si="3"/>
        <v>0.27368500347666036</v>
      </c>
      <c r="N168" s="5">
        <f t="shared" si="3"/>
        <v>0.13874112481288453</v>
      </c>
      <c r="O168" s="5">
        <f t="shared" si="3"/>
        <v>-0.58332784043990982</v>
      </c>
      <c r="P168" s="19"/>
      <c r="Q168" s="5">
        <f>IFERROR(Q167/Q10,0)</f>
        <v>0.14407499119440101</v>
      </c>
    </row>
    <row r="169" spans="1:17" ht="15" customHeight="1" x14ac:dyDescent="0.3">
      <c r="A169" s="6"/>
      <c r="B169" s="7"/>
      <c r="C169" s="6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Q169" s="4"/>
    </row>
    <row r="170" spans="1:17" s="37" customFormat="1" ht="15" customHeight="1" x14ac:dyDescent="0.3">
      <c r="A170" s="26"/>
      <c r="B170" s="7" t="s">
        <v>289</v>
      </c>
      <c r="C170" s="7"/>
      <c r="D170" s="4">
        <v>232914.86</v>
      </c>
      <c r="E170" s="4">
        <v>214290.75</v>
      </c>
      <c r="F170" s="4">
        <v>214039.09</v>
      </c>
      <c r="G170" s="4">
        <v>248611.92</v>
      </c>
      <c r="H170" s="4">
        <v>242860.23</v>
      </c>
      <c r="I170" s="4">
        <v>216572.45</v>
      </c>
      <c r="J170" s="4">
        <v>346287.75</v>
      </c>
      <c r="K170" s="4">
        <v>237459.55</v>
      </c>
      <c r="L170" s="4">
        <v>256640.54</v>
      </c>
      <c r="M170" s="4">
        <v>266683.28999999998</v>
      </c>
      <c r="N170" s="4">
        <v>230226</v>
      </c>
      <c r="O170" s="4">
        <v>-180603</v>
      </c>
      <c r="P170" s="25"/>
      <c r="Q170" s="3">
        <f>SUM(OSRRefD28_0x)+IFERROR(SUM(OSRRefE28_0x),0)</f>
        <v>2525983.4300000002</v>
      </c>
    </row>
    <row r="171" spans="1:17" ht="15" customHeight="1" x14ac:dyDescent="0.3">
      <c r="A171" s="6"/>
      <c r="B171" s="7"/>
      <c r="C171" s="7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Q171" s="4"/>
    </row>
    <row r="172" spans="1:17" s="37" customFormat="1" ht="15.75" customHeight="1" x14ac:dyDescent="0.3">
      <c r="A172" s="7"/>
      <c r="B172" s="18" t="s">
        <v>290</v>
      </c>
      <c r="C172" s="18"/>
      <c r="D172" s="8">
        <f t="shared" ref="D172:O172" si="4">IFERROR(+D167-D170,0)</f>
        <v>-796637.93999999983</v>
      </c>
      <c r="E172" s="8">
        <f t="shared" si="4"/>
        <v>35617.019999999495</v>
      </c>
      <c r="F172" s="8">
        <f t="shared" si="4"/>
        <v>385750.11000000022</v>
      </c>
      <c r="G172" s="8">
        <f t="shared" si="4"/>
        <v>-14873.759999999835</v>
      </c>
      <c r="H172" s="8">
        <f t="shared" si="4"/>
        <v>103795.90000000005</v>
      </c>
      <c r="I172" s="8">
        <f t="shared" si="4"/>
        <v>-15551.229999999836</v>
      </c>
      <c r="J172" s="8">
        <f t="shared" si="4"/>
        <v>-353870.30000000005</v>
      </c>
      <c r="K172" s="8">
        <f t="shared" si="4"/>
        <v>539845.34000000032</v>
      </c>
      <c r="L172" s="8">
        <f t="shared" si="4"/>
        <v>533425.72999999952</v>
      </c>
      <c r="M172" s="8">
        <f t="shared" si="4"/>
        <v>648830.12000000011</v>
      </c>
      <c r="N172" s="8">
        <f t="shared" si="4"/>
        <v>5109.4707301110029</v>
      </c>
      <c r="O172" s="8">
        <f t="shared" si="4"/>
        <v>-127496.76545218984</v>
      </c>
      <c r="Q172" s="8">
        <f>IFERROR(+Q167-Q170,0)</f>
        <v>943943.69527792372</v>
      </c>
    </row>
    <row r="173" spans="1:17" s="38" customFormat="1" ht="15.75" customHeight="1" x14ac:dyDescent="0.3">
      <c r="B173" s="17"/>
      <c r="C173" s="17"/>
      <c r="D173" s="5">
        <f t="shared" ref="D173:O173" si="5">IFERROR(D172/D10,0)</f>
        <v>-1.5801631175915032</v>
      </c>
      <c r="E173" s="5">
        <f t="shared" si="5"/>
        <v>1.4312455569709431E-2</v>
      </c>
      <c r="F173" s="5">
        <f t="shared" si="5"/>
        <v>0.16417672115973167</v>
      </c>
      <c r="G173" s="5">
        <f t="shared" si="5"/>
        <v>-5.8812596509136648E-3</v>
      </c>
      <c r="H173" s="5">
        <f t="shared" si="5"/>
        <v>5.7462807763066975E-2</v>
      </c>
      <c r="I173" s="5">
        <f t="shared" si="5"/>
        <v>-9.1586400823818036E-3</v>
      </c>
      <c r="J173" s="5">
        <f t="shared" si="5"/>
        <v>-0.22324376927748565</v>
      </c>
      <c r="K173" s="5">
        <f t="shared" si="5"/>
        <v>0.20100266737328681</v>
      </c>
      <c r="L173" s="5">
        <f t="shared" si="5"/>
        <v>0.1859820481450685</v>
      </c>
      <c r="M173" s="5">
        <f t="shared" si="5"/>
        <v>0.19396228576046964</v>
      </c>
      <c r="N173" s="5">
        <f t="shared" si="5"/>
        <v>3.0122688861769129E-3</v>
      </c>
      <c r="O173" s="5">
        <f t="shared" si="5"/>
        <v>-0.24139068312871056</v>
      </c>
      <c r="P173" s="19"/>
      <c r="Q173" s="5">
        <f>IFERROR(Q172/Q10,0)</f>
        <v>3.9193526167868552E-2</v>
      </c>
    </row>
    <row r="174" spans="1:17" ht="15" customHeight="1" x14ac:dyDescent="0.3">
      <c r="A174" s="6"/>
      <c r="B174" s="6"/>
      <c r="C174" s="6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Q174" s="4"/>
    </row>
    <row r="175" spans="1:17" s="37" customFormat="1" ht="15" customHeight="1" x14ac:dyDescent="0.3">
      <c r="A175" s="26"/>
      <c r="B175" s="7" t="s">
        <v>291</v>
      </c>
      <c r="C175" s="7"/>
      <c r="D175" s="4">
        <f>--18122.3</f>
        <v>18122.3</v>
      </c>
      <c r="E175" s="4">
        <f>--134736.5</f>
        <v>134736.5</v>
      </c>
      <c r="F175" s="4">
        <f>-372468.37</f>
        <v>-372468.37</v>
      </c>
      <c r="G175" s="4">
        <f>--337591.35</f>
        <v>337591.35</v>
      </c>
      <c r="H175" s="4">
        <f>-342698.96</f>
        <v>-342698.96</v>
      </c>
      <c r="I175" s="4">
        <f>--139580.48</f>
        <v>139580.48000000001</v>
      </c>
      <c r="J175" s="4">
        <f>-529057.18</f>
        <v>-529057.18000000005</v>
      </c>
      <c r="K175" s="4">
        <f>-302139.84</f>
        <v>-302139.84000000003</v>
      </c>
      <c r="L175" s="4">
        <f>-38582.65</f>
        <v>-38582.65</v>
      </c>
      <c r="M175" s="4">
        <f>-631914.9</f>
        <v>-631914.9</v>
      </c>
      <c r="N175" s="4">
        <f>--15000</f>
        <v>15000</v>
      </c>
      <c r="O175" s="4">
        <f>--15000</f>
        <v>15000</v>
      </c>
      <c r="P175" s="25"/>
      <c r="Q175" s="3">
        <f>SUM(OSRRefD33_0x)+IFERROR(SUM(OSRRefE33_0x),0)</f>
        <v>-1556831.2700000003</v>
      </c>
    </row>
    <row r="176" spans="1:17" s="37" customFormat="1" ht="15" customHeight="1" x14ac:dyDescent="0.3">
      <c r="A176" s="26"/>
      <c r="B176" s="7" t="s">
        <v>292</v>
      </c>
      <c r="C176" s="7"/>
      <c r="D176" s="4">
        <f>--10182.42</f>
        <v>10182.42</v>
      </c>
      <c r="E176" s="4">
        <f>--12034.07</f>
        <v>12034.07</v>
      </c>
      <c r="F176" s="4">
        <f>--15112.29</f>
        <v>15112.29</v>
      </c>
      <c r="G176" s="4">
        <f>--10527.25</f>
        <v>10527.25</v>
      </c>
      <c r="H176" s="4">
        <f>--9933.84</f>
        <v>9933.84</v>
      </c>
      <c r="I176" s="4">
        <f>--127617.83</f>
        <v>127617.83</v>
      </c>
      <c r="J176" s="4">
        <f>--2124202.74</f>
        <v>2124202.7400000002</v>
      </c>
      <c r="K176" s="4">
        <f>--9329.2</f>
        <v>9329.2000000000007</v>
      </c>
      <c r="L176" s="4">
        <f>--14325.83</f>
        <v>14325.83</v>
      </c>
      <c r="M176" s="4">
        <f>--9521.98</f>
        <v>9521.98</v>
      </c>
      <c r="N176" s="4">
        <f>--15000</f>
        <v>15000</v>
      </c>
      <c r="O176" s="4">
        <f>--20000</f>
        <v>20000</v>
      </c>
      <c r="P176" s="25"/>
      <c r="Q176" s="3">
        <f>SUM(OSRRefD34_0x)+IFERROR(SUM(OSRRefE34_0x),0)</f>
        <v>2377787.4500000007</v>
      </c>
    </row>
    <row r="177" spans="1:17" ht="15" customHeight="1" x14ac:dyDescent="0.3">
      <c r="A177" s="6"/>
      <c r="B177" s="6"/>
      <c r="C177" s="6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Q177" s="4"/>
    </row>
    <row r="178" spans="1:17" s="37" customFormat="1" ht="15.75" customHeight="1" x14ac:dyDescent="0.3">
      <c r="A178" s="7"/>
      <c r="B178" s="18" t="s">
        <v>293</v>
      </c>
      <c r="C178" s="18"/>
      <c r="D178" s="8">
        <f t="shared" ref="D178:O178" si="6">IFERROR(SUM(D172:D177),0)</f>
        <v>-768334.80016311735</v>
      </c>
      <c r="E178" s="8">
        <f t="shared" si="6"/>
        <v>182387.60431245508</v>
      </c>
      <c r="F178" s="8">
        <f t="shared" si="6"/>
        <v>28394.194176721408</v>
      </c>
      <c r="G178" s="8">
        <f t="shared" si="6"/>
        <v>333244.83411874052</v>
      </c>
      <c r="H178" s="8">
        <f t="shared" si="6"/>
        <v>-228969.1625371922</v>
      </c>
      <c r="I178" s="8">
        <f t="shared" si="6"/>
        <v>251647.07084136008</v>
      </c>
      <c r="J178" s="8">
        <f t="shared" si="6"/>
        <v>1241275.036756231</v>
      </c>
      <c r="K178" s="8">
        <f t="shared" si="6"/>
        <v>247034.90100266773</v>
      </c>
      <c r="L178" s="8">
        <f t="shared" si="6"/>
        <v>509169.09598204767</v>
      </c>
      <c r="M178" s="8">
        <f t="shared" si="6"/>
        <v>26437.393962285849</v>
      </c>
      <c r="N178" s="8">
        <f t="shared" si="6"/>
        <v>35109.473742379887</v>
      </c>
      <c r="O178" s="8">
        <f t="shared" si="6"/>
        <v>-92497.006842872972</v>
      </c>
      <c r="Q178" s="8">
        <f>IFERROR(SUM(Q172:Q177),0)</f>
        <v>1764899.9144714503</v>
      </c>
    </row>
    <row r="179" spans="1:17" ht="15.75" customHeight="1" x14ac:dyDescent="0.3">
      <c r="A179" s="6"/>
      <c r="C179" s="6"/>
      <c r="D179" s="5">
        <f t="shared" ref="D179:O179" si="7">IFERROR(D178/D10,0)</f>
        <v>-1.5240227112203524</v>
      </c>
      <c r="E179" s="5">
        <f t="shared" si="7"/>
        <v>7.3291209741516677E-2</v>
      </c>
      <c r="F179" s="5">
        <f t="shared" si="7"/>
        <v>1.2084677564724129E-2</v>
      </c>
      <c r="G179" s="5">
        <f t="shared" si="7"/>
        <v>0.13176892707546631</v>
      </c>
      <c r="H179" s="5">
        <f t="shared" si="7"/>
        <v>-0.1267604112546363</v>
      </c>
      <c r="I179" s="5">
        <f t="shared" si="7"/>
        <v>0.14820338646021428</v>
      </c>
      <c r="J179" s="5">
        <f t="shared" si="7"/>
        <v>0.78307480993886891</v>
      </c>
      <c r="K179" s="5">
        <f t="shared" si="7"/>
        <v>9.1979443660349144E-2</v>
      </c>
      <c r="L179" s="5">
        <f t="shared" si="7"/>
        <v>0.1775248286634285</v>
      </c>
      <c r="M179" s="5">
        <f t="shared" si="7"/>
        <v>7.9032356920714485E-3</v>
      </c>
      <c r="N179" s="5">
        <f t="shared" si="7"/>
        <v>2.0698655682859467E-2</v>
      </c>
      <c r="O179" s="5">
        <f t="shared" si="7"/>
        <v>-0.17512534996454396</v>
      </c>
      <c r="P179" s="19"/>
      <c r="Q179" s="5">
        <f>IFERROR(Q178/Q10,0)</f>
        <v>7.3280484130082965E-2</v>
      </c>
    </row>
    <row r="180" spans="1:17" ht="15" customHeight="1" x14ac:dyDescent="0.3">
      <c r="A180" s="6"/>
      <c r="B180" s="33">
        <v>44694.892824571762</v>
      </c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Q180" s="14"/>
    </row>
    <row r="181" spans="1:17" ht="15" customHeight="1" x14ac:dyDescent="0.3">
      <c r="A181" s="6"/>
      <c r="B181" s="31" t="s">
        <v>294</v>
      </c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Q181" s="14"/>
    </row>
    <row r="182" spans="1:17" ht="15" customHeight="1" x14ac:dyDescent="0.3">
      <c r="A182" s="6"/>
      <c r="B182" s="27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Q182" s="14"/>
    </row>
    <row r="183" spans="1:17" ht="15" customHeight="1" x14ac:dyDescent="0.3"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Q183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4FBDE-6A6E-9A0E-1728-344F264A2E15}">
  <sheetPr>
    <tabColor theme="5" tint="0.39997558519241921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295</v>
      </c>
    </row>
    <row r="5" spans="1:8" ht="15" customHeight="1" x14ac:dyDescent="0.3">
      <c r="A5" s="16"/>
      <c r="B5" s="16" t="s">
        <v>310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296</v>
      </c>
    </row>
    <row r="8" spans="1:8" ht="15" customHeight="1" x14ac:dyDescent="0.3">
      <c r="A8" s="7"/>
      <c r="B8" s="28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8B65E-C0E6-BC44-6009-1FA1BC78F59E}">
  <sheetPr>
    <tabColor rgb="FFFFFF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278</v>
      </c>
    </row>
    <row r="5" spans="1:8" ht="15" customHeight="1" x14ac:dyDescent="0.3">
      <c r="A5" s="16"/>
      <c r="B5" s="16" t="s">
        <v>311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281</v>
      </c>
    </row>
    <row r="8" spans="1:8" ht="15" customHeight="1" x14ac:dyDescent="0.3">
      <c r="A8" s="7"/>
      <c r="B8" s="28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79E25-23DF-B5CE-93E8-ED8A01A43F5F}">
  <sheetPr>
    <tabColor rgb="FFFFFF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295</v>
      </c>
    </row>
    <row r="5" spans="1:8" ht="15" customHeight="1" x14ac:dyDescent="0.3">
      <c r="A5" s="16"/>
      <c r="B5" s="16" t="s">
        <v>311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296</v>
      </c>
    </row>
    <row r="8" spans="1:8" ht="15" customHeight="1" x14ac:dyDescent="0.3">
      <c r="A8" s="7"/>
      <c r="B8" s="28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36B13-D5AE-53C6-E92B-85D99B680B01}">
  <sheetPr>
    <tabColor rgb="FFFFFF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278</v>
      </c>
    </row>
    <row r="5" spans="1:8" ht="15" customHeight="1" x14ac:dyDescent="0.3">
      <c r="A5" s="16"/>
      <c r="B5" s="16" t="s">
        <v>312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281</v>
      </c>
    </row>
    <row r="8" spans="1:8" ht="15" customHeight="1" x14ac:dyDescent="0.3">
      <c r="A8" s="7"/>
      <c r="B8" s="28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865A9-C112-56E2-0B8B-BF29F8A6121B}">
  <sheetPr>
    <tabColor rgb="FFFFFF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295</v>
      </c>
    </row>
    <row r="5" spans="1:8" ht="15" customHeight="1" x14ac:dyDescent="0.3">
      <c r="A5" s="16"/>
      <c r="B5" s="16" t="s">
        <v>312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296</v>
      </c>
    </row>
    <row r="8" spans="1:8" ht="15" customHeight="1" x14ac:dyDescent="0.3">
      <c r="A8" s="7"/>
      <c r="B8" s="28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C15DE-8B32-B1FC-C46B-CAAE43E7E1CC}">
  <sheetPr>
    <tabColor rgb="FFFFC0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278</v>
      </c>
    </row>
    <row r="5" spans="1:8" ht="15" customHeight="1" x14ac:dyDescent="0.3">
      <c r="A5" s="16"/>
      <c r="B5" s="16" t="s">
        <v>313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281</v>
      </c>
    </row>
    <row r="8" spans="1:8" ht="15" customHeight="1" x14ac:dyDescent="0.3">
      <c r="A8" s="7"/>
      <c r="B8" s="28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DBD7E-561E-B58B-E693-E6D5F9F7AC91}">
  <sheetPr>
    <tabColor rgb="FFFFC0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295</v>
      </c>
    </row>
    <row r="5" spans="1:8" ht="15" customHeight="1" x14ac:dyDescent="0.3">
      <c r="A5" s="16"/>
      <c r="B5" s="16" t="s">
        <v>313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296</v>
      </c>
    </row>
    <row r="8" spans="1:8" ht="15" customHeight="1" x14ac:dyDescent="0.3">
      <c r="A8" s="7"/>
      <c r="B8" s="28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40F68-D489-A0A6-5932-1192E494E6E9}">
  <sheetPr>
    <tabColor rgb="FFFFC0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278</v>
      </c>
    </row>
    <row r="5" spans="1:8" ht="15" customHeight="1" x14ac:dyDescent="0.3">
      <c r="A5" s="16"/>
      <c r="B5" s="16" t="s">
        <v>314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281</v>
      </c>
    </row>
    <row r="8" spans="1:8" ht="15" customHeight="1" x14ac:dyDescent="0.3">
      <c r="A8" s="7"/>
      <c r="B8" s="28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E8344B-423D-6C58-8D7A-3D0A80FA44D6}">
  <sheetPr>
    <tabColor rgb="FFFFC0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295</v>
      </c>
    </row>
    <row r="5" spans="1:8" ht="15" customHeight="1" x14ac:dyDescent="0.3">
      <c r="A5" s="16"/>
      <c r="B5" s="16" t="s">
        <v>314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296</v>
      </c>
    </row>
    <row r="8" spans="1:8" ht="15" customHeight="1" x14ac:dyDescent="0.3">
      <c r="A8" s="7"/>
      <c r="B8" s="28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303E8-81A2-CBD5-400D-184F20CC99EA}">
  <sheetPr>
    <tabColor rgb="FF92D050"/>
    <outlinePr summaryBelow="0" summaryRight="0"/>
    <pageSetUpPr fitToPage="1"/>
  </sheetPr>
  <dimension ref="A2:R37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","100"," - ","Corporate")</f>
        <v>Department 100 - Corporate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9">
        <f t="shared" ref="D14:O14" si="2">IFERROR(+D10-D12,0)</f>
        <v>0</v>
      </c>
      <c r="E14" s="9">
        <f t="shared" si="2"/>
        <v>0</v>
      </c>
      <c r="F14" s="9">
        <f t="shared" si="2"/>
        <v>0</v>
      </c>
      <c r="G14" s="9">
        <f t="shared" si="2"/>
        <v>0</v>
      </c>
      <c r="H14" s="9">
        <f t="shared" si="2"/>
        <v>0</v>
      </c>
      <c r="I14" s="9">
        <f t="shared" si="2"/>
        <v>0</v>
      </c>
      <c r="J14" s="9">
        <f t="shared" si="2"/>
        <v>0</v>
      </c>
      <c r="K14" s="9">
        <f t="shared" si="2"/>
        <v>0</v>
      </c>
      <c r="L14" s="9">
        <f t="shared" si="2"/>
        <v>0</v>
      </c>
      <c r="M14" s="9">
        <f t="shared" si="2"/>
        <v>0</v>
      </c>
      <c r="N14" s="9">
        <f t="shared" si="2"/>
        <v>0</v>
      </c>
      <c r="O14" s="9">
        <f t="shared" si="2"/>
        <v>0</v>
      </c>
      <c r="Q14" s="9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2">
        <f t="shared" ref="D17:O17" si="4">SUM(0)</f>
        <v>0</v>
      </c>
      <c r="E17" s="12">
        <f t="shared" si="4"/>
        <v>0</v>
      </c>
      <c r="F17" s="12">
        <f t="shared" si="4"/>
        <v>0</v>
      </c>
      <c r="G17" s="12">
        <f t="shared" si="4"/>
        <v>0</v>
      </c>
      <c r="H17" s="12">
        <f t="shared" si="4"/>
        <v>0</v>
      </c>
      <c r="I17" s="12">
        <f t="shared" si="4"/>
        <v>0</v>
      </c>
      <c r="J17" s="12">
        <f t="shared" si="4"/>
        <v>0</v>
      </c>
      <c r="K17" s="12">
        <f t="shared" si="4"/>
        <v>0</v>
      </c>
      <c r="L17" s="12">
        <f t="shared" si="4"/>
        <v>0</v>
      </c>
      <c r="M17" s="12">
        <f t="shared" si="4"/>
        <v>0</v>
      </c>
      <c r="N17" s="12">
        <f t="shared" si="4"/>
        <v>0</v>
      </c>
      <c r="O17" s="12">
        <f t="shared" si="4"/>
        <v>0</v>
      </c>
      <c r="Q17" s="12">
        <f>SUM(0)</f>
        <v>0</v>
      </c>
    </row>
    <row r="18" spans="1:17" s="40" customFormat="1" ht="15" customHeight="1" x14ac:dyDescent="0.3">
      <c r="A18" s="22"/>
      <c r="B18" s="22"/>
      <c r="C18" s="2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Q18" s="2"/>
    </row>
    <row r="19" spans="1:17" s="39" customFormat="1" ht="15" customHeight="1" x14ac:dyDescent="0.3">
      <c r="A19" s="24"/>
      <c r="B19" s="17" t="s">
        <v>287</v>
      </c>
      <c r="C19" s="23"/>
      <c r="D19" s="4">
        <f>0</f>
        <v>0</v>
      </c>
      <c r="E19" s="4">
        <f>0</f>
        <v>0</v>
      </c>
      <c r="F19" s="4">
        <f>0</f>
        <v>0</v>
      </c>
      <c r="G19" s="4">
        <f>0</f>
        <v>0</v>
      </c>
      <c r="H19" s="4">
        <f>0</f>
        <v>0</v>
      </c>
      <c r="I19" s="4">
        <f>0</f>
        <v>0</v>
      </c>
      <c r="J19" s="4">
        <f>0</f>
        <v>0</v>
      </c>
      <c r="K19" s="4">
        <f>0</f>
        <v>0</v>
      </c>
      <c r="L19" s="4">
        <f>0</f>
        <v>0</v>
      </c>
      <c r="M19" s="4">
        <f>0</f>
        <v>0</v>
      </c>
      <c r="N19" s="4"/>
      <c r="O19" s="4"/>
      <c r="Q19" s="3">
        <f>SUM(OSRRefD23_0x)+IFERROR(SUM(OSRRefE23_0x),0)</f>
        <v>0</v>
      </c>
    </row>
    <row r="20" spans="1:17" ht="15" customHeight="1" x14ac:dyDescent="0.3">
      <c r="A20" s="6"/>
      <c r="B20" s="7"/>
      <c r="C20" s="7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Q20" s="4"/>
    </row>
    <row r="21" spans="1:17" s="37" customFormat="1" ht="15" customHeight="1" x14ac:dyDescent="0.3">
      <c r="A21" s="7"/>
      <c r="B21" s="18" t="s">
        <v>288</v>
      </c>
      <c r="C21" s="18"/>
      <c r="D21" s="9">
        <f t="shared" ref="D21:O21" si="5">IFERROR(+D14-D17+D19,0)</f>
        <v>0</v>
      </c>
      <c r="E21" s="9">
        <f t="shared" si="5"/>
        <v>0</v>
      </c>
      <c r="F21" s="9">
        <f t="shared" si="5"/>
        <v>0</v>
      </c>
      <c r="G21" s="9">
        <f t="shared" si="5"/>
        <v>0</v>
      </c>
      <c r="H21" s="9">
        <f t="shared" si="5"/>
        <v>0</v>
      </c>
      <c r="I21" s="9">
        <f t="shared" si="5"/>
        <v>0</v>
      </c>
      <c r="J21" s="9">
        <f t="shared" si="5"/>
        <v>0</v>
      </c>
      <c r="K21" s="9">
        <f t="shared" si="5"/>
        <v>0</v>
      </c>
      <c r="L21" s="9">
        <f t="shared" si="5"/>
        <v>0</v>
      </c>
      <c r="M21" s="9">
        <f t="shared" si="5"/>
        <v>0</v>
      </c>
      <c r="N21" s="9">
        <f t="shared" si="5"/>
        <v>0</v>
      </c>
      <c r="O21" s="9">
        <f t="shared" si="5"/>
        <v>0</v>
      </c>
      <c r="Q21" s="9">
        <f>IFERROR(+Q14-Q17+Q19,0)</f>
        <v>0</v>
      </c>
    </row>
    <row r="22" spans="1:17" s="38" customFormat="1" ht="15" customHeight="1" x14ac:dyDescent="0.3">
      <c r="B22" s="17"/>
      <c r="C22" s="17"/>
      <c r="D22" s="5">
        <f t="shared" ref="D22:O22" si="6">IFERROR(D21/D10,0)</f>
        <v>0</v>
      </c>
      <c r="E22" s="5">
        <f t="shared" si="6"/>
        <v>0</v>
      </c>
      <c r="F22" s="5">
        <f t="shared" si="6"/>
        <v>0</v>
      </c>
      <c r="G22" s="5">
        <f t="shared" si="6"/>
        <v>0</v>
      </c>
      <c r="H22" s="5">
        <f t="shared" si="6"/>
        <v>0</v>
      </c>
      <c r="I22" s="5">
        <f t="shared" si="6"/>
        <v>0</v>
      </c>
      <c r="J22" s="5">
        <f t="shared" si="6"/>
        <v>0</v>
      </c>
      <c r="K22" s="5">
        <f t="shared" si="6"/>
        <v>0</v>
      </c>
      <c r="L22" s="5">
        <f t="shared" si="6"/>
        <v>0</v>
      </c>
      <c r="M22" s="5">
        <f t="shared" si="6"/>
        <v>0</v>
      </c>
      <c r="N22" s="5">
        <f t="shared" si="6"/>
        <v>0</v>
      </c>
      <c r="O22" s="5">
        <f t="shared" si="6"/>
        <v>0</v>
      </c>
      <c r="P22" s="19"/>
      <c r="Q22" s="5">
        <f>IFERROR(Q21/Q10,0)</f>
        <v>0</v>
      </c>
    </row>
    <row r="23" spans="1:17" ht="15" customHeight="1" x14ac:dyDescent="0.3">
      <c r="A23" s="6"/>
      <c r="B23" s="7"/>
      <c r="C23" s="6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Q23" s="4"/>
    </row>
    <row r="24" spans="1:17" s="37" customFormat="1" ht="15" customHeight="1" x14ac:dyDescent="0.3">
      <c r="A24" s="26"/>
      <c r="B24" s="7" t="s">
        <v>289</v>
      </c>
      <c r="C24" s="7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Q24" s="3">
        <f>SUM(OSRRefD28_0x)+IFERROR(SUM(OSRRefE28_0x),0)</f>
        <v>0</v>
      </c>
    </row>
    <row r="25" spans="1:17" ht="15" customHeight="1" x14ac:dyDescent="0.3">
      <c r="A25" s="6"/>
      <c r="B25" s="7"/>
      <c r="C25" s="7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Q25" s="4"/>
    </row>
    <row r="26" spans="1:17" s="37" customFormat="1" ht="15.75" customHeight="1" x14ac:dyDescent="0.3">
      <c r="A26" s="7"/>
      <c r="B26" s="18" t="s">
        <v>290</v>
      </c>
      <c r="C26" s="18"/>
      <c r="D26" s="8">
        <f t="shared" ref="D26:O26" si="7">IFERROR(+D21-D24,0)</f>
        <v>0</v>
      </c>
      <c r="E26" s="8">
        <f t="shared" si="7"/>
        <v>0</v>
      </c>
      <c r="F26" s="8">
        <f t="shared" si="7"/>
        <v>0</v>
      </c>
      <c r="G26" s="8">
        <f t="shared" si="7"/>
        <v>0</v>
      </c>
      <c r="H26" s="8">
        <f t="shared" si="7"/>
        <v>0</v>
      </c>
      <c r="I26" s="8">
        <f t="shared" si="7"/>
        <v>0</v>
      </c>
      <c r="J26" s="8">
        <f t="shared" si="7"/>
        <v>0</v>
      </c>
      <c r="K26" s="8">
        <f t="shared" si="7"/>
        <v>0</v>
      </c>
      <c r="L26" s="8">
        <f t="shared" si="7"/>
        <v>0</v>
      </c>
      <c r="M26" s="8">
        <f t="shared" si="7"/>
        <v>0</v>
      </c>
      <c r="N26" s="8">
        <f t="shared" si="7"/>
        <v>0</v>
      </c>
      <c r="O26" s="8">
        <f t="shared" si="7"/>
        <v>0</v>
      </c>
      <c r="Q26" s="8">
        <f>IFERROR(+Q21-Q24,0)</f>
        <v>0</v>
      </c>
    </row>
    <row r="27" spans="1:17" ht="15.75" customHeight="1" x14ac:dyDescent="0.3">
      <c r="A27" s="6"/>
      <c r="B27" s="6"/>
      <c r="C27" s="6"/>
      <c r="D27" s="5">
        <f t="shared" ref="D27:O27" si="8">IFERROR(D26/D10,0)</f>
        <v>0</v>
      </c>
      <c r="E27" s="5">
        <f t="shared" si="8"/>
        <v>0</v>
      </c>
      <c r="F27" s="5">
        <f t="shared" si="8"/>
        <v>0</v>
      </c>
      <c r="G27" s="5">
        <f t="shared" si="8"/>
        <v>0</v>
      </c>
      <c r="H27" s="5">
        <f t="shared" si="8"/>
        <v>0</v>
      </c>
      <c r="I27" s="5">
        <f t="shared" si="8"/>
        <v>0</v>
      </c>
      <c r="J27" s="5">
        <f t="shared" si="8"/>
        <v>0</v>
      </c>
      <c r="K27" s="5">
        <f t="shared" si="8"/>
        <v>0</v>
      </c>
      <c r="L27" s="5">
        <f t="shared" si="8"/>
        <v>0</v>
      </c>
      <c r="M27" s="5">
        <f t="shared" si="8"/>
        <v>0</v>
      </c>
      <c r="N27" s="5">
        <f t="shared" si="8"/>
        <v>0</v>
      </c>
      <c r="O27" s="5">
        <f t="shared" si="8"/>
        <v>0</v>
      </c>
      <c r="P27" s="19"/>
      <c r="Q27" s="5">
        <f>IFERROR(Q26/Q10,0)</f>
        <v>0</v>
      </c>
    </row>
    <row r="28" spans="1:17" ht="15" customHeight="1" x14ac:dyDescent="0.3">
      <c r="A28" s="6"/>
      <c r="B28" s="6"/>
      <c r="C28" s="6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Q28" s="4"/>
    </row>
    <row r="29" spans="1:17" s="37" customFormat="1" ht="15" customHeight="1" x14ac:dyDescent="0.3">
      <c r="A29" s="26"/>
      <c r="B29" s="7" t="s">
        <v>291</v>
      </c>
      <c r="C29" s="7"/>
      <c r="D29" s="4">
        <f>--18122.3</f>
        <v>18122.3</v>
      </c>
      <c r="E29" s="4">
        <f>--134736.5</f>
        <v>134736.5</v>
      </c>
      <c r="F29" s="4">
        <f>-372468.37</f>
        <v>-372468.37</v>
      </c>
      <c r="G29" s="4">
        <f>--337591.35</f>
        <v>337591.35</v>
      </c>
      <c r="H29" s="4">
        <f>-342698.96</f>
        <v>-342698.96</v>
      </c>
      <c r="I29" s="4">
        <f>--139580.48</f>
        <v>139580.48000000001</v>
      </c>
      <c r="J29" s="4">
        <f>-529057.18</f>
        <v>-529057.18000000005</v>
      </c>
      <c r="K29" s="4">
        <f>-302139.84</f>
        <v>-302139.84000000003</v>
      </c>
      <c r="L29" s="4">
        <f>-38582.65</f>
        <v>-38582.65</v>
      </c>
      <c r="M29" s="4">
        <f>-631914.9</f>
        <v>-631914.9</v>
      </c>
      <c r="N29" s="4">
        <f>--15000</f>
        <v>15000</v>
      </c>
      <c r="O29" s="4">
        <f>--15000</f>
        <v>15000</v>
      </c>
      <c r="Q29" s="3">
        <f>SUM(OSRRefD33_0x)+IFERROR(SUM(OSRRefE33_0x),0)</f>
        <v>-1556831.2700000003</v>
      </c>
    </row>
    <row r="30" spans="1:17" s="37" customFormat="1" ht="15" customHeight="1" x14ac:dyDescent="0.3">
      <c r="A30" s="26"/>
      <c r="B30" s="7" t="s">
        <v>292</v>
      </c>
      <c r="C30" s="7"/>
      <c r="D30" s="4">
        <f>--10182.42</f>
        <v>10182.42</v>
      </c>
      <c r="E30" s="4">
        <f>--12034.07</f>
        <v>12034.07</v>
      </c>
      <c r="F30" s="4">
        <f>--15112.29</f>
        <v>15112.29</v>
      </c>
      <c r="G30" s="4">
        <f>--10527.25</f>
        <v>10527.25</v>
      </c>
      <c r="H30" s="4">
        <f>--9933.84</f>
        <v>9933.84</v>
      </c>
      <c r="I30" s="4">
        <f>--127617.83</f>
        <v>127617.83</v>
      </c>
      <c r="J30" s="4">
        <f>--2124202.74</f>
        <v>2124202.7400000002</v>
      </c>
      <c r="K30" s="4">
        <f>--9329.2</f>
        <v>9329.2000000000007</v>
      </c>
      <c r="L30" s="4">
        <f>--14325.83</f>
        <v>14325.83</v>
      </c>
      <c r="M30" s="4">
        <f>--9521.98</f>
        <v>9521.98</v>
      </c>
      <c r="N30" s="4">
        <f>--15000</f>
        <v>15000</v>
      </c>
      <c r="O30" s="4">
        <f>--20000</f>
        <v>20000</v>
      </c>
      <c r="Q30" s="3">
        <f>SUM(OSRRefD34_0x)+IFERROR(SUM(OSRRefE34_0x),0)</f>
        <v>2377787.4500000007</v>
      </c>
    </row>
    <row r="31" spans="1:17" ht="15" customHeight="1" x14ac:dyDescent="0.3">
      <c r="A31" s="6"/>
      <c r="B31" s="6"/>
      <c r="C31" s="6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Q31" s="4"/>
    </row>
    <row r="32" spans="1:17" s="37" customFormat="1" ht="15.75" customHeight="1" x14ac:dyDescent="0.3">
      <c r="A32" s="7"/>
      <c r="B32" s="18" t="s">
        <v>293</v>
      </c>
      <c r="C32" s="18"/>
      <c r="D32" s="8">
        <f t="shared" ref="D32:O32" si="9">IFERROR(SUM(D26:D31),0)</f>
        <v>28304.720000000001</v>
      </c>
      <c r="E32" s="8">
        <f t="shared" si="9"/>
        <v>146770.57</v>
      </c>
      <c r="F32" s="8">
        <f t="shared" si="9"/>
        <v>-357356.08</v>
      </c>
      <c r="G32" s="8">
        <f t="shared" si="9"/>
        <v>348118.6</v>
      </c>
      <c r="H32" s="8">
        <f t="shared" si="9"/>
        <v>-332765.12</v>
      </c>
      <c r="I32" s="8">
        <f t="shared" si="9"/>
        <v>267198.31</v>
      </c>
      <c r="J32" s="8">
        <f t="shared" si="9"/>
        <v>1595145.56</v>
      </c>
      <c r="K32" s="8">
        <f t="shared" si="9"/>
        <v>-292810.64</v>
      </c>
      <c r="L32" s="8">
        <f t="shared" si="9"/>
        <v>-24256.82</v>
      </c>
      <c r="M32" s="8">
        <f t="shared" si="9"/>
        <v>-622392.92000000004</v>
      </c>
      <c r="N32" s="8">
        <f t="shared" si="9"/>
        <v>30000</v>
      </c>
      <c r="O32" s="8">
        <f t="shared" si="9"/>
        <v>35000</v>
      </c>
      <c r="Q32" s="8">
        <f>IFERROR(SUM(Q26:Q31),0)</f>
        <v>820956.1800000004</v>
      </c>
    </row>
    <row r="33" spans="1:17" ht="15.75" customHeight="1" x14ac:dyDescent="0.3">
      <c r="A33" s="6"/>
      <c r="C33" s="6"/>
      <c r="D33" s="5">
        <f t="shared" ref="D33:O33" si="10">IFERROR(D32/D10,0)</f>
        <v>0</v>
      </c>
      <c r="E33" s="5">
        <f t="shared" si="10"/>
        <v>0</v>
      </c>
      <c r="F33" s="5">
        <f t="shared" si="10"/>
        <v>0</v>
      </c>
      <c r="G33" s="5">
        <f t="shared" si="10"/>
        <v>0</v>
      </c>
      <c r="H33" s="5">
        <f t="shared" si="10"/>
        <v>0</v>
      </c>
      <c r="I33" s="5">
        <f t="shared" si="10"/>
        <v>0</v>
      </c>
      <c r="J33" s="5">
        <f t="shared" si="10"/>
        <v>0</v>
      </c>
      <c r="K33" s="5">
        <f t="shared" si="10"/>
        <v>0</v>
      </c>
      <c r="L33" s="5">
        <f t="shared" si="10"/>
        <v>0</v>
      </c>
      <c r="M33" s="5">
        <f t="shared" si="10"/>
        <v>0</v>
      </c>
      <c r="N33" s="5">
        <f t="shared" si="10"/>
        <v>0</v>
      </c>
      <c r="O33" s="5">
        <f t="shared" si="10"/>
        <v>0</v>
      </c>
      <c r="P33" s="19"/>
      <c r="Q33" s="5">
        <f>IFERROR(Q32/Q10,0)</f>
        <v>0</v>
      </c>
    </row>
    <row r="34" spans="1:17" ht="15" customHeight="1" x14ac:dyDescent="0.3">
      <c r="A34" s="6"/>
      <c r="B34" s="33">
        <v>44694.892891863426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Q34" s="14"/>
    </row>
    <row r="35" spans="1:17" ht="15" customHeight="1" x14ac:dyDescent="0.3">
      <c r="A35" s="6"/>
      <c r="B35" s="31" t="s">
        <v>294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Q35" s="14"/>
    </row>
    <row r="36" spans="1:17" ht="15" customHeight="1" x14ac:dyDescent="0.3">
      <c r="A36" s="6"/>
      <c r="B36" s="27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Q36" s="14"/>
    </row>
    <row r="37" spans="1:17" ht="15" customHeight="1" x14ac:dyDescent="0.3"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Q37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3EFC8A-A2E3-E4BE-AC49-A6C7316494CC}">
  <sheetPr>
    <tabColor rgb="FF00B0F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277</v>
      </c>
    </row>
    <row r="4" spans="1:8" ht="15" customHeight="1" x14ac:dyDescent="0.3">
      <c r="B4" s="30" t="s">
        <v>278</v>
      </c>
    </row>
    <row r="5" spans="1:8" ht="15" customHeight="1" x14ac:dyDescent="0.3">
      <c r="A5" s="16"/>
      <c r="B5" s="16" t="s">
        <v>279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281</v>
      </c>
    </row>
    <row r="8" spans="1:8" ht="15" customHeight="1" x14ac:dyDescent="0.3">
      <c r="A8" s="7"/>
      <c r="B8" s="28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F12" s="25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21" t="e">
        <f ca="1">_xll.ONESTOP.REPORTPLAYER.OSRFUNCTIONS.OSRGET("GL_F_Trans","Value1")</f>
        <v>#NAME?</v>
      </c>
      <c r="E21" s="21" t="e">
        <f ca="1">_xll.ONESTOP.REPORTPLAYER.OSRFUNCTIONS.OSRGET("GL_F_Trans","Value1")</f>
        <v>#NAME?</v>
      </c>
      <c r="F21" s="35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F23" s="25"/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F28" s="25"/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s="38" customFormat="1" ht="15.75" customHeight="1" x14ac:dyDescent="0.3">
      <c r="B31" s="17"/>
      <c r="C31" s="17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F33" s="25"/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F34" s="25"/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D881C-37F7-ACE3-6FB1-E169A0F0B5C9}">
  <sheetPr>
    <tabColor rgb="FFFFC000"/>
    <outlinePr summaryBelow="0" summaryRight="0"/>
    <pageSetUpPr fitToPage="1"/>
  </sheetPr>
  <dimension ref="A2:R108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">
        <v>299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9">
        <f t="shared" ref="D14:O14" si="2">IFERROR(+D10-D12,0)</f>
        <v>0</v>
      </c>
      <c r="E14" s="9">
        <f t="shared" si="2"/>
        <v>0</v>
      </c>
      <c r="F14" s="9">
        <f t="shared" si="2"/>
        <v>0</v>
      </c>
      <c r="G14" s="9">
        <f t="shared" si="2"/>
        <v>0</v>
      </c>
      <c r="H14" s="9">
        <f t="shared" si="2"/>
        <v>0</v>
      </c>
      <c r="I14" s="9">
        <f t="shared" si="2"/>
        <v>0</v>
      </c>
      <c r="J14" s="9">
        <f t="shared" si="2"/>
        <v>0</v>
      </c>
      <c r="K14" s="9">
        <f t="shared" si="2"/>
        <v>0</v>
      </c>
      <c r="L14" s="9">
        <f t="shared" si="2"/>
        <v>0</v>
      </c>
      <c r="M14" s="9">
        <f t="shared" si="2"/>
        <v>0</v>
      </c>
      <c r="N14" s="9">
        <f t="shared" si="2"/>
        <v>0</v>
      </c>
      <c r="O14" s="9">
        <f t="shared" si="2"/>
        <v>0</v>
      </c>
      <c r="Q14" s="9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2" cm="1">
        <f t="array" ref="D17">SUM(OSRRefD20x_0)</f>
        <v>232914.85999999996</v>
      </c>
      <c r="E17" s="12" cm="1">
        <f t="array" ref="E17">SUM(OSRRefD20x_1)</f>
        <v>214290.75</v>
      </c>
      <c r="F17" s="12" cm="1">
        <f t="array" ref="F17">SUM(OSRRefD20x_2)</f>
        <v>214039.08999999997</v>
      </c>
      <c r="G17" s="12" cm="1">
        <f t="array" ref="G17">SUM(OSRRefD20x_3)</f>
        <v>248611.91999999995</v>
      </c>
      <c r="H17" s="12" cm="1">
        <f t="array" ref="H17">SUM(OSRRefD20x_4)</f>
        <v>242860.23000000004</v>
      </c>
      <c r="I17" s="12" cm="1">
        <f t="array" ref="I17">SUM(OSRRefD20x_5)</f>
        <v>216572.44999999998</v>
      </c>
      <c r="J17" s="12" cm="1">
        <f t="array" ref="J17">SUM(OSRRefD20x_6)</f>
        <v>346287.75</v>
      </c>
      <c r="K17" s="12" cm="1">
        <f t="array" ref="K17">SUM(OSRRefD20x_7)</f>
        <v>237459.55000000002</v>
      </c>
      <c r="L17" s="12" cm="1">
        <f t="array" ref="L17">SUM(OSRRefD20x_8)</f>
        <v>256640.53999999998</v>
      </c>
      <c r="M17" s="12" cm="1">
        <f t="array" ref="M17">SUM(OSRRefD20x_9)</f>
        <v>266682.48</v>
      </c>
      <c r="N17" s="12" cm="1">
        <f t="array" ref="N17">SUM(OSRRefE20x_0)</f>
        <v>230228.17971184</v>
      </c>
      <c r="O17" s="12" cm="1">
        <f t="array" ref="O17">SUM(OSRRefE20x_1)</f>
        <v>-215603.10673616</v>
      </c>
      <c r="Q17" s="12" cm="1">
        <f t="array" ref="Q17">SUM(OSRRefG20x)</f>
        <v>2490984.6929756794</v>
      </c>
    </row>
    <row r="18" spans="1:17" s="42" customFormat="1" ht="15" customHeight="1" collapsed="1" x14ac:dyDescent="0.3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2">
        <f>SUM(OSRRefD21_0x_0)</f>
        <v>78201.42</v>
      </c>
      <c r="E18" s="2">
        <f>SUM(OSRRefD21_0x_1)</f>
        <v>79002.249999999985</v>
      </c>
      <c r="F18" s="2">
        <f>SUM(OSRRefD21_0x_2)</f>
        <v>79571.759999999995</v>
      </c>
      <c r="G18" s="2">
        <f>SUM(OSRRefD21_0x_3)</f>
        <v>92044.4</v>
      </c>
      <c r="H18" s="2">
        <f>SUM(OSRRefD21_0x_4)</f>
        <v>79537.320000000007</v>
      </c>
      <c r="I18" s="2">
        <f>SUM(OSRRefD21_0x_5)</f>
        <v>83904.01</v>
      </c>
      <c r="J18" s="2">
        <f>SUM(OSRRefD21_0x_6)</f>
        <v>125390.64</v>
      </c>
      <c r="K18" s="2">
        <f>SUM(OSRRefD21_0x_7)</f>
        <v>78263.73000000001</v>
      </c>
      <c r="L18" s="2">
        <f>SUM(OSRRefD21_0x_8)</f>
        <v>78300.220000000016</v>
      </c>
      <c r="M18" s="2">
        <f>SUM(OSRRefD21_0x_9)</f>
        <v>99249.39</v>
      </c>
      <c r="N18" s="2">
        <f>SUM(OSRRefE21_0x_0)</f>
        <v>82580.527797993898</v>
      </c>
      <c r="O18" s="2">
        <f>SUM(OSRRefE21_0x_1)</f>
        <v>-352331.75865000609</v>
      </c>
      <c r="Q18" s="3">
        <f>SUM(OSRRefD20_0x)+IFERROR(SUM(OSRRefE20_0x),0)</f>
        <v>603713.90914798772</v>
      </c>
    </row>
    <row r="19" spans="1:17" s="42" customFormat="1" ht="15" hidden="1" customHeight="1" outlineLevel="1" x14ac:dyDescent="0.3">
      <c r="A19" s="34"/>
      <c r="B19" s="11" t="str">
        <f>CONCATENATE("          ","6111"," - ","F.I.C.A.")</f>
        <v xml:space="preserve">          6111 - F.I.C.A.</v>
      </c>
      <c r="C19" s="15"/>
      <c r="D19" s="3">
        <v>7407.51</v>
      </c>
      <c r="E19" s="3">
        <v>7400.56</v>
      </c>
      <c r="F19" s="3">
        <v>7256.42</v>
      </c>
      <c r="G19" s="3">
        <v>10280.790000000001</v>
      </c>
      <c r="H19" s="3">
        <v>6697.1</v>
      </c>
      <c r="I19" s="3">
        <v>6803.77</v>
      </c>
      <c r="J19" s="3">
        <v>11286.93</v>
      </c>
      <c r="K19" s="3">
        <v>7935.49</v>
      </c>
      <c r="L19" s="3">
        <v>8137.27</v>
      </c>
      <c r="M19" s="3">
        <v>12212.93</v>
      </c>
      <c r="N19" s="3">
        <v>7276.0362025476898</v>
      </c>
      <c r="O19" s="3">
        <v>7367.7497545476899</v>
      </c>
      <c r="P19" s="10"/>
      <c r="Q19" s="3">
        <f>SUM(OSRRefD21_0_0x)+IFERROR(SUM(OSRRefE21_0_0x),0)</f>
        <v>100062.55595709538</v>
      </c>
    </row>
    <row r="20" spans="1:17" s="42" customFormat="1" ht="15" hidden="1" customHeight="1" outlineLevel="1" x14ac:dyDescent="0.3">
      <c r="A20" s="34"/>
      <c r="B20" s="11" t="str">
        <f>CONCATENATE("          ","6112"," - ","COMPENSATION INSURANCE")</f>
        <v xml:space="preserve">          6112 - COMPENSATION INSURANCE</v>
      </c>
      <c r="C20" s="15"/>
      <c r="D20" s="3">
        <v>1424.37</v>
      </c>
      <c r="E20" s="3">
        <v>1432.38</v>
      </c>
      <c r="F20" s="3">
        <v>1428.76</v>
      </c>
      <c r="G20" s="3">
        <v>2173.87</v>
      </c>
      <c r="H20" s="3">
        <v>1492.82</v>
      </c>
      <c r="I20" s="3">
        <v>1492.1</v>
      </c>
      <c r="J20" s="3">
        <v>2089.08</v>
      </c>
      <c r="K20" s="3">
        <v>1526.42</v>
      </c>
      <c r="L20" s="3">
        <v>1564.25</v>
      </c>
      <c r="M20" s="3">
        <v>1562.34</v>
      </c>
      <c r="N20" s="3">
        <v>606.60397095384599</v>
      </c>
      <c r="O20" s="3">
        <v>606.60397095384599</v>
      </c>
      <c r="P20" s="10"/>
      <c r="Q20" s="3">
        <f>SUM(OSRRefD21_0_1x)+IFERROR(SUM(OSRRefE21_0_1x),0)</f>
        <v>17399.59794190769</v>
      </c>
    </row>
    <row r="21" spans="1:17" s="42" customFormat="1" ht="15" hidden="1" customHeight="1" outlineLevel="1" x14ac:dyDescent="0.3">
      <c r="A21" s="34"/>
      <c r="B21" s="11" t="str">
        <f>CONCATENATE("          ","6113"," - ","GROUP INSURANCE")</f>
        <v xml:space="preserve">          6113 - GROUP INSURANCE</v>
      </c>
      <c r="C21" s="15"/>
      <c r="D21" s="3">
        <v>22410.55</v>
      </c>
      <c r="E21" s="3">
        <v>22410.55</v>
      </c>
      <c r="F21" s="3">
        <v>22743.99</v>
      </c>
      <c r="G21" s="3">
        <v>22410.55</v>
      </c>
      <c r="H21" s="3">
        <v>22410.55</v>
      </c>
      <c r="I21" s="3">
        <v>22410.55</v>
      </c>
      <c r="J21" s="3">
        <v>20065.64</v>
      </c>
      <c r="K21" s="3">
        <v>20065.64</v>
      </c>
      <c r="L21" s="3">
        <v>20065.64</v>
      </c>
      <c r="M21" s="3">
        <v>20065.64</v>
      </c>
      <c r="N21" s="3">
        <v>22944.538461538501</v>
      </c>
      <c r="O21" s="3">
        <v>22944.538461538501</v>
      </c>
      <c r="P21" s="10"/>
      <c r="Q21" s="3">
        <f>SUM(OSRRefD21_0_2x)+IFERROR(SUM(OSRRefE21_0_2x),0)</f>
        <v>260948.37692307704</v>
      </c>
    </row>
    <row r="22" spans="1:17" s="42" customFormat="1" ht="15" hidden="1" customHeight="1" outlineLevel="1" x14ac:dyDescent="0.3">
      <c r="A22" s="34"/>
      <c r="B22" s="11" t="str">
        <f>CONCATENATE("          ","6114"," - ","STATE UNEMPLOYMENT INSURANCE")</f>
        <v xml:space="preserve">          6114 - STATE UNEMPLOYMENT INSURANCE</v>
      </c>
      <c r="C22" s="15"/>
      <c r="D22" s="3">
        <v>251.47</v>
      </c>
      <c r="E22" s="3">
        <v>250.67</v>
      </c>
      <c r="F22" s="3">
        <v>251.96</v>
      </c>
      <c r="G22" s="3">
        <v>383.7</v>
      </c>
      <c r="H22" s="3">
        <v>263.44</v>
      </c>
      <c r="I22" s="3">
        <v>263.31</v>
      </c>
      <c r="J22" s="3">
        <v>382.98</v>
      </c>
      <c r="K22" s="3">
        <v>269.38</v>
      </c>
      <c r="L22" s="3">
        <v>277.2</v>
      </c>
      <c r="M22" s="3">
        <v>276.93</v>
      </c>
      <c r="N22" s="3">
        <v>220.14867064615399</v>
      </c>
      <c r="O22" s="3">
        <v>220.14867064615399</v>
      </c>
      <c r="P22" s="10"/>
      <c r="Q22" s="3">
        <f>SUM(OSRRefD21_0_3x)+IFERROR(SUM(OSRRefE21_0_3x),0)</f>
        <v>3311.3373412923074</v>
      </c>
    </row>
    <row r="23" spans="1:17" s="42" customFormat="1" ht="15" hidden="1" customHeight="1" outlineLevel="1" x14ac:dyDescent="0.3">
      <c r="A23" s="34"/>
      <c r="B23" s="11" t="str">
        <f>CONCATENATE("          ","6115"," - ","P.E.R.S.")</f>
        <v xml:space="preserve">          6115 - P.E.R.S.</v>
      </c>
      <c r="C23" s="15"/>
      <c r="D23" s="3">
        <v>7497.95</v>
      </c>
      <c r="E23" s="3">
        <v>7497.95</v>
      </c>
      <c r="F23" s="3">
        <v>7497.95</v>
      </c>
      <c r="G23" s="3">
        <v>11246.93</v>
      </c>
      <c r="H23" s="3">
        <v>7738.29</v>
      </c>
      <c r="I23" s="3">
        <v>7738.29</v>
      </c>
      <c r="J23" s="3">
        <v>8103.29</v>
      </c>
      <c r="K23" s="3">
        <v>8103.29</v>
      </c>
      <c r="L23" s="3">
        <v>8060.71</v>
      </c>
      <c r="M23" s="3">
        <v>11170.36</v>
      </c>
      <c r="N23" s="3">
        <v>5940.8879384615402</v>
      </c>
      <c r="O23" s="3">
        <v>5940.8879384615402</v>
      </c>
      <c r="P23" s="10"/>
      <c r="Q23" s="3">
        <f>SUM(OSRRefD21_0_4x)+IFERROR(SUM(OSRRefE21_0_4x),0)</f>
        <v>96536.785876923095</v>
      </c>
    </row>
    <row r="24" spans="1:17" s="42" customFormat="1" ht="15" hidden="1" customHeight="1" outlineLevel="1" x14ac:dyDescent="0.3">
      <c r="A24" s="34"/>
      <c r="B24" s="11" t="str">
        <f>CONCATENATE("          ","6116"," - ","EDUCATIONAL BENEFITS")</f>
        <v xml:space="preserve">          6116 - EDUCATIONAL BENEFITS</v>
      </c>
      <c r="C24" s="15"/>
      <c r="D24" s="3"/>
      <c r="E24" s="3"/>
      <c r="F24" s="3"/>
      <c r="G24" s="3"/>
      <c r="H24" s="3"/>
      <c r="I24" s="3">
        <v>2636</v>
      </c>
      <c r="J24" s="3"/>
      <c r="K24" s="3"/>
      <c r="L24" s="3"/>
      <c r="M24" s="3">
        <v>2219</v>
      </c>
      <c r="N24" s="3">
        <v>417</v>
      </c>
      <c r="O24" s="3">
        <v>413</v>
      </c>
      <c r="P24" s="10"/>
      <c r="Q24" s="3">
        <f>SUM(OSRRefD21_0_5x)+IFERROR(SUM(OSRRefE21_0_5x),0)</f>
        <v>5685</v>
      </c>
    </row>
    <row r="25" spans="1:17" s="42" customFormat="1" ht="15" hidden="1" customHeight="1" outlineLevel="1" x14ac:dyDescent="0.3">
      <c r="A25" s="34"/>
      <c r="B25" s="11" t="str">
        <f>CONCATENATE("          ","6117"," - ","RETIREMENT STAFF HOURLY")</f>
        <v xml:space="preserve">          6117 - RETIREMENT STAFF HOURLY</v>
      </c>
      <c r="C25" s="15"/>
      <c r="D25" s="3">
        <v>603.48</v>
      </c>
      <c r="E25" s="3">
        <v>939.2</v>
      </c>
      <c r="F25" s="3">
        <v>307.75</v>
      </c>
      <c r="G25" s="3">
        <v>631.9</v>
      </c>
      <c r="H25" s="3">
        <v>644.66999999999996</v>
      </c>
      <c r="I25" s="3">
        <v>654.36</v>
      </c>
      <c r="J25" s="3">
        <v>4180.92</v>
      </c>
      <c r="K25" s="3">
        <v>680.31</v>
      </c>
      <c r="L25" s="3">
        <v>682.41</v>
      </c>
      <c r="M25" s="3">
        <v>7512.05</v>
      </c>
      <c r="N25" s="3"/>
      <c r="O25" s="3"/>
      <c r="P25" s="10"/>
      <c r="Q25" s="3">
        <f>SUM(OSRRefD21_0_6x)+IFERROR(SUM(OSRRefE21_0_6x),0)</f>
        <v>16837.05</v>
      </c>
    </row>
    <row r="26" spans="1:17" s="42" customFormat="1" ht="15" hidden="1" customHeight="1" outlineLevel="1" x14ac:dyDescent="0.3">
      <c r="A26" s="34"/>
      <c r="B26" s="11" t="str">
        <f>CONCATENATE("          ","6118"," - ","VACATION")</f>
        <v xml:space="preserve">          6118 - VACATION</v>
      </c>
      <c r="C26" s="15"/>
      <c r="D26" s="3">
        <v>6366.21</v>
      </c>
      <c r="E26" s="3">
        <v>6468.2</v>
      </c>
      <c r="F26" s="3">
        <v>6193.49</v>
      </c>
      <c r="G26" s="3">
        <v>9086.93</v>
      </c>
      <c r="H26" s="3">
        <v>6911.02</v>
      </c>
      <c r="I26" s="3">
        <v>7317.15</v>
      </c>
      <c r="J26" s="3">
        <v>19764.060000000001</v>
      </c>
      <c r="K26" s="3">
        <v>6621.42</v>
      </c>
      <c r="L26" s="3">
        <v>6292.04</v>
      </c>
      <c r="M26" s="3">
        <v>10154.620000000001</v>
      </c>
      <c r="N26" s="3">
        <v>4165.0268553846199</v>
      </c>
      <c r="O26" s="3">
        <v>4165.0268553846199</v>
      </c>
      <c r="P26" s="10"/>
      <c r="Q26" s="3">
        <f>SUM(OSRRefD21_0_7x)+IFERROR(SUM(OSRRefE21_0_7x),0)</f>
        <v>93505.193710769236</v>
      </c>
    </row>
    <row r="27" spans="1:17" s="42" customFormat="1" ht="15" hidden="1" customHeight="1" outlineLevel="1" x14ac:dyDescent="0.3">
      <c r="A27" s="34"/>
      <c r="B27" s="11" t="str">
        <f>CONCATENATE("          ","6119"," - ","SICK LEAVE")</f>
        <v xml:space="preserve">          6119 - SICK LEAVE</v>
      </c>
      <c r="C27" s="15"/>
      <c r="D27" s="3">
        <v>4256.4799999999996</v>
      </c>
      <c r="E27" s="3">
        <v>4256.4799999999996</v>
      </c>
      <c r="F27" s="3">
        <v>4256.4799999999996</v>
      </c>
      <c r="G27" s="3">
        <v>6384.72</v>
      </c>
      <c r="H27" s="3">
        <v>4401.4799999999996</v>
      </c>
      <c r="I27" s="3">
        <v>4523.7</v>
      </c>
      <c r="J27" s="3">
        <v>31760.07</v>
      </c>
      <c r="K27" s="3">
        <v>4588.54</v>
      </c>
      <c r="L27" s="3">
        <v>4588.54</v>
      </c>
      <c r="M27" s="3">
        <v>6882.81</v>
      </c>
      <c r="N27" s="3">
        <v>3610.2856984615501</v>
      </c>
      <c r="O27" s="3">
        <v>3610.2856984615501</v>
      </c>
      <c r="P27" s="10"/>
      <c r="Q27" s="3">
        <f>SUM(OSRRefD21_0_8x)+IFERROR(SUM(OSRRefE21_0_8x),0)</f>
        <v>83119.871396923103</v>
      </c>
    </row>
    <row r="28" spans="1:17" s="42" customFormat="1" ht="15" hidden="1" customHeight="1" outlineLevel="1" x14ac:dyDescent="0.3">
      <c r="A28" s="34"/>
      <c r="B28" s="11" t="str">
        <f>CONCATENATE("          ","6120"," - ","RETIREES HEALTH INSURANCE")</f>
        <v xml:space="preserve">          6120 - RETIREES HEALTH INSURANCE</v>
      </c>
      <c r="C28" s="15"/>
      <c r="D28" s="3">
        <v>27136.06</v>
      </c>
      <c r="E28" s="3">
        <v>26975.06</v>
      </c>
      <c r="F28" s="3">
        <v>28310.06</v>
      </c>
      <c r="G28" s="3">
        <v>27236.080000000002</v>
      </c>
      <c r="H28" s="3">
        <v>27384.04</v>
      </c>
      <c r="I28" s="3">
        <v>28675.06</v>
      </c>
      <c r="J28" s="3">
        <v>26491.86</v>
      </c>
      <c r="K28" s="3">
        <v>26491.86</v>
      </c>
      <c r="L28" s="3">
        <v>26491.86</v>
      </c>
      <c r="M28" s="3">
        <v>25279.919999999998</v>
      </c>
      <c r="N28" s="3">
        <v>35000</v>
      </c>
      <c r="O28" s="3">
        <v>-400000</v>
      </c>
      <c r="P28" s="10"/>
      <c r="Q28" s="3">
        <f>SUM(OSRRefD21_0_9x)+IFERROR(SUM(OSRRefE21_0_9x),0)</f>
        <v>-94528.140000000014</v>
      </c>
    </row>
    <row r="29" spans="1:17" s="42" customFormat="1" ht="15" hidden="1" customHeight="1" outlineLevel="1" x14ac:dyDescent="0.3">
      <c r="A29" s="34"/>
      <c r="B29" s="11" t="str">
        <f>CONCATENATE("          ","6156"," - ","EMPLOYEE MEALS")</f>
        <v xml:space="preserve">          6156 - EMPLOYEE MEALS</v>
      </c>
      <c r="C29" s="15"/>
      <c r="D29" s="3">
        <v>847.34</v>
      </c>
      <c r="E29" s="3">
        <v>1371.2</v>
      </c>
      <c r="F29" s="3">
        <v>1324.9</v>
      </c>
      <c r="G29" s="3">
        <v>2208.9299999999998</v>
      </c>
      <c r="H29" s="3">
        <v>1593.91</v>
      </c>
      <c r="I29" s="3">
        <v>1389.72</v>
      </c>
      <c r="J29" s="3">
        <v>1265.81</v>
      </c>
      <c r="K29" s="3">
        <v>1981.38</v>
      </c>
      <c r="L29" s="3">
        <v>2140.3000000000002</v>
      </c>
      <c r="M29" s="3">
        <v>1912.79</v>
      </c>
      <c r="N29" s="3">
        <v>2400</v>
      </c>
      <c r="O29" s="3">
        <v>2400</v>
      </c>
      <c r="P29" s="10"/>
      <c r="Q29" s="3">
        <f>SUM(OSRRefD21_0_10x)+IFERROR(SUM(OSRRefE21_0_10x),0)</f>
        <v>20836.28</v>
      </c>
    </row>
    <row r="30" spans="1:17" s="42" customFormat="1" ht="15" customHeight="1" collapsed="1" x14ac:dyDescent="0.3">
      <c r="A30" s="34"/>
      <c r="B30" s="15" t="str">
        <f>CONCATENATE("     ","*Payroll                                          ")</f>
        <v xml:space="preserve">     *Payroll                                          </v>
      </c>
      <c r="C30" s="15"/>
      <c r="D30" s="2">
        <f>SUM(OSRRefD21_1x_0)</f>
        <v>114654.69</v>
      </c>
      <c r="E30" s="2">
        <f>SUM(OSRRefD21_1x_1)</f>
        <v>88432.98</v>
      </c>
      <c r="F30" s="2">
        <f>SUM(OSRRefD21_1x_2)</f>
        <v>88046.800000000017</v>
      </c>
      <c r="G30" s="2">
        <f>SUM(OSRRefD21_1x_3)</f>
        <v>86103.92</v>
      </c>
      <c r="H30" s="2">
        <f>SUM(OSRRefD21_1x_4)</f>
        <v>90428.12</v>
      </c>
      <c r="I30" s="2">
        <f>SUM(OSRRefD21_1x_5)</f>
        <v>96856.360000000015</v>
      </c>
      <c r="J30" s="2">
        <f>SUM(OSRRefD21_1x_6)</f>
        <v>164770.16999999998</v>
      </c>
      <c r="K30" s="2">
        <f>SUM(OSRRefD21_1x_7)</f>
        <v>99296.5</v>
      </c>
      <c r="L30" s="2">
        <f>SUM(OSRRefD21_1x_8)</f>
        <v>102628.98000000001</v>
      </c>
      <c r="M30" s="2">
        <f>SUM(OSRRefD21_1x_9)</f>
        <v>115973.22</v>
      </c>
      <c r="N30" s="2">
        <f>SUM(OSRRefE21_1x_0)</f>
        <v>95939.651913846086</v>
      </c>
      <c r="O30" s="2">
        <f>SUM(OSRRefE21_1x_1)</f>
        <v>95939.651913846101</v>
      </c>
      <c r="Q30" s="3">
        <f>SUM(OSRRefD20_1x)+IFERROR(SUM(OSRRefE20_1x),0)</f>
        <v>1239071.043827692</v>
      </c>
    </row>
    <row r="31" spans="1:17" s="42" customFormat="1" ht="15" hidden="1" customHeight="1" outlineLevel="1" x14ac:dyDescent="0.3">
      <c r="A31" s="34"/>
      <c r="B31" s="11" t="str">
        <f>CONCATENATE("          ","6001"," - ","ADMINISTRATIVE SALARIES")</f>
        <v xml:space="preserve">          6001 - ADMINISTRATIVE SALARIES</v>
      </c>
      <c r="C31" s="15"/>
      <c r="D31" s="3">
        <v>29962.34</v>
      </c>
      <c r="E31" s="3">
        <v>21415.54</v>
      </c>
      <c r="F31" s="3">
        <v>20961.580000000002</v>
      </c>
      <c r="G31" s="3">
        <v>-902.6</v>
      </c>
      <c r="H31" s="3">
        <v>20464.53</v>
      </c>
      <c r="I31" s="3">
        <v>24698.68</v>
      </c>
      <c r="J31" s="3">
        <v>79300.429999999993</v>
      </c>
      <c r="K31" s="3">
        <v>26773.7</v>
      </c>
      <c r="L31" s="3">
        <v>29328.66</v>
      </c>
      <c r="M31" s="3">
        <v>32185.97</v>
      </c>
      <c r="N31" s="3">
        <v>27893.119999999999</v>
      </c>
      <c r="O31" s="3">
        <v>27893.119999999999</v>
      </c>
      <c r="P31" s="10"/>
      <c r="Q31" s="3">
        <f>SUM(OSRRefD21_1_0x)+IFERROR(SUM(OSRRefE21_1_0x),0)</f>
        <v>339975.07</v>
      </c>
    </row>
    <row r="32" spans="1:17" s="42" customFormat="1" ht="15" hidden="1" customHeight="1" outlineLevel="1" x14ac:dyDescent="0.3">
      <c r="A32" s="34"/>
      <c r="B32" s="11" t="str">
        <f>CONCATENATE("          ","6002"," - ","STAFF SALARIES")</f>
        <v xml:space="preserve">          6002 - STAFF SALARIES</v>
      </c>
      <c r="C32" s="15"/>
      <c r="D32" s="3">
        <v>57319.14</v>
      </c>
      <c r="E32" s="3">
        <v>46219.02</v>
      </c>
      <c r="F32" s="3">
        <v>44941.71</v>
      </c>
      <c r="G32" s="3">
        <v>58316.31</v>
      </c>
      <c r="H32" s="3">
        <v>45658.44</v>
      </c>
      <c r="I32" s="3">
        <v>47735.14</v>
      </c>
      <c r="J32" s="3">
        <v>57751.360000000001</v>
      </c>
      <c r="K32" s="3">
        <v>49654.55</v>
      </c>
      <c r="L32" s="3">
        <v>48032.53</v>
      </c>
      <c r="M32" s="3">
        <v>54657.599999999999</v>
      </c>
      <c r="N32" s="3">
        <v>35167.686153846102</v>
      </c>
      <c r="O32" s="3">
        <v>35167.686153846102</v>
      </c>
      <c r="P32" s="10"/>
      <c r="Q32" s="3">
        <f>SUM(OSRRefD21_1_1x)+IFERROR(SUM(OSRRefE21_1_1x),0)</f>
        <v>580621.17230769212</v>
      </c>
    </row>
    <row r="33" spans="1:17" s="42" customFormat="1" ht="15" hidden="1" customHeight="1" outlineLevel="1" x14ac:dyDescent="0.3">
      <c r="A33" s="34"/>
      <c r="B33" s="11" t="str">
        <f>CONCATENATE("          ","6003"," - ","STAFF HOURLY-9 MONTH")</f>
        <v xml:space="preserve">          6003 - STAFF HOURLY-9 MONTH</v>
      </c>
      <c r="C33" s="15"/>
      <c r="D33" s="3"/>
      <c r="E33" s="3"/>
      <c r="F33" s="3"/>
      <c r="G33" s="3"/>
      <c r="H33" s="3"/>
      <c r="I33" s="3"/>
      <c r="J33" s="3"/>
      <c r="K33" s="3"/>
      <c r="L33" s="3"/>
      <c r="M33" s="3"/>
      <c r="N33" s="3">
        <v>0</v>
      </c>
      <c r="O33" s="3">
        <v>0</v>
      </c>
      <c r="P33" s="10"/>
      <c r="Q33" s="3">
        <f>SUM(OSRRefD21_1_2x)+IFERROR(SUM(OSRRefE21_1_2x),0)</f>
        <v>0</v>
      </c>
    </row>
    <row r="34" spans="1:17" s="42" customFormat="1" ht="15" hidden="1" customHeight="1" outlineLevel="1" x14ac:dyDescent="0.3">
      <c r="A34" s="34"/>
      <c r="B34" s="11" t="str">
        <f>CONCATENATE("          ","6004"," - ","STAFF HOURLY")</f>
        <v xml:space="preserve">          6004 - STAFF HOURLY</v>
      </c>
      <c r="C34" s="15"/>
      <c r="D34" s="3">
        <v>18080.89</v>
      </c>
      <c r="E34" s="3">
        <v>18220.169999999998</v>
      </c>
      <c r="F34" s="3">
        <v>18216.78</v>
      </c>
      <c r="G34" s="3">
        <v>27366.63</v>
      </c>
      <c r="H34" s="3">
        <v>19753.900000000001</v>
      </c>
      <c r="I34" s="3">
        <v>19331.689999999999</v>
      </c>
      <c r="J34" s="3">
        <v>20420.13</v>
      </c>
      <c r="K34" s="3">
        <v>24692.99</v>
      </c>
      <c r="L34" s="3">
        <v>14716.39</v>
      </c>
      <c r="M34" s="3">
        <v>27188.59</v>
      </c>
      <c r="N34" s="3">
        <v>24042.045760000001</v>
      </c>
      <c r="O34" s="3">
        <v>24042.045760000001</v>
      </c>
      <c r="P34" s="10"/>
      <c r="Q34" s="3">
        <f>SUM(OSRRefD21_1_3x)+IFERROR(SUM(OSRRefE21_1_3x),0)</f>
        <v>256072.25151999999</v>
      </c>
    </row>
    <row r="35" spans="1:17" s="42" customFormat="1" ht="15" hidden="1" customHeight="1" outlineLevel="1" x14ac:dyDescent="0.3">
      <c r="A35" s="34"/>
      <c r="B35" s="11" t="str">
        <f>CONCATENATE("          ","6005"," - ","TEMPORARY WAGES-HOURLY")</f>
        <v xml:space="preserve">          6005 - TEMPORARY WAGES-HOURLY</v>
      </c>
      <c r="C35" s="15"/>
      <c r="D35" s="3">
        <v>2027</v>
      </c>
      <c r="E35" s="3">
        <v>974.25</v>
      </c>
      <c r="F35" s="3">
        <v>1613.25</v>
      </c>
      <c r="G35" s="3">
        <v>3267.25</v>
      </c>
      <c r="H35" s="3">
        <v>2025.39</v>
      </c>
      <c r="I35" s="3">
        <v>2315.02</v>
      </c>
      <c r="J35" s="3">
        <v>2005.25</v>
      </c>
      <c r="K35" s="3">
        <v>3072.14</v>
      </c>
      <c r="L35" s="3">
        <v>3917.32</v>
      </c>
      <c r="M35" s="3">
        <v>7701.02</v>
      </c>
      <c r="N35" s="3">
        <v>3880</v>
      </c>
      <c r="O35" s="3">
        <v>3880</v>
      </c>
      <c r="P35" s="10"/>
      <c r="Q35" s="3">
        <f>SUM(OSRRefD21_1_4x)+IFERROR(SUM(OSRRefE21_1_4x),0)</f>
        <v>36677.89</v>
      </c>
    </row>
    <row r="36" spans="1:17" s="42" customFormat="1" ht="15" hidden="1" customHeight="1" outlineLevel="1" x14ac:dyDescent="0.3">
      <c r="A36" s="34"/>
      <c r="B36" s="11" t="str">
        <f>CONCATENATE("          ","6006"," - ","TEMPORARY PART TIME")</f>
        <v xml:space="preserve">          6006 - TEMPORARY PART TIME</v>
      </c>
      <c r="C36" s="15"/>
      <c r="D36" s="3"/>
      <c r="E36" s="3"/>
      <c r="F36" s="3"/>
      <c r="G36" s="3"/>
      <c r="H36" s="3"/>
      <c r="I36" s="3"/>
      <c r="J36" s="3"/>
      <c r="K36" s="3"/>
      <c r="L36" s="3"/>
      <c r="M36" s="3"/>
      <c r="N36" s="3">
        <v>0</v>
      </c>
      <c r="O36" s="3">
        <v>0</v>
      </c>
      <c r="P36" s="10"/>
      <c r="Q36" s="3">
        <f>SUM(OSRRefD21_1_5x)+IFERROR(SUM(OSRRefE21_1_5x),0)</f>
        <v>0</v>
      </c>
    </row>
    <row r="37" spans="1:17" s="42" customFormat="1" ht="15" hidden="1" customHeight="1" outlineLevel="1" x14ac:dyDescent="0.3">
      <c r="A37" s="34"/>
      <c r="B37" s="11" t="str">
        <f>CONCATENATE("          ","6007"," - ","STUDENT HOURLY")</f>
        <v xml:space="preserve">          6007 - STUDENT HOURLY</v>
      </c>
      <c r="C37" s="15"/>
      <c r="D37" s="3">
        <v>5494</v>
      </c>
      <c r="E37" s="3">
        <v>-1727</v>
      </c>
      <c r="F37" s="3">
        <v>1440.96</v>
      </c>
      <c r="G37" s="3">
        <v>-3177.08</v>
      </c>
      <c r="H37" s="3">
        <v>468.48</v>
      </c>
      <c r="I37" s="3">
        <v>566.26</v>
      </c>
      <c r="J37" s="3">
        <v>5293</v>
      </c>
      <c r="K37" s="3">
        <v>-4896.88</v>
      </c>
      <c r="L37" s="3">
        <v>6634.08</v>
      </c>
      <c r="M37" s="3">
        <v>-5759.96</v>
      </c>
      <c r="N37" s="3">
        <v>1198.4000000000001</v>
      </c>
      <c r="O37" s="3">
        <v>2396.8000000000002</v>
      </c>
      <c r="P37" s="10"/>
      <c r="Q37" s="3">
        <f>SUM(OSRRefD21_1_6x)+IFERROR(SUM(OSRRefE21_1_6x),0)</f>
        <v>7931.0599999999995</v>
      </c>
    </row>
    <row r="38" spans="1:17" s="42" customFormat="1" ht="15" hidden="1" customHeight="1" outlineLevel="1" x14ac:dyDescent="0.3">
      <c r="A38" s="34"/>
      <c r="B38" s="11" t="str">
        <f>CONCATENATE("          ","6008"," - ","STUDENT HOURLY-FICA EXEMPT")</f>
        <v xml:space="preserve">          6008 - STUDENT HOURLY-FICA EXEMPT</v>
      </c>
      <c r="C38" s="15"/>
      <c r="D38" s="3">
        <v>1771.32</v>
      </c>
      <c r="E38" s="3">
        <v>3331</v>
      </c>
      <c r="F38" s="3">
        <v>872.52</v>
      </c>
      <c r="G38" s="3">
        <v>1233.4100000000001</v>
      </c>
      <c r="H38" s="3">
        <v>2057.38</v>
      </c>
      <c r="I38" s="3">
        <v>2209.5700000000002</v>
      </c>
      <c r="J38" s="3"/>
      <c r="K38" s="3"/>
      <c r="L38" s="3"/>
      <c r="M38" s="3"/>
      <c r="N38" s="3">
        <v>3758.4</v>
      </c>
      <c r="O38" s="3">
        <v>2560</v>
      </c>
      <c r="P38" s="10"/>
      <c r="Q38" s="3">
        <f>SUM(OSRRefD21_1_7x)+IFERROR(SUM(OSRRefE21_1_7x),0)</f>
        <v>17793.599999999999</v>
      </c>
    </row>
    <row r="39" spans="1:17" s="42" customFormat="1" ht="15" hidden="1" customHeight="1" outlineLevel="1" x14ac:dyDescent="0.3">
      <c r="A39" s="34"/>
      <c r="B39" s="11" t="str">
        <f>CONCATENATE("          ","6009"," - ","TEMPORARY-SEASONAL")</f>
        <v xml:space="preserve">          6009 - TEMPORARY-SEASONAL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/>
      <c r="N39" s="3">
        <v>0</v>
      </c>
      <c r="O39" s="3">
        <v>0</v>
      </c>
      <c r="P39" s="10"/>
      <c r="Q39" s="3">
        <f>SUM(OSRRefD21_1_8x)+IFERROR(SUM(OSRRefE21_1_8x),0)</f>
        <v>0</v>
      </c>
    </row>
    <row r="40" spans="1:17" s="42" customFormat="1" ht="15" hidden="1" customHeight="1" outlineLevel="1" x14ac:dyDescent="0.3">
      <c r="A40" s="34"/>
      <c r="B40" s="11" t="str">
        <f>CONCATENATE("          ","6010"," - ","GRATUITY")</f>
        <v xml:space="preserve">          6010 - GRATUITY</v>
      </c>
      <c r="C40" s="15"/>
      <c r="D40" s="3"/>
      <c r="E40" s="3"/>
      <c r="F40" s="3"/>
      <c r="G40" s="3"/>
      <c r="H40" s="3"/>
      <c r="I40" s="3"/>
      <c r="J40" s="3"/>
      <c r="K40" s="3"/>
      <c r="L40" s="3"/>
      <c r="M40" s="3"/>
      <c r="N40" s="3">
        <v>0</v>
      </c>
      <c r="O40" s="3">
        <v>0</v>
      </c>
      <c r="P40" s="10"/>
      <c r="Q40" s="3">
        <f>SUM(OSRRefD21_1_9x)+IFERROR(SUM(OSRRefE21_1_9x),0)</f>
        <v>0</v>
      </c>
    </row>
    <row r="41" spans="1:17" s="42" customFormat="1" ht="15" customHeight="1" collapsed="1" x14ac:dyDescent="0.3">
      <c r="A41" s="34"/>
      <c r="B41" s="15" t="str">
        <f>CONCATENATE("     ","Advertising/Promo                                 ")</f>
        <v xml:space="preserve">     Advertising/Promo                                 </v>
      </c>
      <c r="C41" s="15"/>
      <c r="D41" s="2">
        <f>SUM(OSRRefD21_2x_0)</f>
        <v>173.21</v>
      </c>
      <c r="E41" s="2">
        <f>SUM(OSRRefD21_2x_1)</f>
        <v>302.39</v>
      </c>
      <c r="F41" s="2">
        <f>SUM(OSRRefD21_2x_2)</f>
        <v>110.84</v>
      </c>
      <c r="G41" s="2">
        <f>SUM(OSRRefD21_2x_3)</f>
        <v>434.18</v>
      </c>
      <c r="H41" s="2">
        <f>SUM(OSRRefD21_2x_4)</f>
        <v>601.91999999999996</v>
      </c>
      <c r="I41" s="2">
        <f>SUM(OSRRefD21_2x_5)</f>
        <v>1780.99</v>
      </c>
      <c r="J41" s="2">
        <f>SUM(OSRRefD21_2x_6)</f>
        <v>173.21</v>
      </c>
      <c r="K41" s="2">
        <f>SUM(OSRRefD21_2x_7)</f>
        <v>173.21</v>
      </c>
      <c r="L41" s="2">
        <f>SUM(OSRRefD21_2x_8)</f>
        <v>253.72</v>
      </c>
      <c r="M41" s="2">
        <f>SUM(OSRRefD21_2x_9)</f>
        <v>404.74</v>
      </c>
      <c r="N41" s="2">
        <f>SUM(OSRRefE21_2x_0)</f>
        <v>817</v>
      </c>
      <c r="O41" s="2">
        <f>SUM(OSRRefE21_2x_1)</f>
        <v>813</v>
      </c>
      <c r="Q41" s="3">
        <f>SUM(OSRRefD20_2x)+IFERROR(SUM(OSRRefE20_2x),0)</f>
        <v>6038.41</v>
      </c>
    </row>
    <row r="42" spans="1:17" s="42" customFormat="1" ht="15" hidden="1" customHeight="1" outlineLevel="1" x14ac:dyDescent="0.3">
      <c r="A42" s="34"/>
      <c r="B42" s="11" t="str">
        <f>CONCATENATE("          ","6362"," - ","ADVERTISING EXPENSE")</f>
        <v xml:space="preserve">          6362 - ADVERTISING EXPENSE</v>
      </c>
      <c r="C42" s="15"/>
      <c r="D42" s="3">
        <v>173.21</v>
      </c>
      <c r="E42" s="3">
        <v>302.39</v>
      </c>
      <c r="F42" s="3">
        <v>110.84</v>
      </c>
      <c r="G42" s="3">
        <v>434.18</v>
      </c>
      <c r="H42" s="3">
        <v>601.91999999999996</v>
      </c>
      <c r="I42" s="3">
        <v>1780.99</v>
      </c>
      <c r="J42" s="3">
        <v>173.21</v>
      </c>
      <c r="K42" s="3">
        <v>173.21</v>
      </c>
      <c r="L42" s="3">
        <v>253.72</v>
      </c>
      <c r="M42" s="3">
        <v>404.74</v>
      </c>
      <c r="N42" s="3">
        <v>817</v>
      </c>
      <c r="O42" s="3">
        <v>813</v>
      </c>
      <c r="P42" s="10"/>
      <c r="Q42" s="3">
        <f>SUM(OSRRefD21_2_0x)+IFERROR(SUM(OSRRefE21_2_0x),0)</f>
        <v>6038.41</v>
      </c>
    </row>
    <row r="43" spans="1:17" s="42" customFormat="1" ht="15" customHeight="1" collapsed="1" x14ac:dyDescent="0.3">
      <c r="A43" s="34"/>
      <c r="B43" s="15" t="str">
        <f>CONCATENATE("     ","Bank/card Fees                                    ")</f>
        <v xml:space="preserve">     Bank/card Fees                                    </v>
      </c>
      <c r="C43" s="15"/>
      <c r="D43" s="2">
        <f>SUM(OSRRefD21_3x_0)</f>
        <v>2349.86</v>
      </c>
      <c r="E43" s="2">
        <f>SUM(OSRRefD21_3x_1)</f>
        <v>7</v>
      </c>
      <c r="F43" s="2">
        <f>SUM(OSRRefD21_3x_2)</f>
        <v>7</v>
      </c>
      <c r="G43" s="2">
        <f>SUM(OSRRefD21_3x_3)</f>
        <v>3111.94</v>
      </c>
      <c r="H43" s="2">
        <f>SUM(OSRRefD21_3x_4)</f>
        <v>3.42</v>
      </c>
      <c r="I43" s="2">
        <f>SUM(OSRRefD21_3x_5)</f>
        <v>119.71</v>
      </c>
      <c r="J43" s="2">
        <f>SUM(OSRRefD21_3x_6)</f>
        <v>3680.15</v>
      </c>
      <c r="K43" s="2">
        <f>SUM(OSRRefD21_3x_7)</f>
        <v>256.75</v>
      </c>
      <c r="L43" s="2">
        <f>SUM(OSRRefD21_3x_8)</f>
        <v>272.95</v>
      </c>
      <c r="M43" s="2">
        <f>SUM(OSRRefD21_3x_9)</f>
        <v>3089.33</v>
      </c>
      <c r="N43" s="2">
        <f>SUM(OSRRefE21_3x_0)</f>
        <v>1000</v>
      </c>
      <c r="O43" s="2">
        <f>SUM(OSRRefE21_3x_1)</f>
        <v>2000</v>
      </c>
      <c r="Q43" s="3">
        <f>SUM(OSRRefD20_3x)+IFERROR(SUM(OSRRefE20_3x),0)</f>
        <v>15898.11</v>
      </c>
    </row>
    <row r="44" spans="1:17" s="42" customFormat="1" ht="15" hidden="1" customHeight="1" outlineLevel="1" x14ac:dyDescent="0.3">
      <c r="A44" s="34"/>
      <c r="B44" s="11" t="str">
        <f>CONCATENATE("          ","6381"," - ","BANK/CREDIT CARD FEES")</f>
        <v xml:space="preserve">          6381 - BANK/CREDIT CARD FEES</v>
      </c>
      <c r="C44" s="15"/>
      <c r="D44" s="3">
        <v>2349.86</v>
      </c>
      <c r="E44" s="3">
        <v>7</v>
      </c>
      <c r="F44" s="3">
        <v>7</v>
      </c>
      <c r="G44" s="3">
        <v>3111.94</v>
      </c>
      <c r="H44" s="3">
        <v>3.42</v>
      </c>
      <c r="I44" s="3">
        <v>119.71</v>
      </c>
      <c r="J44" s="3">
        <v>3680.15</v>
      </c>
      <c r="K44" s="3">
        <v>256.75</v>
      </c>
      <c r="L44" s="3">
        <v>272.95</v>
      </c>
      <c r="M44" s="3">
        <v>3089.33</v>
      </c>
      <c r="N44" s="3">
        <v>1000</v>
      </c>
      <c r="O44" s="3">
        <v>2000</v>
      </c>
      <c r="P44" s="10"/>
      <c r="Q44" s="3">
        <f>SUM(OSRRefD21_3_0x)+IFERROR(SUM(OSRRefE21_3_0x),0)</f>
        <v>15898.11</v>
      </c>
    </row>
    <row r="45" spans="1:17" s="42" customFormat="1" ht="15" customHeight="1" collapsed="1" x14ac:dyDescent="0.3">
      <c r="A45" s="34"/>
      <c r="B45" s="15" t="str">
        <f>CONCATENATE("     ","Board                                             ")</f>
        <v xml:space="preserve">     Board                                             </v>
      </c>
      <c r="C45" s="15"/>
      <c r="D45" s="2">
        <f>SUM(OSRRefD21_4x_0)</f>
        <v>837.74</v>
      </c>
      <c r="E45" s="2">
        <f>SUM(OSRRefD21_4x_1)</f>
        <v>1061.02</v>
      </c>
      <c r="F45" s="2">
        <f>SUM(OSRRefD21_4x_2)</f>
        <v>1425.15</v>
      </c>
      <c r="G45" s="2">
        <f>SUM(OSRRefD21_4x_3)</f>
        <v>1435.83</v>
      </c>
      <c r="H45" s="2">
        <f>SUM(OSRRefD21_4x_4)</f>
        <v>1560.09</v>
      </c>
      <c r="I45" s="2">
        <f>SUM(OSRRefD21_4x_5)</f>
        <v>1336.68</v>
      </c>
      <c r="J45" s="2">
        <f>SUM(OSRRefD21_4x_6)</f>
        <v>991.03</v>
      </c>
      <c r="K45" s="2">
        <f>SUM(OSRRefD21_4x_7)</f>
        <v>1438.2</v>
      </c>
      <c r="L45" s="2">
        <f>SUM(OSRRefD21_4x_8)</f>
        <v>4257.28</v>
      </c>
      <c r="M45" s="2">
        <f>SUM(OSRRefD21_4x_9)</f>
        <v>3977.62</v>
      </c>
      <c r="N45" s="2">
        <f>SUM(OSRRefE21_4x_0)</f>
        <v>1008</v>
      </c>
      <c r="O45" s="2">
        <f>SUM(OSRRefE21_4x_1)</f>
        <v>2508</v>
      </c>
      <c r="Q45" s="3">
        <f>SUM(OSRRefD20_4x)+IFERROR(SUM(OSRRefE20_4x),0)</f>
        <v>21836.639999999999</v>
      </c>
    </row>
    <row r="46" spans="1:17" s="42" customFormat="1" ht="15" hidden="1" customHeight="1" outlineLevel="1" x14ac:dyDescent="0.3">
      <c r="A46" s="34"/>
      <c r="B46" s="11" t="str">
        <f>CONCATENATE("          ","6397"," - ","BOARD EXPENSES")</f>
        <v xml:space="preserve">          6397 - BOARD EXPENSES</v>
      </c>
      <c r="C46" s="15"/>
      <c r="D46" s="3">
        <v>837.74</v>
      </c>
      <c r="E46" s="3">
        <v>1061.02</v>
      </c>
      <c r="F46" s="3">
        <v>1425.15</v>
      </c>
      <c r="G46" s="3">
        <v>1435.83</v>
      </c>
      <c r="H46" s="3">
        <v>1560.09</v>
      </c>
      <c r="I46" s="3">
        <v>1336.68</v>
      </c>
      <c r="J46" s="3">
        <v>991.03</v>
      </c>
      <c r="K46" s="3">
        <v>1438.2</v>
      </c>
      <c r="L46" s="3">
        <v>4257.28</v>
      </c>
      <c r="M46" s="3">
        <v>3977.62</v>
      </c>
      <c r="N46" s="3">
        <v>1008</v>
      </c>
      <c r="O46" s="3">
        <v>2508</v>
      </c>
      <c r="P46" s="10"/>
      <c r="Q46" s="3">
        <f>SUM(OSRRefD21_4_0x)+IFERROR(SUM(OSRRefE21_4_0x),0)</f>
        <v>21836.639999999999</v>
      </c>
    </row>
    <row r="47" spans="1:17" s="42" customFormat="1" ht="15" customHeight="1" collapsed="1" x14ac:dyDescent="0.3">
      <c r="A47" s="34"/>
      <c r="B47" s="15" t="str">
        <f>CONCATENATE("     ","Depreciation                                      ")</f>
        <v xml:space="preserve">     Depreciation                                      </v>
      </c>
      <c r="C47" s="15"/>
      <c r="D47" s="2">
        <f>SUM(OSRRefD21_5x_0)</f>
        <v>6972.12</v>
      </c>
      <c r="E47" s="2">
        <f>SUM(OSRRefD21_5x_1)</f>
        <v>6972.12</v>
      </c>
      <c r="F47" s="2">
        <f>SUM(OSRRefD21_5x_2)</f>
        <v>6972.11</v>
      </c>
      <c r="G47" s="2">
        <f>SUM(OSRRefD21_5x_3)</f>
        <v>4014.65</v>
      </c>
      <c r="H47" s="2">
        <f>SUM(OSRRefD21_5x_4)</f>
        <v>4014.64</v>
      </c>
      <c r="I47" s="2">
        <f>SUM(OSRRefD21_5x_5)</f>
        <v>4014.64</v>
      </c>
      <c r="J47" s="2">
        <f>SUM(OSRRefD21_5x_6)</f>
        <v>4014.64</v>
      </c>
      <c r="K47" s="2">
        <f>SUM(OSRRefD21_5x_7)</f>
        <v>4014.6</v>
      </c>
      <c r="L47" s="2">
        <f>SUM(OSRRefD21_5x_8)</f>
        <v>2455.7600000000002</v>
      </c>
      <c r="M47" s="2">
        <f>SUM(OSRRefD21_5x_9)</f>
        <v>2455.7600000000002</v>
      </c>
      <c r="N47" s="2">
        <f>SUM(OSRRefE21_5x_0)</f>
        <v>2414</v>
      </c>
      <c r="O47" s="2">
        <f>SUM(OSRRefE21_5x_1)</f>
        <v>1960</v>
      </c>
      <c r="Q47" s="3">
        <f>SUM(OSRRefD20_5x)+IFERROR(SUM(OSRRefE20_5x),0)</f>
        <v>50275.040000000001</v>
      </c>
    </row>
    <row r="48" spans="1:17" s="42" customFormat="1" ht="15" hidden="1" customHeight="1" outlineLevel="1" x14ac:dyDescent="0.3">
      <c r="A48" s="34"/>
      <c r="B48" s="11" t="str">
        <f>CONCATENATE("          ","6322"," - ","EQUIPMENT DEPRECIATION EXPENSE")</f>
        <v xml:space="preserve">          6322 - EQUIPMENT DEPRECIATION EXPENSE</v>
      </c>
      <c r="C48" s="15"/>
      <c r="D48" s="3">
        <v>6972.12</v>
      </c>
      <c r="E48" s="3">
        <v>6972.12</v>
      </c>
      <c r="F48" s="3">
        <v>6972.11</v>
      </c>
      <c r="G48" s="3">
        <v>4014.65</v>
      </c>
      <c r="H48" s="3">
        <v>4014.64</v>
      </c>
      <c r="I48" s="3">
        <v>4014.64</v>
      </c>
      <c r="J48" s="3">
        <v>4014.64</v>
      </c>
      <c r="K48" s="3">
        <v>4014.6</v>
      </c>
      <c r="L48" s="3">
        <v>2455.7600000000002</v>
      </c>
      <c r="M48" s="3">
        <v>2455.7600000000002</v>
      </c>
      <c r="N48" s="3">
        <v>1914</v>
      </c>
      <c r="O48" s="3">
        <v>1460</v>
      </c>
      <c r="P48" s="10"/>
      <c r="Q48" s="3">
        <f>SUM(OSRRefD21_5_0x)+IFERROR(SUM(OSRRefE21_5_0x),0)</f>
        <v>49275.040000000001</v>
      </c>
    </row>
    <row r="49" spans="1:17" s="42" customFormat="1" ht="15" hidden="1" customHeight="1" outlineLevel="1" x14ac:dyDescent="0.3">
      <c r="A49" s="34"/>
      <c r="B49" s="11" t="str">
        <f>CONCATENATE("          ","6324"," - ","FURNITURE + FIXT DEPRECIATION")</f>
        <v xml:space="preserve">          6324 - FURNITURE + FIXT DEPRECIATION</v>
      </c>
      <c r="C49" s="15"/>
      <c r="D49" s="3"/>
      <c r="E49" s="3"/>
      <c r="F49" s="3"/>
      <c r="G49" s="3"/>
      <c r="H49" s="3"/>
      <c r="I49" s="3"/>
      <c r="J49" s="3"/>
      <c r="K49" s="3"/>
      <c r="L49" s="3"/>
      <c r="M49" s="3"/>
      <c r="N49" s="3">
        <v>500</v>
      </c>
      <c r="O49" s="3">
        <v>500</v>
      </c>
      <c r="P49" s="10"/>
      <c r="Q49" s="3">
        <f>SUM(OSRRefD21_5_1x)+IFERROR(SUM(OSRRefE21_5_1x),0)</f>
        <v>1000</v>
      </c>
    </row>
    <row r="50" spans="1:17" s="42" customFormat="1" ht="15" customHeight="1" collapsed="1" x14ac:dyDescent="0.3">
      <c r="A50" s="34"/>
      <c r="B50" s="15" t="str">
        <f>CONCATENATE("     ","Donations                                         ")</f>
        <v xml:space="preserve">     Donations                                         </v>
      </c>
      <c r="C50" s="15"/>
      <c r="D50" s="2">
        <f>SUM(OSRRefD21_6x_0)</f>
        <v>0</v>
      </c>
      <c r="E50" s="2">
        <f>SUM(OSRRefD21_6x_1)</f>
        <v>0</v>
      </c>
      <c r="F50" s="2">
        <f>SUM(OSRRefD21_6x_2)</f>
        <v>0</v>
      </c>
      <c r="G50" s="2">
        <f>SUM(OSRRefD21_6x_3)</f>
        <v>0</v>
      </c>
      <c r="H50" s="2">
        <f>SUM(OSRRefD21_6x_4)</f>
        <v>25000</v>
      </c>
      <c r="I50" s="2">
        <f>SUM(OSRRefD21_6x_5)</f>
        <v>300</v>
      </c>
      <c r="J50" s="2">
        <f>SUM(OSRRefD21_6x_6)</f>
        <v>0</v>
      </c>
      <c r="K50" s="2">
        <f>SUM(OSRRefD21_6x_7)</f>
        <v>0</v>
      </c>
      <c r="L50" s="2">
        <f>SUM(OSRRefD21_6x_8)</f>
        <v>0</v>
      </c>
      <c r="M50" s="2">
        <f>SUM(OSRRefD21_6x_9)</f>
        <v>0</v>
      </c>
      <c r="N50" s="2">
        <f>SUM(OSRRefE21_6x_0)</f>
        <v>500</v>
      </c>
      <c r="O50" s="2">
        <f>SUM(OSRRefE21_6x_1)</f>
        <v>300</v>
      </c>
      <c r="Q50" s="3">
        <f>SUM(OSRRefD20_6x)+IFERROR(SUM(OSRRefE20_6x),0)</f>
        <v>26100</v>
      </c>
    </row>
    <row r="51" spans="1:17" s="42" customFormat="1" ht="15" hidden="1" customHeight="1" outlineLevel="1" x14ac:dyDescent="0.3">
      <c r="A51" s="34"/>
      <c r="B51" s="11" t="str">
        <f>CONCATENATE("          ","6399"," - ","DONATION-ON CAMPUS")</f>
        <v xml:space="preserve">          6399 - DONATION-ON CAMPUS</v>
      </c>
      <c r="C51" s="15"/>
      <c r="D51" s="3"/>
      <c r="E51" s="3"/>
      <c r="F51" s="3"/>
      <c r="G51" s="3"/>
      <c r="H51" s="3">
        <v>25000</v>
      </c>
      <c r="I51" s="3">
        <v>300</v>
      </c>
      <c r="J51" s="3"/>
      <c r="K51" s="3"/>
      <c r="L51" s="3"/>
      <c r="M51" s="3"/>
      <c r="N51" s="3">
        <v>500</v>
      </c>
      <c r="O51" s="3">
        <v>300</v>
      </c>
      <c r="P51" s="10"/>
      <c r="Q51" s="3">
        <f>SUM(OSRRefD21_6_0x)+IFERROR(SUM(OSRRefE21_6_0x),0)</f>
        <v>26100</v>
      </c>
    </row>
    <row r="52" spans="1:17" s="42" customFormat="1" ht="15" customHeight="1" collapsed="1" x14ac:dyDescent="0.3">
      <c r="A52" s="34"/>
      <c r="B52" s="15" t="str">
        <f>CONCATENATE("     ","Employees' Appreciation                           ")</f>
        <v xml:space="preserve">     Employees' Appreciation                           </v>
      </c>
      <c r="C52" s="15"/>
      <c r="D52" s="2">
        <f>SUM(OSRRefD21_7x_0)</f>
        <v>0</v>
      </c>
      <c r="E52" s="2">
        <f>SUM(OSRRefD21_7x_1)</f>
        <v>0</v>
      </c>
      <c r="F52" s="2">
        <f>SUM(OSRRefD21_7x_2)</f>
        <v>0</v>
      </c>
      <c r="G52" s="2">
        <f>SUM(OSRRefD21_7x_3)</f>
        <v>0</v>
      </c>
      <c r="H52" s="2">
        <f>SUM(OSRRefD21_7x_4)</f>
        <v>0</v>
      </c>
      <c r="I52" s="2">
        <f>SUM(OSRRefD21_7x_5)</f>
        <v>8.02</v>
      </c>
      <c r="J52" s="2">
        <f>SUM(OSRRefD21_7x_6)</f>
        <v>635.58000000000004</v>
      </c>
      <c r="K52" s="2">
        <f>SUM(OSRRefD21_7x_7)</f>
        <v>0</v>
      </c>
      <c r="L52" s="2">
        <f>SUM(OSRRefD21_7x_8)</f>
        <v>114.87</v>
      </c>
      <c r="M52" s="2">
        <f>SUM(OSRRefD21_7x_9)</f>
        <v>0</v>
      </c>
      <c r="N52" s="2">
        <f>SUM(OSRRefE21_7x_0)</f>
        <v>12750</v>
      </c>
      <c r="O52" s="2">
        <f>SUM(OSRRefE21_7x_1)</f>
        <v>2250</v>
      </c>
      <c r="Q52" s="3">
        <f>SUM(OSRRefD20_7x)+IFERROR(SUM(OSRRefE20_7x),0)</f>
        <v>15758.47</v>
      </c>
    </row>
    <row r="53" spans="1:17" s="42" customFormat="1" ht="15" hidden="1" customHeight="1" outlineLevel="1" x14ac:dyDescent="0.3">
      <c r="A53" s="34"/>
      <c r="B53" s="11" t="str">
        <f>CONCATENATE("          ","6277"," - ","EMPLOYEE APPRECIATION")</f>
        <v xml:space="preserve">          6277 - EMPLOYEE APPRECIATION</v>
      </c>
      <c r="C53" s="15"/>
      <c r="D53" s="3"/>
      <c r="E53" s="3"/>
      <c r="F53" s="3"/>
      <c r="G53" s="3"/>
      <c r="H53" s="3"/>
      <c r="I53" s="3">
        <v>8.02</v>
      </c>
      <c r="J53" s="3">
        <v>635.58000000000004</v>
      </c>
      <c r="K53" s="3"/>
      <c r="L53" s="3">
        <v>114.87</v>
      </c>
      <c r="M53" s="3"/>
      <c r="N53" s="3">
        <v>12750</v>
      </c>
      <c r="O53" s="3">
        <v>2250</v>
      </c>
      <c r="P53" s="10"/>
      <c r="Q53" s="3">
        <f>SUM(OSRRefD21_7_0x)+IFERROR(SUM(OSRRefE21_7_0x),0)</f>
        <v>15758.47</v>
      </c>
    </row>
    <row r="54" spans="1:17" s="42" customFormat="1" ht="15" customHeight="1" collapsed="1" x14ac:dyDescent="0.3">
      <c r="A54" s="34"/>
      <c r="B54" s="15" t="str">
        <f>CONCATENATE("     ","Equipment Rental                                  ")</f>
        <v xml:space="preserve">     Equipment Rental                                  </v>
      </c>
      <c r="C54" s="15"/>
      <c r="D54" s="2">
        <f>SUM(OSRRefD21_8x_0)</f>
        <v>208.97</v>
      </c>
      <c r="E54" s="2">
        <f>SUM(OSRRefD21_8x_1)</f>
        <v>208.97</v>
      </c>
      <c r="F54" s="2">
        <f>SUM(OSRRefD21_8x_2)</f>
        <v>208.97</v>
      </c>
      <c r="G54" s="2">
        <f>SUM(OSRRefD21_8x_3)</f>
        <v>208.97</v>
      </c>
      <c r="H54" s="2">
        <f>SUM(OSRRefD21_8x_4)</f>
        <v>208.97</v>
      </c>
      <c r="I54" s="2">
        <f>SUM(OSRRefD21_8x_5)</f>
        <v>208.97</v>
      </c>
      <c r="J54" s="2">
        <f>SUM(OSRRefD21_8x_6)</f>
        <v>208.97</v>
      </c>
      <c r="K54" s="2">
        <f>SUM(OSRRefD21_8x_7)</f>
        <v>208.97</v>
      </c>
      <c r="L54" s="2">
        <f>SUM(OSRRefD21_8x_8)</f>
        <v>208.97</v>
      </c>
      <c r="M54" s="2">
        <f>SUM(OSRRefD21_8x_9)</f>
        <v>208.97</v>
      </c>
      <c r="N54" s="2">
        <f>SUM(OSRRefE21_8x_0)</f>
        <v>284</v>
      </c>
      <c r="O54" s="2">
        <f>SUM(OSRRefE21_8x_1)</f>
        <v>284</v>
      </c>
      <c r="Q54" s="3">
        <f>SUM(OSRRefD20_8x)+IFERROR(SUM(OSRRefE20_8x),0)</f>
        <v>2657.7</v>
      </c>
    </row>
    <row r="55" spans="1:17" s="42" customFormat="1" ht="15" hidden="1" customHeight="1" outlineLevel="1" x14ac:dyDescent="0.3">
      <c r="A55" s="34"/>
      <c r="B55" s="11" t="str">
        <f>CONCATENATE("          ","6351"," - ","EQUIPMENT RENTAL")</f>
        <v xml:space="preserve">          6351 - EQUIPMENT RENTAL</v>
      </c>
      <c r="C55" s="15"/>
      <c r="D55" s="3">
        <v>208.97</v>
      </c>
      <c r="E55" s="3">
        <v>208.97</v>
      </c>
      <c r="F55" s="3">
        <v>208.97</v>
      </c>
      <c r="G55" s="3">
        <v>208.97</v>
      </c>
      <c r="H55" s="3">
        <v>208.97</v>
      </c>
      <c r="I55" s="3">
        <v>208.97</v>
      </c>
      <c r="J55" s="3">
        <v>208.97</v>
      </c>
      <c r="K55" s="3">
        <v>208.97</v>
      </c>
      <c r="L55" s="3">
        <v>208.97</v>
      </c>
      <c r="M55" s="3">
        <v>208.97</v>
      </c>
      <c r="N55" s="3">
        <v>284</v>
      </c>
      <c r="O55" s="3">
        <v>284</v>
      </c>
      <c r="P55" s="10"/>
      <c r="Q55" s="3">
        <f>SUM(OSRRefD21_8_0x)+IFERROR(SUM(OSRRefE21_8_0x),0)</f>
        <v>2657.7</v>
      </c>
    </row>
    <row r="56" spans="1:17" s="42" customFormat="1" ht="15" customHeight="1" collapsed="1" x14ac:dyDescent="0.3">
      <c r="A56" s="34"/>
      <c r="B56" s="15" t="str">
        <f>CONCATENATE("     ","Freight out/Postage                               ")</f>
        <v xml:space="preserve">     Freight out/Postage                               </v>
      </c>
      <c r="C56" s="15"/>
      <c r="D56" s="2">
        <f>SUM(OSRRefD21_9x_0)</f>
        <v>102.73</v>
      </c>
      <c r="E56" s="2">
        <f>SUM(OSRRefD21_9x_1)</f>
        <v>183.16</v>
      </c>
      <c r="F56" s="2">
        <f>SUM(OSRRefD21_9x_2)</f>
        <v>228.65</v>
      </c>
      <c r="G56" s="2">
        <f>SUM(OSRRefD21_9x_3)</f>
        <v>214.36</v>
      </c>
      <c r="H56" s="2">
        <f>SUM(OSRRefD21_9x_4)</f>
        <v>134.22</v>
      </c>
      <c r="I56" s="2">
        <f>SUM(OSRRefD21_9x_5)</f>
        <v>154.88999999999999</v>
      </c>
      <c r="J56" s="2">
        <f>SUM(OSRRefD21_9x_6)</f>
        <v>125.8</v>
      </c>
      <c r="K56" s="2">
        <f>SUM(OSRRefD21_9x_7)</f>
        <v>166.9</v>
      </c>
      <c r="L56" s="2">
        <f>SUM(OSRRefD21_9x_8)</f>
        <v>186.9</v>
      </c>
      <c r="M56" s="2">
        <f>SUM(OSRRefD21_9x_9)</f>
        <v>129.9</v>
      </c>
      <c r="N56" s="2">
        <f>SUM(OSRRefE21_9x_0)</f>
        <v>210</v>
      </c>
      <c r="O56" s="2">
        <f>SUM(OSRRefE21_9x_1)</f>
        <v>285</v>
      </c>
      <c r="Q56" s="3">
        <f>SUM(OSRRefD20_9x)+IFERROR(SUM(OSRRefE20_9x),0)</f>
        <v>2122.5100000000002</v>
      </c>
    </row>
    <row r="57" spans="1:17" s="42" customFormat="1" ht="15" hidden="1" customHeight="1" outlineLevel="1" x14ac:dyDescent="0.3">
      <c r="A57" s="34"/>
      <c r="B57" s="11" t="str">
        <f>CONCATENATE("          ","6307"," - ","POSTAGE")</f>
        <v xml:space="preserve">          6307 - POSTAGE</v>
      </c>
      <c r="C57" s="15"/>
      <c r="D57" s="3">
        <v>102.73</v>
      </c>
      <c r="E57" s="3">
        <v>183.16</v>
      </c>
      <c r="F57" s="3">
        <v>228.65</v>
      </c>
      <c r="G57" s="3">
        <v>214.36</v>
      </c>
      <c r="H57" s="3">
        <v>134.22</v>
      </c>
      <c r="I57" s="3">
        <v>154.88999999999999</v>
      </c>
      <c r="J57" s="3">
        <v>125.8</v>
      </c>
      <c r="K57" s="3">
        <v>166.9</v>
      </c>
      <c r="L57" s="3">
        <v>186.9</v>
      </c>
      <c r="M57" s="3">
        <v>129.9</v>
      </c>
      <c r="N57" s="3">
        <v>210</v>
      </c>
      <c r="O57" s="3">
        <v>285</v>
      </c>
      <c r="P57" s="10"/>
      <c r="Q57" s="3">
        <f>SUM(OSRRefD21_9_0x)+IFERROR(SUM(OSRRefE21_9_0x),0)</f>
        <v>2122.5100000000002</v>
      </c>
    </row>
    <row r="58" spans="1:17" s="42" customFormat="1" ht="15" customHeight="1" collapsed="1" x14ac:dyDescent="0.3">
      <c r="A58" s="34"/>
      <c r="B58" s="15" t="str">
        <f>CONCATENATE("     ","General                                           ")</f>
        <v xml:space="preserve">     General                                           </v>
      </c>
      <c r="C58" s="15"/>
      <c r="D58" s="2">
        <f>SUM(OSRRefD21_10x_0)</f>
        <v>1029.5</v>
      </c>
      <c r="E58" s="2">
        <f>SUM(OSRRefD21_10x_1)</f>
        <v>200.5</v>
      </c>
      <c r="F58" s="2">
        <f>SUM(OSRRefD21_10x_2)</f>
        <v>890.75</v>
      </c>
      <c r="G58" s="2">
        <f>SUM(OSRRefD21_10x_3)</f>
        <v>-718.57</v>
      </c>
      <c r="H58" s="2">
        <f>SUM(OSRRefD21_10x_4)</f>
        <v>182</v>
      </c>
      <c r="I58" s="2">
        <f>SUM(OSRRefD21_10x_5)</f>
        <v>189.5</v>
      </c>
      <c r="J58" s="2">
        <f>SUM(OSRRefD21_10x_6)</f>
        <v>53.5</v>
      </c>
      <c r="K58" s="2">
        <f>SUM(OSRRefD21_10x_7)</f>
        <v>55.5</v>
      </c>
      <c r="L58" s="2">
        <f>SUM(OSRRefD21_10x_8)</f>
        <v>-653.15</v>
      </c>
      <c r="M58" s="2">
        <f>SUM(OSRRefD21_10x_9)</f>
        <v>52.5</v>
      </c>
      <c r="N58" s="2">
        <f>SUM(OSRRefE21_10x_0)</f>
        <v>0</v>
      </c>
      <c r="O58" s="2">
        <f>SUM(OSRRefE21_10x_1)</f>
        <v>0</v>
      </c>
      <c r="Q58" s="3">
        <f>SUM(OSRRefD20_10x)+IFERROR(SUM(OSRRefE20_10x),0)</f>
        <v>1282.0299999999997</v>
      </c>
    </row>
    <row r="59" spans="1:17" s="42" customFormat="1" ht="15" hidden="1" customHeight="1" outlineLevel="1" x14ac:dyDescent="0.3">
      <c r="A59" s="34"/>
      <c r="B59" s="11" t="str">
        <f>CONCATENATE("          ","6279"," - ","GENERAL EXPENSE")</f>
        <v xml:space="preserve">          6279 - GENERAL EXPENSE</v>
      </c>
      <c r="C59" s="15"/>
      <c r="D59" s="3">
        <v>1029.5</v>
      </c>
      <c r="E59" s="3">
        <v>200.5</v>
      </c>
      <c r="F59" s="3">
        <v>890.75</v>
      </c>
      <c r="G59" s="3">
        <v>-718.57</v>
      </c>
      <c r="H59" s="3">
        <v>182</v>
      </c>
      <c r="I59" s="3">
        <v>189.5</v>
      </c>
      <c r="J59" s="3">
        <v>53.5</v>
      </c>
      <c r="K59" s="3">
        <v>55.5</v>
      </c>
      <c r="L59" s="3">
        <v>-653.15</v>
      </c>
      <c r="M59" s="3">
        <v>52.5</v>
      </c>
      <c r="N59" s="3">
        <v>0</v>
      </c>
      <c r="O59" s="3">
        <v>0</v>
      </c>
      <c r="P59" s="10"/>
      <c r="Q59" s="3">
        <f>SUM(OSRRefD21_10_0x)+IFERROR(SUM(OSRRefE21_10_0x),0)</f>
        <v>1282.0299999999997</v>
      </c>
    </row>
    <row r="60" spans="1:17" s="42" customFormat="1" ht="15" customHeight="1" collapsed="1" x14ac:dyDescent="0.3">
      <c r="A60" s="34"/>
      <c r="B60" s="15" t="str">
        <f>CONCATENATE("     ","Insurance                                         ")</f>
        <v xml:space="preserve">     Insurance                                         </v>
      </c>
      <c r="C60" s="15"/>
      <c r="D60" s="2">
        <f>SUM(OSRRefD21_11x_0)</f>
        <v>535.05999999999995</v>
      </c>
      <c r="E60" s="2">
        <f>SUM(OSRRefD21_11x_1)</f>
        <v>535.05999999999995</v>
      </c>
      <c r="F60" s="2">
        <f>SUM(OSRRefD21_11x_2)</f>
        <v>535.05999999999995</v>
      </c>
      <c r="G60" s="2">
        <f>SUM(OSRRefD21_11x_3)</f>
        <v>535.05999999999995</v>
      </c>
      <c r="H60" s="2">
        <f>SUM(OSRRefD21_11x_4)</f>
        <v>535.05999999999995</v>
      </c>
      <c r="I60" s="2">
        <f>SUM(OSRRefD21_11x_5)</f>
        <v>535.05999999999995</v>
      </c>
      <c r="J60" s="2">
        <f>SUM(OSRRefD21_11x_6)</f>
        <v>535.05999999999995</v>
      </c>
      <c r="K60" s="2">
        <f>SUM(OSRRefD21_11x_7)</f>
        <v>535.05999999999995</v>
      </c>
      <c r="L60" s="2">
        <f>SUM(OSRRefD21_11x_8)</f>
        <v>535.05999999999995</v>
      </c>
      <c r="M60" s="2">
        <f>SUM(OSRRefD21_11x_9)</f>
        <v>535.05999999999995</v>
      </c>
      <c r="N60" s="2">
        <f>SUM(OSRRefE21_11x_0)</f>
        <v>530</v>
      </c>
      <c r="O60" s="2">
        <f>SUM(OSRRefE21_11x_1)</f>
        <v>530</v>
      </c>
      <c r="Q60" s="3">
        <f>SUM(OSRRefD20_11x)+IFERROR(SUM(OSRRefE20_11x),0)</f>
        <v>6410.5999999999985</v>
      </c>
    </row>
    <row r="61" spans="1:17" s="42" customFormat="1" ht="15" hidden="1" customHeight="1" outlineLevel="1" x14ac:dyDescent="0.3">
      <c r="A61" s="34"/>
      <c r="B61" s="11" t="str">
        <f>CONCATENATE("          ","6314"," - ","LIABILITY INSURANCE")</f>
        <v xml:space="preserve">          6314 - LIABILITY INSURANCE</v>
      </c>
      <c r="C61" s="15"/>
      <c r="D61" s="3">
        <v>535.05999999999995</v>
      </c>
      <c r="E61" s="3">
        <v>535.05999999999995</v>
      </c>
      <c r="F61" s="3">
        <v>535.05999999999995</v>
      </c>
      <c r="G61" s="3">
        <v>535.05999999999995</v>
      </c>
      <c r="H61" s="3">
        <v>535.05999999999995</v>
      </c>
      <c r="I61" s="3">
        <v>535.05999999999995</v>
      </c>
      <c r="J61" s="3">
        <v>535.05999999999995</v>
      </c>
      <c r="K61" s="3">
        <v>535.05999999999995</v>
      </c>
      <c r="L61" s="3">
        <v>535.05999999999995</v>
      </c>
      <c r="M61" s="3">
        <v>535.05999999999995</v>
      </c>
      <c r="N61" s="3">
        <v>530</v>
      </c>
      <c r="O61" s="3">
        <v>530</v>
      </c>
      <c r="P61" s="10"/>
      <c r="Q61" s="3">
        <f>SUM(OSRRefD21_11_0x)+IFERROR(SUM(OSRRefE21_11_0x),0)</f>
        <v>6410.5999999999985</v>
      </c>
    </row>
    <row r="62" spans="1:17" s="42" customFormat="1" ht="15" customHeight="1" collapsed="1" x14ac:dyDescent="0.3">
      <c r="A62" s="34"/>
      <c r="B62" s="15" t="str">
        <f>CONCATENATE("     ","Professional Services                             ")</f>
        <v xml:space="preserve">     Professional Services                             </v>
      </c>
      <c r="C62" s="15"/>
      <c r="D62" s="2">
        <f>SUM(OSRRefD21_12x_0)</f>
        <v>4950</v>
      </c>
      <c r="E62" s="2">
        <f>SUM(OSRRefD21_12x_1)</f>
        <v>10337.75</v>
      </c>
      <c r="F62" s="2">
        <f>SUM(OSRRefD21_12x_2)</f>
        <v>17753.849999999999</v>
      </c>
      <c r="G62" s="2">
        <f>SUM(OSRRefD21_12x_3)</f>
        <v>32573.27</v>
      </c>
      <c r="H62" s="2">
        <f>SUM(OSRRefD21_12x_4)</f>
        <v>16700</v>
      </c>
      <c r="I62" s="2">
        <f>SUM(OSRRefD21_12x_5)</f>
        <v>693.21</v>
      </c>
      <c r="J62" s="2">
        <f>SUM(OSRRefD21_12x_6)</f>
        <v>10588.85</v>
      </c>
      <c r="K62" s="2">
        <f>SUM(OSRRefD21_12x_7)</f>
        <v>0</v>
      </c>
      <c r="L62" s="2">
        <f>SUM(OSRRefD21_12x_8)</f>
        <v>5617.33</v>
      </c>
      <c r="M62" s="2">
        <f>SUM(OSRRefD21_12x_9)</f>
        <v>10724.63</v>
      </c>
      <c r="N62" s="2">
        <f>SUM(OSRRefE21_12x_0)</f>
        <v>2666</v>
      </c>
      <c r="O62" s="2">
        <f>SUM(OSRRefE21_12x_1)</f>
        <v>1674</v>
      </c>
      <c r="Q62" s="3">
        <f>SUM(OSRRefD20_12x)+IFERROR(SUM(OSRRefE20_12x),0)</f>
        <v>114278.89000000001</v>
      </c>
    </row>
    <row r="63" spans="1:17" s="42" customFormat="1" ht="15" hidden="1" customHeight="1" outlineLevel="1" x14ac:dyDescent="0.3">
      <c r="A63" s="34"/>
      <c r="B63" s="11" t="str">
        <f>CONCATENATE("          ","6331"," - ","INDIRECT COSTS-AUXILIARY ORGAN")</f>
        <v xml:space="preserve">          6331 - INDIRECT COSTS-AUXILIARY ORGAN</v>
      </c>
      <c r="C63" s="15"/>
      <c r="D63" s="3"/>
      <c r="E63" s="3">
        <v>10337.75</v>
      </c>
      <c r="F63" s="3">
        <v>16500</v>
      </c>
      <c r="G63" s="3">
        <v>29087.75</v>
      </c>
      <c r="H63" s="3">
        <v>13250</v>
      </c>
      <c r="I63" s="3"/>
      <c r="J63" s="3">
        <v>10337.75</v>
      </c>
      <c r="K63" s="3"/>
      <c r="L63" s="3"/>
      <c r="M63" s="3">
        <v>10337.75</v>
      </c>
      <c r="N63" s="3">
        <v>0</v>
      </c>
      <c r="O63" s="3">
        <v>0</v>
      </c>
      <c r="P63" s="10"/>
      <c r="Q63" s="3">
        <f>SUM(OSRRefD21_12_0x)+IFERROR(SUM(OSRRefE21_12_0x),0)</f>
        <v>89851</v>
      </c>
    </row>
    <row r="64" spans="1:17" s="42" customFormat="1" ht="15" hidden="1" customHeight="1" outlineLevel="1" x14ac:dyDescent="0.3">
      <c r="A64" s="34"/>
      <c r="B64" s="11" t="str">
        <f>CONCATENATE("          ","6332"," - ","CONSULTANT FEES")</f>
        <v xml:space="preserve">          6332 - CONSULTANT FEES</v>
      </c>
      <c r="C64" s="15"/>
      <c r="D64" s="3"/>
      <c r="E64" s="3"/>
      <c r="F64" s="3"/>
      <c r="G64" s="3"/>
      <c r="H64" s="3"/>
      <c r="I64" s="3"/>
      <c r="J64" s="3"/>
      <c r="K64" s="3"/>
      <c r="L64" s="3"/>
      <c r="M64" s="3"/>
      <c r="N64" s="3">
        <v>0</v>
      </c>
      <c r="O64" s="3">
        <v>0</v>
      </c>
      <c r="P64" s="10"/>
      <c r="Q64" s="3">
        <f>SUM(OSRRefD21_12_1x)+IFERROR(SUM(OSRRefE21_12_1x),0)</f>
        <v>0</v>
      </c>
    </row>
    <row r="65" spans="1:17" s="42" customFormat="1" ht="15" hidden="1" customHeight="1" outlineLevel="1" x14ac:dyDescent="0.3">
      <c r="A65" s="34"/>
      <c r="B65" s="11" t="str">
        <f>CONCATENATE("          ","6334"," - ","LEGAL COUNCIL EXPENSE")</f>
        <v xml:space="preserve">          6334 - LEGAL COUNCIL EXPENSE</v>
      </c>
      <c r="C65" s="15"/>
      <c r="D65" s="3">
        <v>3255</v>
      </c>
      <c r="E65" s="3"/>
      <c r="F65" s="3"/>
      <c r="G65" s="3">
        <v>75</v>
      </c>
      <c r="H65" s="3">
        <v>125</v>
      </c>
      <c r="I65" s="3"/>
      <c r="J65" s="3"/>
      <c r="K65" s="3"/>
      <c r="L65" s="3"/>
      <c r="M65" s="3"/>
      <c r="N65" s="3">
        <v>1833</v>
      </c>
      <c r="O65" s="3">
        <v>837</v>
      </c>
      <c r="P65" s="10"/>
      <c r="Q65" s="3">
        <f>SUM(OSRRefD21_12_2x)+IFERROR(SUM(OSRRefE21_12_2x),0)</f>
        <v>6125</v>
      </c>
    </row>
    <row r="66" spans="1:17" s="42" customFormat="1" ht="15" hidden="1" customHeight="1" outlineLevel="1" x14ac:dyDescent="0.3">
      <c r="A66" s="34"/>
      <c r="B66" s="11" t="str">
        <f>CONCATENATE("          ","6336"," - ","PROFESSIONAL SERVICES")</f>
        <v xml:space="preserve">          6336 - PROFESSIONAL SERVICES</v>
      </c>
      <c r="C66" s="15"/>
      <c r="D66" s="3">
        <v>1695</v>
      </c>
      <c r="E66" s="3"/>
      <c r="F66" s="3">
        <v>1253.8499999999999</v>
      </c>
      <c r="G66" s="3">
        <v>3410.52</v>
      </c>
      <c r="H66" s="3">
        <v>3325</v>
      </c>
      <c r="I66" s="3">
        <v>693.21</v>
      </c>
      <c r="J66" s="3">
        <v>251.1</v>
      </c>
      <c r="K66" s="3"/>
      <c r="L66" s="3">
        <v>5617.33</v>
      </c>
      <c r="M66" s="3">
        <v>386.88</v>
      </c>
      <c r="N66" s="3">
        <v>833</v>
      </c>
      <c r="O66" s="3">
        <v>837</v>
      </c>
      <c r="P66" s="10"/>
      <c r="Q66" s="3">
        <f>SUM(OSRRefD21_12_3x)+IFERROR(SUM(OSRRefE21_12_3x),0)</f>
        <v>18302.89</v>
      </c>
    </row>
    <row r="67" spans="1:17" s="42" customFormat="1" ht="15" customHeight="1" collapsed="1" x14ac:dyDescent="0.3">
      <c r="A67" s="34"/>
      <c r="B67" s="15" t="str">
        <f>CONCATENATE("     ","Repair and Maintenance                            ")</f>
        <v xml:space="preserve">     Repair and Maintenance                            </v>
      </c>
      <c r="C67" s="15"/>
      <c r="D67" s="2">
        <f>SUM(OSRRefD21_13x_0)</f>
        <v>16734.04</v>
      </c>
      <c r="E67" s="2">
        <f>SUM(OSRRefD21_13x_1)</f>
        <v>19209.64</v>
      </c>
      <c r="F67" s="2">
        <f>SUM(OSRRefD21_13x_2)</f>
        <v>15329.43</v>
      </c>
      <c r="G67" s="2">
        <f>SUM(OSRRefD21_13x_3)</f>
        <v>20473.939999999999</v>
      </c>
      <c r="H67" s="2">
        <f>SUM(OSRRefD21_13x_4)</f>
        <v>19678.11</v>
      </c>
      <c r="I67" s="2">
        <f>SUM(OSRRefD21_13x_5)</f>
        <v>22454.78</v>
      </c>
      <c r="J67" s="2">
        <f>SUM(OSRRefD21_13x_6)</f>
        <v>28125.14</v>
      </c>
      <c r="K67" s="2">
        <f>SUM(OSRRefD21_13x_7)</f>
        <v>23801.18</v>
      </c>
      <c r="L67" s="2">
        <f>SUM(OSRRefD21_13x_8)</f>
        <v>53521.99</v>
      </c>
      <c r="M67" s="2">
        <f>SUM(OSRRefD21_13x_9)</f>
        <v>21385.59</v>
      </c>
      <c r="N67" s="2">
        <f>SUM(OSRRefE21_13x_0)</f>
        <v>22307</v>
      </c>
      <c r="O67" s="2">
        <f>SUM(OSRRefE21_13x_1)</f>
        <v>22307</v>
      </c>
      <c r="Q67" s="3">
        <f>SUM(OSRRefD20_13x)+IFERROR(SUM(OSRRefE20_13x),0)</f>
        <v>285327.83999999997</v>
      </c>
    </row>
    <row r="68" spans="1:17" s="42" customFormat="1" ht="15" hidden="1" customHeight="1" outlineLevel="1" x14ac:dyDescent="0.3">
      <c r="A68" s="34"/>
      <c r="B68" s="11" t="str">
        <f>CONCATENATE("          ","6371"," - ","COMPUTER SOFTWARE MAINTENANCE")</f>
        <v xml:space="preserve">          6371 - COMPUTER SOFTWARE MAINTENANCE</v>
      </c>
      <c r="C68" s="15"/>
      <c r="D68" s="3">
        <v>3783.88</v>
      </c>
      <c r="E68" s="3">
        <v>6794.88</v>
      </c>
      <c r="F68" s="3">
        <v>4894.6899999999996</v>
      </c>
      <c r="G68" s="3">
        <v>6247.84</v>
      </c>
      <c r="H68" s="3">
        <v>6466.12</v>
      </c>
      <c r="I68" s="3">
        <v>8214.92</v>
      </c>
      <c r="J68" s="3">
        <v>7179.51</v>
      </c>
      <c r="K68" s="3">
        <v>10602.76</v>
      </c>
      <c r="L68" s="3">
        <v>42960.2</v>
      </c>
      <c r="M68" s="3">
        <v>8317.7000000000007</v>
      </c>
      <c r="N68" s="3">
        <v>9600</v>
      </c>
      <c r="O68" s="3">
        <v>9600</v>
      </c>
      <c r="P68" s="10"/>
      <c r="Q68" s="3">
        <f>SUM(OSRRefD21_13_0x)+IFERROR(SUM(OSRRefE21_13_0x),0)</f>
        <v>124662.5</v>
      </c>
    </row>
    <row r="69" spans="1:17" s="42" customFormat="1" ht="15" hidden="1" customHeight="1" outlineLevel="1" x14ac:dyDescent="0.3">
      <c r="A69" s="34"/>
      <c r="B69" s="11" t="str">
        <f>CONCATENATE("          ","6372"," - ","COMPUTER HARDWARE MAINTENANCE")</f>
        <v xml:space="preserve">          6372 - COMPUTER HARDWARE MAINTENANCE</v>
      </c>
      <c r="C69" s="15"/>
      <c r="D69" s="3"/>
      <c r="E69" s="3"/>
      <c r="F69" s="3"/>
      <c r="G69" s="3">
        <v>1008.07</v>
      </c>
      <c r="H69" s="3"/>
      <c r="I69" s="3">
        <v>3752.4</v>
      </c>
      <c r="J69" s="3"/>
      <c r="K69" s="3"/>
      <c r="L69" s="3"/>
      <c r="M69" s="3"/>
      <c r="N69" s="3"/>
      <c r="O69" s="3"/>
      <c r="P69" s="10"/>
      <c r="Q69" s="3">
        <f>SUM(OSRRefD21_13_1x)+IFERROR(SUM(OSRRefE21_13_1x),0)</f>
        <v>4760.47</v>
      </c>
    </row>
    <row r="70" spans="1:17" s="42" customFormat="1" ht="15" hidden="1" customHeight="1" outlineLevel="1" x14ac:dyDescent="0.3">
      <c r="A70" s="34"/>
      <c r="B70" s="11" t="str">
        <f>CONCATENATE("          ","6373"," - ","MAINTENANCE CONTRACTS")</f>
        <v xml:space="preserve">          6373 - MAINTENANCE CONTRACTS</v>
      </c>
      <c r="C70" s="15"/>
      <c r="D70" s="3">
        <v>12950.16</v>
      </c>
      <c r="E70" s="3">
        <v>10648.33</v>
      </c>
      <c r="F70" s="3">
        <v>10434.74</v>
      </c>
      <c r="G70" s="3">
        <v>13145.19</v>
      </c>
      <c r="H70" s="3">
        <v>13211.99</v>
      </c>
      <c r="I70" s="3">
        <v>10487.46</v>
      </c>
      <c r="J70" s="3">
        <v>20945.63</v>
      </c>
      <c r="K70" s="3">
        <v>13183</v>
      </c>
      <c r="L70" s="3">
        <v>10561.79</v>
      </c>
      <c r="M70" s="3">
        <v>13067.89</v>
      </c>
      <c r="N70" s="3">
        <v>12557</v>
      </c>
      <c r="O70" s="3">
        <v>12557</v>
      </c>
      <c r="P70" s="10"/>
      <c r="Q70" s="3">
        <f>SUM(OSRRefD21_13_2x)+IFERROR(SUM(OSRRefE21_13_2x),0)</f>
        <v>153750.18</v>
      </c>
    </row>
    <row r="71" spans="1:17" s="42" customFormat="1" ht="15" hidden="1" customHeight="1" outlineLevel="1" x14ac:dyDescent="0.3">
      <c r="A71" s="34"/>
      <c r="B71" s="11" t="str">
        <f>CONCATENATE("          ","6375"," - ","OUTSIDE REPAIRS &amp; MAINTENANCE")</f>
        <v xml:space="preserve">          6375 - OUTSIDE REPAIRS &amp; MAINTENANCE</v>
      </c>
      <c r="C71" s="15"/>
      <c r="D71" s="3">
        <v>0</v>
      </c>
      <c r="E71" s="3">
        <v>1766.43</v>
      </c>
      <c r="F71" s="3"/>
      <c r="G71" s="3">
        <v>72.84</v>
      </c>
      <c r="H71" s="3"/>
      <c r="I71" s="3"/>
      <c r="J71" s="3"/>
      <c r="K71" s="3">
        <v>15.42</v>
      </c>
      <c r="L71" s="3"/>
      <c r="M71" s="3">
        <v>0</v>
      </c>
      <c r="N71" s="3">
        <v>150</v>
      </c>
      <c r="O71" s="3">
        <v>150</v>
      </c>
      <c r="P71" s="10"/>
      <c r="Q71" s="3">
        <f>SUM(OSRRefD21_13_3x)+IFERROR(SUM(OSRRefE21_13_3x),0)</f>
        <v>2154.69</v>
      </c>
    </row>
    <row r="72" spans="1:17" s="42" customFormat="1" ht="15" customHeight="1" collapsed="1" x14ac:dyDescent="0.3">
      <c r="A72" s="34"/>
      <c r="B72" s="15" t="str">
        <f>CONCATENATE("     ","Services                                          ")</f>
        <v xml:space="preserve">     Services                                          </v>
      </c>
      <c r="C72" s="15"/>
      <c r="D72" s="2">
        <f>SUM(OSRRefD21_14x_0)</f>
        <v>0</v>
      </c>
      <c r="E72" s="2">
        <f>SUM(OSRRefD21_14x_1)</f>
        <v>1367.89</v>
      </c>
      <c r="F72" s="2">
        <f>SUM(OSRRefD21_14x_2)</f>
        <v>657.38</v>
      </c>
      <c r="G72" s="2">
        <f>SUM(OSRRefD21_14x_3)</f>
        <v>657.38</v>
      </c>
      <c r="H72" s="2">
        <f>SUM(OSRRefD21_14x_4)</f>
        <v>657.38</v>
      </c>
      <c r="I72" s="2">
        <f>SUM(OSRRefD21_14x_5)</f>
        <v>657.38</v>
      </c>
      <c r="J72" s="2">
        <f>SUM(OSRRefD21_14x_6)</f>
        <v>1208.05</v>
      </c>
      <c r="K72" s="2">
        <f>SUM(OSRRefD21_14x_7)</f>
        <v>961.14</v>
      </c>
      <c r="L72" s="2">
        <f>SUM(OSRRefD21_14x_8)</f>
        <v>1938.08</v>
      </c>
      <c r="M72" s="2">
        <f>SUM(OSRRefD21_14x_9)</f>
        <v>0</v>
      </c>
      <c r="N72" s="2">
        <f>SUM(OSRRefE21_14x_0)</f>
        <v>650</v>
      </c>
      <c r="O72" s="2">
        <f>SUM(OSRRefE21_14x_1)</f>
        <v>650</v>
      </c>
      <c r="Q72" s="3">
        <f>SUM(OSRRefD20_14x)+IFERROR(SUM(OSRRefE20_14x),0)</f>
        <v>9404.68</v>
      </c>
    </row>
    <row r="73" spans="1:17" s="42" customFormat="1" ht="15" hidden="1" customHeight="1" outlineLevel="1" x14ac:dyDescent="0.3">
      <c r="A73" s="34"/>
      <c r="B73" s="11" t="str">
        <f>CONCATENATE("          ","6281"," - ","STORAGE FEE")</f>
        <v xml:space="preserve">          6281 - STORAGE FEE</v>
      </c>
      <c r="C73" s="15"/>
      <c r="D73" s="3"/>
      <c r="E73" s="3">
        <v>1367.89</v>
      </c>
      <c r="F73" s="3">
        <v>657.38</v>
      </c>
      <c r="G73" s="3">
        <v>657.38</v>
      </c>
      <c r="H73" s="3">
        <v>657.38</v>
      </c>
      <c r="I73" s="3">
        <v>657.38</v>
      </c>
      <c r="J73" s="3">
        <v>1208.05</v>
      </c>
      <c r="K73" s="3">
        <v>961.14</v>
      </c>
      <c r="L73" s="3">
        <v>1938.08</v>
      </c>
      <c r="M73" s="3"/>
      <c r="N73" s="3">
        <v>625</v>
      </c>
      <c r="O73" s="3">
        <v>625</v>
      </c>
      <c r="P73" s="10"/>
      <c r="Q73" s="3">
        <f>SUM(OSRRefD21_14_0x)+IFERROR(SUM(OSRRefE21_14_0x),0)</f>
        <v>9354.68</v>
      </c>
    </row>
    <row r="74" spans="1:17" s="42" customFormat="1" ht="15" hidden="1" customHeight="1" outlineLevel="1" x14ac:dyDescent="0.3">
      <c r="A74" s="34"/>
      <c r="B74" s="11" t="str">
        <f>CONCATENATE("          ","6286"," - ","LAUNDRY EXPENSE")</f>
        <v xml:space="preserve">          6286 - LAUNDRY EXPENSE</v>
      </c>
      <c r="C74" s="15"/>
      <c r="D74" s="3"/>
      <c r="E74" s="3"/>
      <c r="F74" s="3"/>
      <c r="G74" s="3"/>
      <c r="H74" s="3"/>
      <c r="I74" s="3"/>
      <c r="J74" s="3"/>
      <c r="K74" s="3"/>
      <c r="L74" s="3"/>
      <c r="M74" s="3"/>
      <c r="N74" s="3">
        <v>25</v>
      </c>
      <c r="O74" s="3">
        <v>25</v>
      </c>
      <c r="P74" s="10"/>
      <c r="Q74" s="3">
        <f>SUM(OSRRefD21_14_1x)+IFERROR(SUM(OSRRefE21_14_1x),0)</f>
        <v>50</v>
      </c>
    </row>
    <row r="75" spans="1:17" s="42" customFormat="1" ht="15" customHeight="1" collapsed="1" x14ac:dyDescent="0.3">
      <c r="A75" s="34"/>
      <c r="B75" s="15" t="str">
        <f>CONCATENATE("     ","Subscriptions &amp; Dues                              ")</f>
        <v xml:space="preserve">     Subscriptions &amp; Dues                              </v>
      </c>
      <c r="C75" s="15"/>
      <c r="D75" s="2">
        <f>SUM(OSRRefD21_15x_0)</f>
        <v>219</v>
      </c>
      <c r="E75" s="2">
        <f>SUM(OSRRefD21_15x_1)</f>
        <v>1000</v>
      </c>
      <c r="F75" s="2">
        <f>SUM(OSRRefD21_15x_2)</f>
        <v>0</v>
      </c>
      <c r="G75" s="2">
        <f>SUM(OSRRefD21_15x_3)</f>
        <v>438</v>
      </c>
      <c r="H75" s="2">
        <f>SUM(OSRRefD21_15x_4)</f>
        <v>0</v>
      </c>
      <c r="I75" s="2">
        <f>SUM(OSRRefD21_15x_5)</f>
        <v>795</v>
      </c>
      <c r="J75" s="2">
        <f>SUM(OSRRefD21_15x_6)</f>
        <v>0</v>
      </c>
      <c r="K75" s="2">
        <f>SUM(OSRRefD21_15x_7)</f>
        <v>1278.9000000000001</v>
      </c>
      <c r="L75" s="2">
        <f>SUM(OSRRefD21_15x_8)</f>
        <v>775</v>
      </c>
      <c r="M75" s="2">
        <f>SUM(OSRRefD21_15x_9)</f>
        <v>3847</v>
      </c>
      <c r="N75" s="2">
        <f>SUM(OSRRefE21_15x_0)</f>
        <v>1550</v>
      </c>
      <c r="O75" s="2">
        <f>SUM(OSRRefE21_15x_1)</f>
        <v>230</v>
      </c>
      <c r="Q75" s="3">
        <f>SUM(OSRRefD20_15x)+IFERROR(SUM(OSRRefE20_15x),0)</f>
        <v>10132.9</v>
      </c>
    </row>
    <row r="76" spans="1:17" s="42" customFormat="1" ht="15" hidden="1" customHeight="1" outlineLevel="1" x14ac:dyDescent="0.3">
      <c r="A76" s="34"/>
      <c r="B76" s="11" t="str">
        <f>CONCATENATE("          ","6258"," - ","MEMBERSHIP DUES")</f>
        <v xml:space="preserve">          6258 - MEMBERSHIP DUES</v>
      </c>
      <c r="C76" s="15"/>
      <c r="D76" s="3">
        <v>219</v>
      </c>
      <c r="E76" s="3">
        <v>1000</v>
      </c>
      <c r="F76" s="3"/>
      <c r="G76" s="3">
        <v>438</v>
      </c>
      <c r="H76" s="3"/>
      <c r="I76" s="3">
        <v>795</v>
      </c>
      <c r="J76" s="3"/>
      <c r="K76" s="3">
        <v>0</v>
      </c>
      <c r="L76" s="3">
        <v>775</v>
      </c>
      <c r="M76" s="3">
        <v>3847</v>
      </c>
      <c r="N76" s="3">
        <v>1550</v>
      </c>
      <c r="O76" s="3">
        <v>230</v>
      </c>
      <c r="P76" s="10"/>
      <c r="Q76" s="3">
        <f>SUM(OSRRefD21_15_0x)+IFERROR(SUM(OSRRefE21_15_0x),0)</f>
        <v>8854</v>
      </c>
    </row>
    <row r="77" spans="1:17" s="42" customFormat="1" ht="15" hidden="1" customHeight="1" outlineLevel="1" x14ac:dyDescent="0.3">
      <c r="A77" s="34"/>
      <c r="B77" s="11" t="str">
        <f>CONCATENATE("          ","6275"," - ","SUBSCRIPTIONS")</f>
        <v xml:space="preserve">          6275 - SUBSCRIPTIONS</v>
      </c>
      <c r="C77" s="15"/>
      <c r="D77" s="3"/>
      <c r="E77" s="3"/>
      <c r="F77" s="3"/>
      <c r="G77" s="3"/>
      <c r="H77" s="3"/>
      <c r="I77" s="3"/>
      <c r="J77" s="3"/>
      <c r="K77" s="3">
        <v>1278.9000000000001</v>
      </c>
      <c r="L77" s="3"/>
      <c r="M77" s="3"/>
      <c r="N77" s="3"/>
      <c r="O77" s="3"/>
      <c r="P77" s="10"/>
      <c r="Q77" s="3">
        <f>SUM(OSRRefD21_15_1x)+IFERROR(SUM(OSRRefE21_15_1x),0)</f>
        <v>1278.9000000000001</v>
      </c>
    </row>
    <row r="78" spans="1:17" s="42" customFormat="1" ht="15" customHeight="1" collapsed="1" x14ac:dyDescent="0.3">
      <c r="A78" s="34"/>
      <c r="B78" s="15" t="str">
        <f>CONCATENATE("     ","Supplies                                          ")</f>
        <v xml:space="preserve">     Supplies                                          </v>
      </c>
      <c r="C78" s="15"/>
      <c r="D78" s="2">
        <f>SUM(OSRRefD21_16x_0)</f>
        <v>3414.08</v>
      </c>
      <c r="E78" s="2">
        <f>SUM(OSRRefD21_16x_1)</f>
        <v>2872.79</v>
      </c>
      <c r="F78" s="2">
        <f>SUM(OSRRefD21_16x_2)</f>
        <v>291.31</v>
      </c>
      <c r="G78" s="2">
        <f>SUM(OSRRefD21_16x_3)</f>
        <v>3300.55</v>
      </c>
      <c r="H78" s="2">
        <f>SUM(OSRRefD21_16x_4)</f>
        <v>630.96</v>
      </c>
      <c r="I78" s="2">
        <f>SUM(OSRRefD21_16x_5)</f>
        <v>896.77</v>
      </c>
      <c r="J78" s="2">
        <f>SUM(OSRRefD21_16x_6)</f>
        <v>3379.99</v>
      </c>
      <c r="K78" s="2">
        <f>SUM(OSRRefD21_16x_7)</f>
        <v>24478.02</v>
      </c>
      <c r="L78" s="2">
        <f>SUM(OSRRefD21_16x_8)</f>
        <v>4659.3999999999996</v>
      </c>
      <c r="M78" s="2">
        <f>SUM(OSRRefD21_16x_9)</f>
        <v>1188.9299999999998</v>
      </c>
      <c r="N78" s="2">
        <f>SUM(OSRRefE21_16x_0)</f>
        <v>2784</v>
      </c>
      <c r="O78" s="2">
        <f>SUM(OSRRefE21_16x_1)</f>
        <v>2776</v>
      </c>
      <c r="Q78" s="3">
        <f>SUM(OSRRefD20_16x)+IFERROR(SUM(OSRRefE20_16x),0)</f>
        <v>50672.800000000003</v>
      </c>
    </row>
    <row r="79" spans="1:17" s="42" customFormat="1" ht="15" hidden="1" customHeight="1" outlineLevel="1" x14ac:dyDescent="0.3">
      <c r="A79" s="34"/>
      <c r="B79" s="11" t="str">
        <f>CONCATENATE("          ","6234"," - ","EXPENDABLE SUPPLIES &amp; EQUIPMEN")</f>
        <v xml:space="preserve">          6234 - EXPENDABLE SUPPLIES &amp; EQUIPMEN</v>
      </c>
      <c r="C79" s="15"/>
      <c r="D79" s="3"/>
      <c r="E79" s="3">
        <v>26.1</v>
      </c>
      <c r="F79" s="3"/>
      <c r="G79" s="3"/>
      <c r="H79" s="3"/>
      <c r="I79" s="3"/>
      <c r="J79" s="3"/>
      <c r="K79" s="3"/>
      <c r="L79" s="3">
        <v>2697.42</v>
      </c>
      <c r="M79" s="3"/>
      <c r="N79" s="3">
        <v>125</v>
      </c>
      <c r="O79" s="3">
        <v>125</v>
      </c>
      <c r="P79" s="10"/>
      <c r="Q79" s="3">
        <f>SUM(OSRRefD21_16_0x)+IFERROR(SUM(OSRRefE21_16_0x),0)</f>
        <v>2973.52</v>
      </c>
    </row>
    <row r="80" spans="1:17" s="42" customFormat="1" ht="15" hidden="1" customHeight="1" outlineLevel="1" x14ac:dyDescent="0.3">
      <c r="A80" s="34"/>
      <c r="B80" s="11" t="str">
        <f>CONCATENATE("          ","6235"," - ","COVID-19 EXPENSES")</f>
        <v xml:space="preserve">          6235 - COVID-19 EXPENSES</v>
      </c>
      <c r="C80" s="15"/>
      <c r="D80" s="3">
        <v>2447.77</v>
      </c>
      <c r="E80" s="3"/>
      <c r="F80" s="3"/>
      <c r="G80" s="3"/>
      <c r="H80" s="3"/>
      <c r="I80" s="3"/>
      <c r="J80" s="3"/>
      <c r="K80" s="3">
        <v>188.36</v>
      </c>
      <c r="L80" s="3"/>
      <c r="M80" s="3"/>
      <c r="N80" s="3"/>
      <c r="O80" s="3"/>
      <c r="P80" s="10"/>
      <c r="Q80" s="3">
        <f>SUM(OSRRefD21_16_1x)+IFERROR(SUM(OSRRefE21_16_1x),0)</f>
        <v>2636.13</v>
      </c>
    </row>
    <row r="81" spans="1:17" s="42" customFormat="1" ht="15" hidden="1" customHeight="1" outlineLevel="1" x14ac:dyDescent="0.3">
      <c r="A81" s="34"/>
      <c r="B81" s="11" t="str">
        <f>CONCATENATE("          ","6241"," - ","OFFICE EXPENSE")</f>
        <v xml:space="preserve">          6241 - OFFICE EXPENSE</v>
      </c>
      <c r="C81" s="15"/>
      <c r="D81" s="3">
        <v>791.31</v>
      </c>
      <c r="E81" s="3">
        <v>1610</v>
      </c>
      <c r="F81" s="3">
        <v>116.31</v>
      </c>
      <c r="G81" s="3">
        <v>1552.55</v>
      </c>
      <c r="H81" s="3">
        <v>580.96</v>
      </c>
      <c r="I81" s="3">
        <v>896.77</v>
      </c>
      <c r="J81" s="3">
        <v>3379.99</v>
      </c>
      <c r="K81" s="3">
        <v>15738.06</v>
      </c>
      <c r="L81" s="3">
        <v>1961.98</v>
      </c>
      <c r="M81" s="3">
        <v>117.79</v>
      </c>
      <c r="N81" s="3">
        <v>2242</v>
      </c>
      <c r="O81" s="3">
        <v>2238</v>
      </c>
      <c r="P81" s="10"/>
      <c r="Q81" s="3">
        <f>SUM(OSRRefD21_16_2x)+IFERROR(SUM(OSRRefE21_16_2x),0)</f>
        <v>31225.719999999998</v>
      </c>
    </row>
    <row r="82" spans="1:17" s="42" customFormat="1" ht="15" hidden="1" customHeight="1" outlineLevel="1" x14ac:dyDescent="0.3">
      <c r="A82" s="34"/>
      <c r="B82" s="11" t="str">
        <f>CONCATENATE("          ","6244"," - ","SAFETY SUPPLY EXPENSE")</f>
        <v xml:space="preserve">          6244 - SAFETY SUPPLY EXPENSE</v>
      </c>
      <c r="C82" s="15"/>
      <c r="D82" s="3">
        <v>175</v>
      </c>
      <c r="E82" s="3">
        <v>25</v>
      </c>
      <c r="F82" s="3">
        <v>175</v>
      </c>
      <c r="G82" s="3">
        <v>175</v>
      </c>
      <c r="H82" s="3">
        <v>50</v>
      </c>
      <c r="I82" s="3"/>
      <c r="J82" s="3"/>
      <c r="K82" s="3">
        <v>50</v>
      </c>
      <c r="L82" s="3"/>
      <c r="M82" s="3">
        <v>511.27</v>
      </c>
      <c r="N82" s="3">
        <v>417</v>
      </c>
      <c r="O82" s="3">
        <v>413</v>
      </c>
      <c r="P82" s="10"/>
      <c r="Q82" s="3">
        <f>SUM(OSRRefD21_16_3x)+IFERROR(SUM(OSRRefE21_16_3x),0)</f>
        <v>1991.27</v>
      </c>
    </row>
    <row r="83" spans="1:17" s="42" customFormat="1" ht="15" hidden="1" customHeight="1" outlineLevel="1" x14ac:dyDescent="0.3">
      <c r="A83" s="34"/>
      <c r="B83" s="11" t="str">
        <f>CONCATENATE("          ","6248"," - ","UNIFORMS")</f>
        <v xml:space="preserve">          6248 - UNIFORMS</v>
      </c>
      <c r="C83" s="15"/>
      <c r="D83" s="3">
        <v>0</v>
      </c>
      <c r="E83" s="3">
        <v>1211.69</v>
      </c>
      <c r="F83" s="3"/>
      <c r="G83" s="3">
        <v>1573</v>
      </c>
      <c r="H83" s="3"/>
      <c r="I83" s="3"/>
      <c r="J83" s="3"/>
      <c r="K83" s="3">
        <v>8501.6</v>
      </c>
      <c r="L83" s="3"/>
      <c r="M83" s="3">
        <v>559.87</v>
      </c>
      <c r="N83" s="3"/>
      <c r="O83" s="3"/>
      <c r="P83" s="10"/>
      <c r="Q83" s="3">
        <f>SUM(OSRRefD21_16_4x)+IFERROR(SUM(OSRRefE21_16_4x),0)</f>
        <v>11846.160000000002</v>
      </c>
    </row>
    <row r="84" spans="1:17" s="42" customFormat="1" ht="15" customHeight="1" collapsed="1" x14ac:dyDescent="0.3">
      <c r="A84" s="34"/>
      <c r="B84" s="15" t="str">
        <f>CONCATENATE("     ","Telephone/Data Lines                              ")</f>
        <v xml:space="preserve">     Telephone/Data Lines                              </v>
      </c>
      <c r="C84" s="15"/>
      <c r="D84" s="2">
        <f>SUM(OSRRefD21_17x_0)</f>
        <v>2515.34</v>
      </c>
      <c r="E84" s="2">
        <f>SUM(OSRRefD21_17x_1)</f>
        <v>2002.23</v>
      </c>
      <c r="F84" s="2">
        <f>SUM(OSRRefD21_17x_2)</f>
        <v>1996.73</v>
      </c>
      <c r="G84" s="2">
        <f>SUM(OSRRefD21_17x_3)</f>
        <v>3309.04</v>
      </c>
      <c r="H84" s="2">
        <f>SUM(OSRRefD21_17x_4)</f>
        <v>2393.02</v>
      </c>
      <c r="I84" s="2">
        <f>SUM(OSRRefD21_17x_5)</f>
        <v>1567.48</v>
      </c>
      <c r="J84" s="2">
        <f>SUM(OSRRefD21_17x_6)</f>
        <v>2406.9699999999998</v>
      </c>
      <c r="K84" s="2">
        <f>SUM(OSRRefD21_17x_7)</f>
        <v>2530.8900000000003</v>
      </c>
      <c r="L84" s="2">
        <f>SUM(OSRRefD21_17x_8)</f>
        <v>2162.1799999999998</v>
      </c>
      <c r="M84" s="2">
        <f>SUM(OSRRefD21_17x_9)</f>
        <v>3060.84</v>
      </c>
      <c r="N84" s="2">
        <f>SUM(OSRRefE21_17x_0)</f>
        <v>1905</v>
      </c>
      <c r="O84" s="2">
        <f>SUM(OSRRefE21_17x_1)</f>
        <v>1885</v>
      </c>
      <c r="Q84" s="3">
        <f>SUM(OSRRefD20_17x)+IFERROR(SUM(OSRRefE20_17x),0)</f>
        <v>27734.720000000001</v>
      </c>
    </row>
    <row r="85" spans="1:17" s="42" customFormat="1" ht="15" hidden="1" customHeight="1" outlineLevel="1" x14ac:dyDescent="0.3">
      <c r="A85" s="34"/>
      <c r="B85" s="11" t="str">
        <f>CONCATENATE("          ","6303"," - ","DATA PHONE LINES")</f>
        <v xml:space="preserve">          6303 - DATA PHONE LINES</v>
      </c>
      <c r="C85" s="15"/>
      <c r="D85" s="3">
        <v>161.97999999999999</v>
      </c>
      <c r="E85" s="3">
        <v>161.97999999999999</v>
      </c>
      <c r="F85" s="3"/>
      <c r="G85" s="3">
        <v>332.96</v>
      </c>
      <c r="H85" s="3">
        <v>170.98</v>
      </c>
      <c r="I85" s="3">
        <v>81.99</v>
      </c>
      <c r="J85" s="3">
        <v>171.98</v>
      </c>
      <c r="K85" s="3">
        <v>260.97000000000003</v>
      </c>
      <c r="L85" s="3">
        <v>81.99</v>
      </c>
      <c r="M85" s="3">
        <v>265.95999999999998</v>
      </c>
      <c r="N85" s="3">
        <v>336</v>
      </c>
      <c r="O85" s="3">
        <v>316</v>
      </c>
      <c r="P85" s="10"/>
      <c r="Q85" s="3">
        <f>SUM(OSRRefD21_17_0x)+IFERROR(SUM(OSRRefE21_17_0x),0)</f>
        <v>2342.79</v>
      </c>
    </row>
    <row r="86" spans="1:17" s="42" customFormat="1" ht="15" hidden="1" customHeight="1" outlineLevel="1" x14ac:dyDescent="0.3">
      <c r="A86" s="34"/>
      <c r="B86" s="11" t="str">
        <f>CONCATENATE("          ","6309"," - ","TELEPHONE")</f>
        <v xml:space="preserve">          6309 - TELEPHONE</v>
      </c>
      <c r="C86" s="15"/>
      <c r="D86" s="3">
        <v>2353.36</v>
      </c>
      <c r="E86" s="3">
        <v>1840.25</v>
      </c>
      <c r="F86" s="3">
        <v>1996.73</v>
      </c>
      <c r="G86" s="3">
        <v>2976.08</v>
      </c>
      <c r="H86" s="3">
        <v>2222.04</v>
      </c>
      <c r="I86" s="3">
        <v>1485.49</v>
      </c>
      <c r="J86" s="3">
        <v>2234.9899999999998</v>
      </c>
      <c r="K86" s="3">
        <v>2269.92</v>
      </c>
      <c r="L86" s="3">
        <v>2080.19</v>
      </c>
      <c r="M86" s="3">
        <v>2794.88</v>
      </c>
      <c r="N86" s="3">
        <v>1569</v>
      </c>
      <c r="O86" s="3">
        <v>1569</v>
      </c>
      <c r="P86" s="10"/>
      <c r="Q86" s="3">
        <f>SUM(OSRRefD21_17_1x)+IFERROR(SUM(OSRRefE21_17_1x),0)</f>
        <v>25391.93</v>
      </c>
    </row>
    <row r="87" spans="1:17" s="42" customFormat="1" ht="15" customHeight="1" collapsed="1" x14ac:dyDescent="0.3">
      <c r="A87" s="34"/>
      <c r="B87" s="15" t="str">
        <f>CONCATENATE("     ","Training                                          ")</f>
        <v xml:space="preserve">     Training                                          </v>
      </c>
      <c r="C87" s="15"/>
      <c r="D87" s="2">
        <f>SUM(OSRRefD21_18x_0)</f>
        <v>0</v>
      </c>
      <c r="E87" s="2">
        <f>SUM(OSRRefD21_18x_1)</f>
        <v>595</v>
      </c>
      <c r="F87" s="2">
        <f>SUM(OSRRefD21_18x_2)</f>
        <v>0</v>
      </c>
      <c r="G87" s="2">
        <f>SUM(OSRRefD21_18x_3)</f>
        <v>475</v>
      </c>
      <c r="H87" s="2">
        <f>SUM(OSRRefD21_18x_4)</f>
        <v>595</v>
      </c>
      <c r="I87" s="2">
        <f>SUM(OSRRefD21_18x_5)</f>
        <v>99</v>
      </c>
      <c r="J87" s="2">
        <f>SUM(OSRRefD21_18x_6)</f>
        <v>0</v>
      </c>
      <c r="K87" s="2">
        <f>SUM(OSRRefD21_18x_7)</f>
        <v>0</v>
      </c>
      <c r="L87" s="2">
        <f>SUM(OSRRefD21_18x_8)</f>
        <v>-595</v>
      </c>
      <c r="M87" s="2">
        <f>SUM(OSRRefD21_18x_9)</f>
        <v>399</v>
      </c>
      <c r="N87" s="2">
        <f>SUM(OSRRefE21_18x_0)</f>
        <v>333</v>
      </c>
      <c r="O87" s="2">
        <f>SUM(OSRRefE21_18x_1)</f>
        <v>337</v>
      </c>
      <c r="Q87" s="3">
        <f>SUM(OSRRefD20_18x)+IFERROR(SUM(OSRRefE20_18x),0)</f>
        <v>2238</v>
      </c>
    </row>
    <row r="88" spans="1:17" s="42" customFormat="1" ht="15" hidden="1" customHeight="1" outlineLevel="1" x14ac:dyDescent="0.3">
      <c r="A88" s="34"/>
      <c r="B88" s="11" t="str">
        <f>CONCATENATE("          ","6376"," - ","TRAINING")</f>
        <v xml:space="preserve">          6376 - TRAINING</v>
      </c>
      <c r="C88" s="15"/>
      <c r="D88" s="3"/>
      <c r="E88" s="3">
        <v>595</v>
      </c>
      <c r="F88" s="3"/>
      <c r="G88" s="3">
        <v>475</v>
      </c>
      <c r="H88" s="3">
        <v>595</v>
      </c>
      <c r="I88" s="3">
        <v>99</v>
      </c>
      <c r="J88" s="3"/>
      <c r="K88" s="3"/>
      <c r="L88" s="3">
        <v>-595</v>
      </c>
      <c r="M88" s="3">
        <v>399</v>
      </c>
      <c r="N88" s="3">
        <v>333</v>
      </c>
      <c r="O88" s="3">
        <v>337</v>
      </c>
      <c r="P88" s="10"/>
      <c r="Q88" s="3">
        <f>SUM(OSRRefD21_18_0x)+IFERROR(SUM(OSRRefE21_18_0x),0)</f>
        <v>2238</v>
      </c>
    </row>
    <row r="89" spans="1:17" s="42" customFormat="1" ht="15" customHeight="1" collapsed="1" x14ac:dyDescent="0.3">
      <c r="A89" s="34"/>
      <c r="B89" s="15" t="str">
        <f>CONCATENATE("     ","Travel                                            ")</f>
        <v xml:space="preserve">     Travel                                            </v>
      </c>
      <c r="C89" s="15"/>
      <c r="D89" s="2">
        <f>SUM(OSRRefD21_19x_0)</f>
        <v>17.100000000000001</v>
      </c>
      <c r="E89" s="2">
        <f>SUM(OSRRefD21_19x_1)</f>
        <v>0</v>
      </c>
      <c r="F89" s="2">
        <f>SUM(OSRRefD21_19x_2)</f>
        <v>13.3</v>
      </c>
      <c r="G89" s="2">
        <f>SUM(OSRRefD21_19x_3)</f>
        <v>0</v>
      </c>
      <c r="H89" s="2">
        <f>SUM(OSRRefD21_19x_4)</f>
        <v>0</v>
      </c>
      <c r="I89" s="2">
        <f>SUM(OSRRefD21_19x_5)</f>
        <v>0</v>
      </c>
      <c r="J89" s="2">
        <f>SUM(OSRRefD21_19x_6)</f>
        <v>0</v>
      </c>
      <c r="K89" s="2">
        <f>SUM(OSRRefD21_19x_7)</f>
        <v>0</v>
      </c>
      <c r="L89" s="2">
        <f>SUM(OSRRefD21_19x_8)</f>
        <v>0</v>
      </c>
      <c r="M89" s="2">
        <f>SUM(OSRRefD21_19x_9)</f>
        <v>0</v>
      </c>
      <c r="N89" s="2">
        <f>SUM(OSRRefE21_19x_0)</f>
        <v>0</v>
      </c>
      <c r="O89" s="2">
        <f>SUM(OSRRefE21_19x_1)</f>
        <v>0</v>
      </c>
      <c r="Q89" s="3">
        <f>SUM(OSRRefD20_19x)+IFERROR(SUM(OSRRefE20_19x),0)</f>
        <v>30.400000000000002</v>
      </c>
    </row>
    <row r="90" spans="1:17" s="42" customFormat="1" ht="15" hidden="1" customHeight="1" outlineLevel="1" x14ac:dyDescent="0.3">
      <c r="A90" s="34"/>
      <c r="B90" s="11" t="str">
        <f>CONCATENATE("          ","6292"," - ","TRAVEL/CONFERENCE")</f>
        <v xml:space="preserve">          6292 - TRAVEL/CONFERENCE</v>
      </c>
      <c r="C90" s="15"/>
      <c r="D90" s="3"/>
      <c r="E90" s="3"/>
      <c r="F90" s="3"/>
      <c r="G90" s="3"/>
      <c r="H90" s="3"/>
      <c r="I90" s="3"/>
      <c r="J90" s="3">
        <v>0</v>
      </c>
      <c r="K90" s="3"/>
      <c r="L90" s="3"/>
      <c r="M90" s="3"/>
      <c r="N90" s="3"/>
      <c r="O90" s="3"/>
      <c r="P90" s="10"/>
      <c r="Q90" s="3">
        <f>SUM(OSRRefD21_19_0x)+IFERROR(SUM(OSRRefE21_19_0x),0)</f>
        <v>0</v>
      </c>
    </row>
    <row r="91" spans="1:17" s="42" customFormat="1" ht="15" hidden="1" customHeight="1" outlineLevel="1" x14ac:dyDescent="0.3">
      <c r="A91" s="34"/>
      <c r="B91" s="11" t="str">
        <f>CONCATENATE("          ","6294"," - ","TRAVEL OPERATIONAL")</f>
        <v xml:space="preserve">          6294 - TRAVEL OPERATIONAL</v>
      </c>
      <c r="C91" s="15"/>
      <c r="D91" s="3">
        <v>17.100000000000001</v>
      </c>
      <c r="E91" s="3"/>
      <c r="F91" s="3">
        <v>13.3</v>
      </c>
      <c r="G91" s="3"/>
      <c r="H91" s="3"/>
      <c r="I91" s="3"/>
      <c r="J91" s="3"/>
      <c r="K91" s="3"/>
      <c r="L91" s="3"/>
      <c r="M91" s="3"/>
      <c r="N91" s="3"/>
      <c r="O91" s="3"/>
      <c r="P91" s="10"/>
      <c r="Q91" s="3">
        <f>SUM(OSRRefD21_19_1x)+IFERROR(SUM(OSRRefE21_19_1x),0)</f>
        <v>30.400000000000002</v>
      </c>
    </row>
    <row r="92" spans="1:17" s="40" customFormat="1" ht="15" customHeight="1" x14ac:dyDescent="0.3">
      <c r="A92" s="22"/>
      <c r="B92" s="22"/>
      <c r="C92" s="2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Q92" s="2"/>
    </row>
    <row r="93" spans="1:17" s="39" customFormat="1" ht="15" customHeight="1" x14ac:dyDescent="0.3">
      <c r="A93" s="24"/>
      <c r="B93" s="17" t="s">
        <v>287</v>
      </c>
      <c r="C93" s="23"/>
      <c r="D93" s="4">
        <f>0</f>
        <v>0</v>
      </c>
      <c r="E93" s="4">
        <f>0</f>
        <v>0</v>
      </c>
      <c r="F93" s="4">
        <f>0</f>
        <v>0</v>
      </c>
      <c r="G93" s="4">
        <f>0</f>
        <v>0</v>
      </c>
      <c r="H93" s="4">
        <f>0</f>
        <v>0</v>
      </c>
      <c r="I93" s="4">
        <f>0</f>
        <v>0</v>
      </c>
      <c r="J93" s="4">
        <f>0</f>
        <v>0</v>
      </c>
      <c r="K93" s="4">
        <f>0</f>
        <v>0</v>
      </c>
      <c r="L93" s="4">
        <f>0</f>
        <v>0</v>
      </c>
      <c r="M93" s="4">
        <f>0</f>
        <v>0</v>
      </c>
      <c r="N93" s="4"/>
      <c r="O93" s="4"/>
      <c r="Q93" s="3">
        <f>SUM(OSRRefD23_0x)+IFERROR(SUM(OSRRefE23_0x),0)</f>
        <v>0</v>
      </c>
    </row>
    <row r="94" spans="1:17" ht="15" customHeight="1" x14ac:dyDescent="0.3">
      <c r="A94" s="6"/>
      <c r="B94" s="7"/>
      <c r="C94" s="7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Q94" s="4"/>
    </row>
    <row r="95" spans="1:17" s="37" customFormat="1" ht="15" customHeight="1" x14ac:dyDescent="0.3">
      <c r="A95" s="7"/>
      <c r="B95" s="18" t="s">
        <v>288</v>
      </c>
      <c r="C95" s="18"/>
      <c r="D95" s="9">
        <f t="shared" ref="D95:O95" si="4">IFERROR(+D14-D17+D93,0)</f>
        <v>-232914.85999999996</v>
      </c>
      <c r="E95" s="9">
        <f t="shared" si="4"/>
        <v>-214290.75</v>
      </c>
      <c r="F95" s="9">
        <f t="shared" si="4"/>
        <v>-214039.08999999997</v>
      </c>
      <c r="G95" s="9">
        <f t="shared" si="4"/>
        <v>-248611.91999999995</v>
      </c>
      <c r="H95" s="9">
        <f t="shared" si="4"/>
        <v>-242860.23000000004</v>
      </c>
      <c r="I95" s="9">
        <f t="shared" si="4"/>
        <v>-216572.44999999998</v>
      </c>
      <c r="J95" s="9">
        <f t="shared" si="4"/>
        <v>-346287.75</v>
      </c>
      <c r="K95" s="9">
        <f t="shared" si="4"/>
        <v>-237459.55000000002</v>
      </c>
      <c r="L95" s="9">
        <f t="shared" si="4"/>
        <v>-256640.53999999998</v>
      </c>
      <c r="M95" s="9">
        <f t="shared" si="4"/>
        <v>-266682.48</v>
      </c>
      <c r="N95" s="9">
        <f t="shared" si="4"/>
        <v>-230228.17971184</v>
      </c>
      <c r="O95" s="9">
        <f t="shared" si="4"/>
        <v>215603.10673616</v>
      </c>
      <c r="Q95" s="9">
        <f>IFERROR(+Q14-Q17+Q93,0)</f>
        <v>-2490984.6929756794</v>
      </c>
    </row>
    <row r="96" spans="1:17" s="38" customFormat="1" ht="15" customHeight="1" x14ac:dyDescent="0.3">
      <c r="B96" s="17"/>
      <c r="C96" s="17"/>
      <c r="D96" s="5">
        <f t="shared" ref="D96:O96" si="5">IFERROR(D95/D10,0)</f>
        <v>0</v>
      </c>
      <c r="E96" s="5">
        <f t="shared" si="5"/>
        <v>0</v>
      </c>
      <c r="F96" s="5">
        <f t="shared" si="5"/>
        <v>0</v>
      </c>
      <c r="G96" s="5">
        <f t="shared" si="5"/>
        <v>0</v>
      </c>
      <c r="H96" s="5">
        <f t="shared" si="5"/>
        <v>0</v>
      </c>
      <c r="I96" s="5">
        <f t="shared" si="5"/>
        <v>0</v>
      </c>
      <c r="J96" s="5">
        <f t="shared" si="5"/>
        <v>0</v>
      </c>
      <c r="K96" s="5">
        <f t="shared" si="5"/>
        <v>0</v>
      </c>
      <c r="L96" s="5">
        <f t="shared" si="5"/>
        <v>0</v>
      </c>
      <c r="M96" s="5">
        <f t="shared" si="5"/>
        <v>0</v>
      </c>
      <c r="N96" s="5">
        <f t="shared" si="5"/>
        <v>0</v>
      </c>
      <c r="O96" s="5">
        <f t="shared" si="5"/>
        <v>0</v>
      </c>
      <c r="P96" s="19"/>
      <c r="Q96" s="5">
        <f>IFERROR(Q95/Q10,0)</f>
        <v>0</v>
      </c>
    </row>
    <row r="97" spans="1:17" ht="15" customHeight="1" x14ac:dyDescent="0.3">
      <c r="A97" s="6"/>
      <c r="B97" s="7"/>
      <c r="C97" s="6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Q97" s="4"/>
    </row>
    <row r="98" spans="1:17" ht="15" customHeight="1" x14ac:dyDescent="0.3">
      <c r="A98" s="6"/>
      <c r="B98" s="7"/>
      <c r="C98" s="7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Q98" s="4"/>
    </row>
    <row r="99" spans="1:17" s="37" customFormat="1" ht="15.75" customHeight="1" x14ac:dyDescent="0.3">
      <c r="A99" s="7"/>
      <c r="B99" s="18" t="s">
        <v>290</v>
      </c>
      <c r="C99" s="18"/>
      <c r="D99" s="8">
        <f>IFERROR(+D95-#REF!,0)</f>
        <v>0</v>
      </c>
      <c r="E99" s="8">
        <f>IFERROR(+E95-#REF!,0)</f>
        <v>0</v>
      </c>
      <c r="F99" s="8">
        <f>IFERROR(+F95-#REF!,0)</f>
        <v>0</v>
      </c>
      <c r="G99" s="8">
        <f>IFERROR(+G95-#REF!,0)</f>
        <v>0</v>
      </c>
      <c r="H99" s="8">
        <f>IFERROR(+H95-#REF!,0)</f>
        <v>0</v>
      </c>
      <c r="I99" s="8">
        <f>IFERROR(+I95-#REF!,0)</f>
        <v>0</v>
      </c>
      <c r="J99" s="8">
        <f>IFERROR(+J95-#REF!,0)</f>
        <v>0</v>
      </c>
      <c r="K99" s="8">
        <f>IFERROR(+K95-#REF!,0)</f>
        <v>0</v>
      </c>
      <c r="L99" s="8">
        <f>IFERROR(+L95-#REF!,0)</f>
        <v>0</v>
      </c>
      <c r="M99" s="8">
        <f>IFERROR(+M95-#REF!,0)</f>
        <v>0</v>
      </c>
      <c r="N99" s="8">
        <f>IFERROR(+N95-#REF!,0)</f>
        <v>0</v>
      </c>
      <c r="O99" s="8">
        <f>IFERROR(+O95-#REF!,0)</f>
        <v>0</v>
      </c>
      <c r="Q99" s="8">
        <f>IFERROR(+Q95-#REF!,0)</f>
        <v>0</v>
      </c>
    </row>
    <row r="100" spans="1:17" ht="15.75" customHeight="1" x14ac:dyDescent="0.3">
      <c r="A100" s="6"/>
      <c r="B100" s="6"/>
      <c r="C100" s="6"/>
      <c r="D100" s="5">
        <f t="shared" ref="D100:O100" si="6">IFERROR(D99/D10,0)</f>
        <v>0</v>
      </c>
      <c r="E100" s="5">
        <f t="shared" si="6"/>
        <v>0</v>
      </c>
      <c r="F100" s="5">
        <f t="shared" si="6"/>
        <v>0</v>
      </c>
      <c r="G100" s="5">
        <f t="shared" si="6"/>
        <v>0</v>
      </c>
      <c r="H100" s="5">
        <f t="shared" si="6"/>
        <v>0</v>
      </c>
      <c r="I100" s="5">
        <f t="shared" si="6"/>
        <v>0</v>
      </c>
      <c r="J100" s="5">
        <f t="shared" si="6"/>
        <v>0</v>
      </c>
      <c r="K100" s="5">
        <f t="shared" si="6"/>
        <v>0</v>
      </c>
      <c r="L100" s="5">
        <f t="shared" si="6"/>
        <v>0</v>
      </c>
      <c r="M100" s="5">
        <f t="shared" si="6"/>
        <v>0</v>
      </c>
      <c r="N100" s="5">
        <f t="shared" si="6"/>
        <v>0</v>
      </c>
      <c r="O100" s="5">
        <f t="shared" si="6"/>
        <v>0</v>
      </c>
      <c r="P100" s="19"/>
      <c r="Q100" s="5">
        <f>IFERROR(Q99/Q10,0)</f>
        <v>0</v>
      </c>
    </row>
    <row r="101" spans="1:17" ht="15" customHeight="1" x14ac:dyDescent="0.3">
      <c r="A101" s="6"/>
      <c r="B101" s="6"/>
      <c r="C101" s="6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Q101" s="4"/>
    </row>
    <row r="102" spans="1:17" ht="15" customHeight="1" x14ac:dyDescent="0.3">
      <c r="A102" s="6"/>
      <c r="B102" s="6"/>
      <c r="C102" s="6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Q102" s="4"/>
    </row>
    <row r="103" spans="1:17" s="37" customFormat="1" ht="15.75" customHeight="1" x14ac:dyDescent="0.3">
      <c r="A103" s="7"/>
      <c r="B103" s="18" t="s">
        <v>293</v>
      </c>
      <c r="C103" s="18"/>
      <c r="D103" s="8">
        <f t="shared" ref="D103:O103" si="7">IFERROR(SUM(D99:D102),0)</f>
        <v>0</v>
      </c>
      <c r="E103" s="8">
        <f t="shared" si="7"/>
        <v>0</v>
      </c>
      <c r="F103" s="8">
        <f t="shared" si="7"/>
        <v>0</v>
      </c>
      <c r="G103" s="8">
        <f t="shared" si="7"/>
        <v>0</v>
      </c>
      <c r="H103" s="8">
        <f t="shared" si="7"/>
        <v>0</v>
      </c>
      <c r="I103" s="8">
        <f t="shared" si="7"/>
        <v>0</v>
      </c>
      <c r="J103" s="8">
        <f t="shared" si="7"/>
        <v>0</v>
      </c>
      <c r="K103" s="8">
        <f t="shared" si="7"/>
        <v>0</v>
      </c>
      <c r="L103" s="8">
        <f t="shared" si="7"/>
        <v>0</v>
      </c>
      <c r="M103" s="8">
        <f t="shared" si="7"/>
        <v>0</v>
      </c>
      <c r="N103" s="8">
        <f t="shared" si="7"/>
        <v>0</v>
      </c>
      <c r="O103" s="8">
        <f t="shared" si="7"/>
        <v>0</v>
      </c>
      <c r="Q103" s="8">
        <f>IFERROR(SUM(Q99:Q102),0)</f>
        <v>0</v>
      </c>
    </row>
    <row r="104" spans="1:17" ht="15.75" customHeight="1" x14ac:dyDescent="0.3">
      <c r="A104" s="6"/>
      <c r="C104" s="6"/>
      <c r="D104" s="5">
        <f t="shared" ref="D104:O104" si="8">IFERROR(D103/D10,0)</f>
        <v>0</v>
      </c>
      <c r="E104" s="5">
        <f t="shared" si="8"/>
        <v>0</v>
      </c>
      <c r="F104" s="5">
        <f t="shared" si="8"/>
        <v>0</v>
      </c>
      <c r="G104" s="5">
        <f t="shared" si="8"/>
        <v>0</v>
      </c>
      <c r="H104" s="5">
        <f t="shared" si="8"/>
        <v>0</v>
      </c>
      <c r="I104" s="5">
        <f t="shared" si="8"/>
        <v>0</v>
      </c>
      <c r="J104" s="5">
        <f t="shared" si="8"/>
        <v>0</v>
      </c>
      <c r="K104" s="5">
        <f t="shared" si="8"/>
        <v>0</v>
      </c>
      <c r="L104" s="5">
        <f t="shared" si="8"/>
        <v>0</v>
      </c>
      <c r="M104" s="5">
        <f t="shared" si="8"/>
        <v>0</v>
      </c>
      <c r="N104" s="5">
        <f t="shared" si="8"/>
        <v>0</v>
      </c>
      <c r="O104" s="5">
        <f t="shared" si="8"/>
        <v>0</v>
      </c>
      <c r="P104" s="19"/>
      <c r="Q104" s="5">
        <f>IFERROR(Q103/Q10,0)</f>
        <v>0</v>
      </c>
    </row>
    <row r="105" spans="1:17" ht="15" customHeight="1" x14ac:dyDescent="0.3">
      <c r="A105" s="6"/>
      <c r="B105" s="33">
        <v>44694.892827627315</v>
      </c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Q105" s="14"/>
    </row>
    <row r="106" spans="1:17" ht="15" customHeight="1" x14ac:dyDescent="0.3">
      <c r="A106" s="6"/>
      <c r="B106" s="31" t="s">
        <v>294</v>
      </c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Q106" s="14"/>
    </row>
    <row r="107" spans="1:17" ht="15" customHeight="1" x14ac:dyDescent="0.3">
      <c r="A107" s="6"/>
      <c r="B107" s="27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Q107" s="14"/>
    </row>
    <row r="108" spans="1:17" ht="15" customHeight="1" x14ac:dyDescent="0.3"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Q108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1F62A-2EC4-61C5-043B-0828DB304D11}">
  <sheetPr>
    <tabColor rgb="FF92D050"/>
    <outlinePr summaryBelow="0" summaryRight="0"/>
    <pageSetUpPr fitToPage="1"/>
  </sheetPr>
  <dimension ref="A2:R43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","200"," - ","Corporate Expense")</f>
        <v>Department 200 - Corporate Expense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9">
        <f t="shared" ref="D14:O14" si="2">IFERROR(+D10-D12,0)</f>
        <v>0</v>
      </c>
      <c r="E14" s="9">
        <f t="shared" si="2"/>
        <v>0</v>
      </c>
      <c r="F14" s="9">
        <f t="shared" si="2"/>
        <v>0</v>
      </c>
      <c r="G14" s="9">
        <f t="shared" si="2"/>
        <v>0</v>
      </c>
      <c r="H14" s="9">
        <f t="shared" si="2"/>
        <v>0</v>
      </c>
      <c r="I14" s="9">
        <f t="shared" si="2"/>
        <v>0</v>
      </c>
      <c r="J14" s="9">
        <f t="shared" si="2"/>
        <v>0</v>
      </c>
      <c r="K14" s="9">
        <f t="shared" si="2"/>
        <v>0</v>
      </c>
      <c r="L14" s="9">
        <f t="shared" si="2"/>
        <v>0</v>
      </c>
      <c r="M14" s="9">
        <f t="shared" si="2"/>
        <v>0</v>
      </c>
      <c r="N14" s="9">
        <f t="shared" si="2"/>
        <v>0</v>
      </c>
      <c r="O14" s="9">
        <f t="shared" si="2"/>
        <v>0</v>
      </c>
      <c r="Q14" s="9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2" cm="1">
        <f t="array" ref="D17">SUM(OSRRefD20x_0)</f>
        <v>30323.660000000003</v>
      </c>
      <c r="E17" s="12" cm="1">
        <f t="array" ref="E17">SUM(OSRRefD20x_1)</f>
        <v>38380.83</v>
      </c>
      <c r="F17" s="12" cm="1">
        <f t="array" ref="F17">SUM(OSRRefD20x_2)</f>
        <v>29742.210000000003</v>
      </c>
      <c r="G17" s="12" cm="1">
        <f t="array" ref="G17">SUM(OSRRefD20x_3)</f>
        <v>42121.599999999999</v>
      </c>
      <c r="H17" s="12" cm="1">
        <f t="array" ref="H17">SUM(OSRRefD20x_4)</f>
        <v>29097.55</v>
      </c>
      <c r="I17" s="12" cm="1">
        <f t="array" ref="I17">SUM(OSRRefD20x_5)</f>
        <v>30131.45</v>
      </c>
      <c r="J17" s="12" cm="1">
        <f t="array" ref="J17">SUM(OSRRefD20x_6)</f>
        <v>41500.79</v>
      </c>
      <c r="K17" s="12" cm="1">
        <f t="array" ref="K17">SUM(OSRRefD20x_7)</f>
        <v>28186.81</v>
      </c>
      <c r="L17" s="12" cm="1">
        <f t="array" ref="L17">SUM(OSRRefD20x_8)</f>
        <v>31022.09</v>
      </c>
      <c r="M17" s="12" cm="1">
        <f t="array" ref="M17">SUM(OSRRefD20x_9)</f>
        <v>42684.619999999995</v>
      </c>
      <c r="N17" s="12" cm="1">
        <f t="array" ref="N17">SUM(OSRRefE20x_0)</f>
        <v>37008</v>
      </c>
      <c r="O17" s="12" cm="1">
        <f t="array" ref="O17">SUM(OSRRefE20x_1)</f>
        <v>-395492</v>
      </c>
      <c r="Q17" s="12" cm="1">
        <f t="array" ref="Q17">SUM(OSRRefG20x)</f>
        <v>-15292.390000000014</v>
      </c>
    </row>
    <row r="18" spans="1:17" s="42" customFormat="1" ht="15" customHeight="1" collapsed="1" x14ac:dyDescent="0.3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2">
        <f>SUM(OSRRefD21_0x_0)</f>
        <v>27136.06</v>
      </c>
      <c r="E18" s="2">
        <f>SUM(OSRRefD21_0x_1)</f>
        <v>26975.06</v>
      </c>
      <c r="F18" s="2">
        <f>SUM(OSRRefD21_0x_2)</f>
        <v>28310.06</v>
      </c>
      <c r="G18" s="2">
        <f>SUM(OSRRefD21_0x_3)</f>
        <v>27236.080000000002</v>
      </c>
      <c r="H18" s="2">
        <f>SUM(OSRRefD21_0x_4)</f>
        <v>27384.04</v>
      </c>
      <c r="I18" s="2">
        <f>SUM(OSRRefD21_0x_5)</f>
        <v>28675.06</v>
      </c>
      <c r="J18" s="2">
        <f>SUM(OSRRefD21_0x_6)</f>
        <v>26491.86</v>
      </c>
      <c r="K18" s="2">
        <f>SUM(OSRRefD21_0x_7)</f>
        <v>26491.86</v>
      </c>
      <c r="L18" s="2">
        <f>SUM(OSRRefD21_0x_8)</f>
        <v>26491.86</v>
      </c>
      <c r="M18" s="2">
        <f>SUM(OSRRefD21_0x_9)</f>
        <v>25279.919999999998</v>
      </c>
      <c r="N18" s="2">
        <f>SUM(OSRRefE21_0x_0)</f>
        <v>35000</v>
      </c>
      <c r="O18" s="2">
        <f>SUM(OSRRefE21_0x_1)</f>
        <v>-400000</v>
      </c>
      <c r="Q18" s="3">
        <f>SUM(OSRRefD20_0x)+IFERROR(SUM(OSRRefE20_0x),0)</f>
        <v>-94528.140000000014</v>
      </c>
    </row>
    <row r="19" spans="1:17" s="42" customFormat="1" ht="15" hidden="1" customHeight="1" outlineLevel="1" x14ac:dyDescent="0.3">
      <c r="A19" s="34"/>
      <c r="B19" s="11" t="str">
        <f>CONCATENATE("          ","6120"," - ","RETIREES HEALTH INSURANCE")</f>
        <v xml:space="preserve">          6120 - RETIREES HEALTH INSURANCE</v>
      </c>
      <c r="C19" s="15"/>
      <c r="D19" s="3">
        <v>27136.06</v>
      </c>
      <c r="E19" s="3">
        <v>26975.06</v>
      </c>
      <c r="F19" s="3">
        <v>28310.06</v>
      </c>
      <c r="G19" s="3">
        <v>27236.080000000002</v>
      </c>
      <c r="H19" s="3">
        <v>27384.04</v>
      </c>
      <c r="I19" s="3">
        <v>28675.06</v>
      </c>
      <c r="J19" s="3">
        <v>26491.86</v>
      </c>
      <c r="K19" s="3">
        <v>26491.86</v>
      </c>
      <c r="L19" s="3">
        <v>26491.86</v>
      </c>
      <c r="M19" s="3">
        <v>25279.919999999998</v>
      </c>
      <c r="N19" s="3">
        <v>35000</v>
      </c>
      <c r="O19" s="3">
        <v>-400000</v>
      </c>
      <c r="P19" s="10"/>
      <c r="Q19" s="3">
        <f>SUM(OSRRefD21_0_0x)+IFERROR(SUM(OSRRefE21_0_0x),0)</f>
        <v>-94528.140000000014</v>
      </c>
    </row>
    <row r="20" spans="1:17" s="42" customFormat="1" ht="15" customHeight="1" collapsed="1" x14ac:dyDescent="0.3">
      <c r="A20" s="34"/>
      <c r="B20" s="15" t="str">
        <f>CONCATENATE("     ","Bank/card Fees                                    ")</f>
        <v xml:space="preserve">     Bank/card Fees                                    </v>
      </c>
      <c r="C20" s="15"/>
      <c r="D20" s="2">
        <f>SUM(OSRRefD21_1x_0)</f>
        <v>2349.86</v>
      </c>
      <c r="E20" s="2">
        <f>SUM(OSRRefD21_1x_1)</f>
        <v>7</v>
      </c>
      <c r="F20" s="2">
        <f>SUM(OSRRefD21_1x_2)</f>
        <v>7</v>
      </c>
      <c r="G20" s="2">
        <f>SUM(OSRRefD21_1x_3)</f>
        <v>3111.94</v>
      </c>
      <c r="H20" s="2">
        <f>SUM(OSRRefD21_1x_4)</f>
        <v>3.42</v>
      </c>
      <c r="I20" s="2">
        <f>SUM(OSRRefD21_1x_5)</f>
        <v>119.71</v>
      </c>
      <c r="J20" s="2">
        <f>SUM(OSRRefD21_1x_6)</f>
        <v>3680.15</v>
      </c>
      <c r="K20" s="2">
        <f>SUM(OSRRefD21_1x_7)</f>
        <v>256.75</v>
      </c>
      <c r="L20" s="2">
        <f>SUM(OSRRefD21_1x_8)</f>
        <v>272.95</v>
      </c>
      <c r="M20" s="2">
        <f>SUM(OSRRefD21_1x_9)</f>
        <v>3089.33</v>
      </c>
      <c r="N20" s="2">
        <f>SUM(OSRRefE21_1x_0)</f>
        <v>1000</v>
      </c>
      <c r="O20" s="2">
        <f>SUM(OSRRefE21_1x_1)</f>
        <v>2000</v>
      </c>
      <c r="Q20" s="3">
        <f>SUM(OSRRefD20_1x)+IFERROR(SUM(OSRRefE20_1x),0)</f>
        <v>15898.11</v>
      </c>
    </row>
    <row r="21" spans="1:17" s="42" customFormat="1" ht="15" hidden="1" customHeight="1" outlineLevel="1" x14ac:dyDescent="0.3">
      <c r="A21" s="34"/>
      <c r="B21" s="11" t="str">
        <f>CONCATENATE("          ","6381"," - ","BANK/CREDIT CARD FEES")</f>
        <v xml:space="preserve">          6381 - BANK/CREDIT CARD FEES</v>
      </c>
      <c r="C21" s="15"/>
      <c r="D21" s="3">
        <v>2349.86</v>
      </c>
      <c r="E21" s="3">
        <v>7</v>
      </c>
      <c r="F21" s="3">
        <v>7</v>
      </c>
      <c r="G21" s="3">
        <v>3111.94</v>
      </c>
      <c r="H21" s="3">
        <v>3.42</v>
      </c>
      <c r="I21" s="3">
        <v>119.71</v>
      </c>
      <c r="J21" s="3">
        <v>3680.15</v>
      </c>
      <c r="K21" s="3">
        <v>256.75</v>
      </c>
      <c r="L21" s="3">
        <v>272.95</v>
      </c>
      <c r="M21" s="3">
        <v>3089.33</v>
      </c>
      <c r="N21" s="3">
        <v>1000</v>
      </c>
      <c r="O21" s="3">
        <v>2000</v>
      </c>
      <c r="P21" s="10"/>
      <c r="Q21" s="3">
        <f>SUM(OSRRefD21_1_0x)+IFERROR(SUM(OSRRefE21_1_0x),0)</f>
        <v>15898.11</v>
      </c>
    </row>
    <row r="22" spans="1:17" s="42" customFormat="1" ht="15" customHeight="1" collapsed="1" x14ac:dyDescent="0.3">
      <c r="A22" s="34"/>
      <c r="B22" s="15" t="str">
        <f>CONCATENATE("     ","Board                                             ")</f>
        <v xml:space="preserve">     Board                                             </v>
      </c>
      <c r="C22" s="15"/>
      <c r="D22" s="2">
        <f>SUM(OSRRefD21_2x_0)</f>
        <v>837.74</v>
      </c>
      <c r="E22" s="2">
        <f>SUM(OSRRefD21_2x_1)</f>
        <v>1061.02</v>
      </c>
      <c r="F22" s="2">
        <f>SUM(OSRRefD21_2x_2)</f>
        <v>1425.15</v>
      </c>
      <c r="G22" s="2">
        <f>SUM(OSRRefD21_2x_3)</f>
        <v>1435.83</v>
      </c>
      <c r="H22" s="2">
        <f>SUM(OSRRefD21_2x_4)</f>
        <v>1560.09</v>
      </c>
      <c r="I22" s="2">
        <f>SUM(OSRRefD21_2x_5)</f>
        <v>1336.68</v>
      </c>
      <c r="J22" s="2">
        <f>SUM(OSRRefD21_2x_6)</f>
        <v>991.03</v>
      </c>
      <c r="K22" s="2">
        <f>SUM(OSRRefD21_2x_7)</f>
        <v>1438.2</v>
      </c>
      <c r="L22" s="2">
        <f>SUM(OSRRefD21_2x_8)</f>
        <v>4257.28</v>
      </c>
      <c r="M22" s="2">
        <f>SUM(OSRRefD21_2x_9)</f>
        <v>3977.62</v>
      </c>
      <c r="N22" s="2">
        <f>SUM(OSRRefE21_2x_0)</f>
        <v>1008</v>
      </c>
      <c r="O22" s="2">
        <f>SUM(OSRRefE21_2x_1)</f>
        <v>2508</v>
      </c>
      <c r="Q22" s="3">
        <f>SUM(OSRRefD20_2x)+IFERROR(SUM(OSRRefE20_2x),0)</f>
        <v>21836.639999999999</v>
      </c>
    </row>
    <row r="23" spans="1:17" s="42" customFormat="1" ht="15" hidden="1" customHeight="1" outlineLevel="1" x14ac:dyDescent="0.3">
      <c r="A23" s="34"/>
      <c r="B23" s="11" t="str">
        <f>CONCATENATE("          ","6397"," - ","BOARD EXPENSES")</f>
        <v xml:space="preserve">          6397 - BOARD EXPENSES</v>
      </c>
      <c r="C23" s="15"/>
      <c r="D23" s="3">
        <v>837.74</v>
      </c>
      <c r="E23" s="3">
        <v>1061.02</v>
      </c>
      <c r="F23" s="3">
        <v>1425.15</v>
      </c>
      <c r="G23" s="3">
        <v>1435.83</v>
      </c>
      <c r="H23" s="3">
        <v>1560.09</v>
      </c>
      <c r="I23" s="3">
        <v>1336.68</v>
      </c>
      <c r="J23" s="3">
        <v>991.03</v>
      </c>
      <c r="K23" s="3">
        <v>1438.2</v>
      </c>
      <c r="L23" s="3">
        <v>4257.28</v>
      </c>
      <c r="M23" s="3">
        <v>3977.62</v>
      </c>
      <c r="N23" s="3">
        <v>1008</v>
      </c>
      <c r="O23" s="3">
        <v>2508</v>
      </c>
      <c r="P23" s="10"/>
      <c r="Q23" s="3">
        <f>SUM(OSRRefD21_2_0x)+IFERROR(SUM(OSRRefE21_2_0x),0)</f>
        <v>21836.639999999999</v>
      </c>
    </row>
    <row r="24" spans="1:17" s="42" customFormat="1" ht="15" customHeight="1" collapsed="1" x14ac:dyDescent="0.3">
      <c r="A24" s="34"/>
      <c r="B24" s="15" t="str">
        <f>CONCATENATE("     ","Professional Services                             ")</f>
        <v xml:space="preserve">     Professional Services                             </v>
      </c>
      <c r="C24" s="15"/>
      <c r="D24" s="2">
        <f>SUM(OSRRefD21_3x_0)</f>
        <v>0</v>
      </c>
      <c r="E24" s="2">
        <f>SUM(OSRRefD21_3x_1)</f>
        <v>10337.75</v>
      </c>
      <c r="F24" s="2">
        <f>SUM(OSRRefD21_3x_2)</f>
        <v>0</v>
      </c>
      <c r="G24" s="2">
        <f>SUM(OSRRefD21_3x_3)</f>
        <v>10337.75</v>
      </c>
      <c r="H24" s="2">
        <f>SUM(OSRRefD21_3x_4)</f>
        <v>150</v>
      </c>
      <c r="I24" s="2">
        <f>SUM(OSRRefD21_3x_5)</f>
        <v>0</v>
      </c>
      <c r="J24" s="2">
        <f>SUM(OSRRefD21_3x_6)</f>
        <v>10337.75</v>
      </c>
      <c r="K24" s="2">
        <f>SUM(OSRRefD21_3x_7)</f>
        <v>0</v>
      </c>
      <c r="L24" s="2">
        <f>SUM(OSRRefD21_3x_8)</f>
        <v>0</v>
      </c>
      <c r="M24" s="2">
        <f>SUM(OSRRefD21_3x_9)</f>
        <v>10337.75</v>
      </c>
      <c r="N24" s="2">
        <f>SUM(OSRRefE21_3x_0)</f>
        <v>0</v>
      </c>
      <c r="O24" s="2">
        <f>SUM(OSRRefE21_3x_1)</f>
        <v>0</v>
      </c>
      <c r="Q24" s="3">
        <f>SUM(OSRRefD20_3x)+IFERROR(SUM(OSRRefE20_3x),0)</f>
        <v>41501</v>
      </c>
    </row>
    <row r="25" spans="1:17" s="42" customFormat="1" ht="15" hidden="1" customHeight="1" outlineLevel="1" x14ac:dyDescent="0.3">
      <c r="A25" s="34"/>
      <c r="B25" s="11" t="str">
        <f>CONCATENATE("          ","6331"," - ","INDIRECT COSTS-AUXILIARY ORGAN")</f>
        <v xml:space="preserve">          6331 - INDIRECT COSTS-AUXILIARY ORGAN</v>
      </c>
      <c r="C25" s="15"/>
      <c r="D25" s="3"/>
      <c r="E25" s="3">
        <v>10337.75</v>
      </c>
      <c r="F25" s="3"/>
      <c r="G25" s="3">
        <v>10337.75</v>
      </c>
      <c r="H25" s="3">
        <v>150</v>
      </c>
      <c r="I25" s="3"/>
      <c r="J25" s="3">
        <v>10337.75</v>
      </c>
      <c r="K25" s="3"/>
      <c r="L25" s="3"/>
      <c r="M25" s="3">
        <v>10337.75</v>
      </c>
      <c r="N25" s="3">
        <v>0</v>
      </c>
      <c r="O25" s="3">
        <v>0</v>
      </c>
      <c r="P25" s="10"/>
      <c r="Q25" s="3">
        <f>SUM(OSRRefD21_3_0x)+IFERROR(SUM(OSRRefE21_3_0x),0)</f>
        <v>41501</v>
      </c>
    </row>
    <row r="26" spans="1:17" s="40" customFormat="1" ht="15" customHeight="1" x14ac:dyDescent="0.3">
      <c r="A26" s="22"/>
      <c r="B26" s="22"/>
      <c r="C26" s="2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Q26" s="2"/>
    </row>
    <row r="27" spans="1:17" s="39" customFormat="1" ht="15" customHeight="1" x14ac:dyDescent="0.3">
      <c r="A27" s="24"/>
      <c r="B27" s="17" t="s">
        <v>287</v>
      </c>
      <c r="C27" s="23"/>
      <c r="D27" s="4">
        <f>0</f>
        <v>0</v>
      </c>
      <c r="E27" s="4">
        <f>0</f>
        <v>0</v>
      </c>
      <c r="F27" s="4">
        <f>0</f>
        <v>0</v>
      </c>
      <c r="G27" s="4">
        <f>0</f>
        <v>0</v>
      </c>
      <c r="H27" s="4">
        <f>0</f>
        <v>0</v>
      </c>
      <c r="I27" s="4">
        <f>0</f>
        <v>0</v>
      </c>
      <c r="J27" s="4">
        <f>0</f>
        <v>0</v>
      </c>
      <c r="K27" s="4">
        <f>0</f>
        <v>0</v>
      </c>
      <c r="L27" s="4">
        <f>0</f>
        <v>0</v>
      </c>
      <c r="M27" s="4">
        <f>0</f>
        <v>0</v>
      </c>
      <c r="N27" s="4"/>
      <c r="O27" s="4"/>
      <c r="Q27" s="3">
        <f>SUM(OSRRefD23_0x)+IFERROR(SUM(OSRRefE23_0x),0)</f>
        <v>0</v>
      </c>
    </row>
    <row r="28" spans="1:17" ht="15" customHeight="1" x14ac:dyDescent="0.3">
      <c r="A28" s="6"/>
      <c r="B28" s="7"/>
      <c r="C28" s="7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Q28" s="4"/>
    </row>
    <row r="29" spans="1:17" s="37" customFormat="1" ht="15" customHeight="1" x14ac:dyDescent="0.3">
      <c r="A29" s="7"/>
      <c r="B29" s="18" t="s">
        <v>288</v>
      </c>
      <c r="C29" s="18"/>
      <c r="D29" s="9">
        <f t="shared" ref="D29:O29" si="4">IFERROR(+D14-D17+D27,0)</f>
        <v>-30323.660000000003</v>
      </c>
      <c r="E29" s="9">
        <f t="shared" si="4"/>
        <v>-38380.83</v>
      </c>
      <c r="F29" s="9">
        <f t="shared" si="4"/>
        <v>-29742.210000000003</v>
      </c>
      <c r="G29" s="9">
        <f t="shared" si="4"/>
        <v>-42121.599999999999</v>
      </c>
      <c r="H29" s="9">
        <f t="shared" si="4"/>
        <v>-29097.55</v>
      </c>
      <c r="I29" s="9">
        <f t="shared" si="4"/>
        <v>-30131.45</v>
      </c>
      <c r="J29" s="9">
        <f t="shared" si="4"/>
        <v>-41500.79</v>
      </c>
      <c r="K29" s="9">
        <f t="shared" si="4"/>
        <v>-28186.81</v>
      </c>
      <c r="L29" s="9">
        <f t="shared" si="4"/>
        <v>-31022.09</v>
      </c>
      <c r="M29" s="9">
        <f t="shared" si="4"/>
        <v>-42684.619999999995</v>
      </c>
      <c r="N29" s="9">
        <f t="shared" si="4"/>
        <v>-37008</v>
      </c>
      <c r="O29" s="9">
        <f t="shared" si="4"/>
        <v>395492</v>
      </c>
      <c r="Q29" s="9">
        <f>IFERROR(+Q14-Q17+Q27,0)</f>
        <v>15292.390000000014</v>
      </c>
    </row>
    <row r="30" spans="1:17" s="38" customFormat="1" ht="15" customHeight="1" x14ac:dyDescent="0.3">
      <c r="B30" s="17"/>
      <c r="C30" s="17"/>
      <c r="D30" s="5">
        <f t="shared" ref="D30:O30" si="5">IFERROR(D29/D10,0)</f>
        <v>0</v>
      </c>
      <c r="E30" s="5">
        <f t="shared" si="5"/>
        <v>0</v>
      </c>
      <c r="F30" s="5">
        <f t="shared" si="5"/>
        <v>0</v>
      </c>
      <c r="G30" s="5">
        <f t="shared" si="5"/>
        <v>0</v>
      </c>
      <c r="H30" s="5">
        <f t="shared" si="5"/>
        <v>0</v>
      </c>
      <c r="I30" s="5">
        <f t="shared" si="5"/>
        <v>0</v>
      </c>
      <c r="J30" s="5">
        <f t="shared" si="5"/>
        <v>0</v>
      </c>
      <c r="K30" s="5">
        <f t="shared" si="5"/>
        <v>0</v>
      </c>
      <c r="L30" s="5">
        <f t="shared" si="5"/>
        <v>0</v>
      </c>
      <c r="M30" s="5">
        <f t="shared" si="5"/>
        <v>0</v>
      </c>
      <c r="N30" s="5">
        <f t="shared" si="5"/>
        <v>0</v>
      </c>
      <c r="O30" s="5">
        <f t="shared" si="5"/>
        <v>0</v>
      </c>
      <c r="P30" s="19"/>
      <c r="Q30" s="5">
        <f>IFERROR(Q29/Q10,0)</f>
        <v>0</v>
      </c>
    </row>
    <row r="31" spans="1:17" ht="15" customHeight="1" x14ac:dyDescent="0.3">
      <c r="A31" s="6"/>
      <c r="B31" s="7"/>
      <c r="C31" s="6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Q31" s="4"/>
    </row>
    <row r="32" spans="1:17" s="37" customFormat="1" ht="15" customHeight="1" x14ac:dyDescent="0.3">
      <c r="A32" s="26"/>
      <c r="B32" s="7" t="s">
        <v>289</v>
      </c>
      <c r="C32" s="7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Q32" s="3">
        <f>SUM(OSRRefD28_0x)+IFERROR(SUM(OSRRefE28_0x),0)</f>
        <v>0</v>
      </c>
    </row>
    <row r="33" spans="1:17" ht="15" customHeight="1" x14ac:dyDescent="0.3">
      <c r="A33" s="6"/>
      <c r="B33" s="7"/>
      <c r="C33" s="7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Q33" s="4"/>
    </row>
    <row r="34" spans="1:17" s="37" customFormat="1" ht="15.75" customHeight="1" x14ac:dyDescent="0.3">
      <c r="A34" s="7"/>
      <c r="B34" s="18" t="s">
        <v>290</v>
      </c>
      <c r="C34" s="18"/>
      <c r="D34" s="8">
        <f t="shared" ref="D34:O34" si="6">IFERROR(+D29-D32,0)</f>
        <v>-30323.660000000003</v>
      </c>
      <c r="E34" s="8">
        <f t="shared" si="6"/>
        <v>-38380.83</v>
      </c>
      <c r="F34" s="8">
        <f t="shared" si="6"/>
        <v>-29742.210000000003</v>
      </c>
      <c r="G34" s="8">
        <f t="shared" si="6"/>
        <v>-42121.599999999999</v>
      </c>
      <c r="H34" s="8">
        <f t="shared" si="6"/>
        <v>-29097.55</v>
      </c>
      <c r="I34" s="8">
        <f t="shared" si="6"/>
        <v>-30131.45</v>
      </c>
      <c r="J34" s="8">
        <f t="shared" si="6"/>
        <v>-41500.79</v>
      </c>
      <c r="K34" s="8">
        <f t="shared" si="6"/>
        <v>-28186.81</v>
      </c>
      <c r="L34" s="8">
        <f t="shared" si="6"/>
        <v>-31022.09</v>
      </c>
      <c r="M34" s="8">
        <f t="shared" si="6"/>
        <v>-42684.619999999995</v>
      </c>
      <c r="N34" s="8">
        <f t="shared" si="6"/>
        <v>-37008</v>
      </c>
      <c r="O34" s="8">
        <f t="shared" si="6"/>
        <v>395492</v>
      </c>
      <c r="Q34" s="8">
        <f>IFERROR(+Q29-Q32,0)</f>
        <v>15292.390000000014</v>
      </c>
    </row>
    <row r="35" spans="1:17" ht="15.75" customHeight="1" x14ac:dyDescent="0.3">
      <c r="A35" s="6"/>
      <c r="B35" s="6"/>
      <c r="C35" s="6"/>
      <c r="D35" s="5">
        <f t="shared" ref="D35:O35" si="7">IFERROR(D34/D10,0)</f>
        <v>0</v>
      </c>
      <c r="E35" s="5">
        <f t="shared" si="7"/>
        <v>0</v>
      </c>
      <c r="F35" s="5">
        <f t="shared" si="7"/>
        <v>0</v>
      </c>
      <c r="G35" s="5">
        <f t="shared" si="7"/>
        <v>0</v>
      </c>
      <c r="H35" s="5">
        <f t="shared" si="7"/>
        <v>0</v>
      </c>
      <c r="I35" s="5">
        <f t="shared" si="7"/>
        <v>0</v>
      </c>
      <c r="J35" s="5">
        <f t="shared" si="7"/>
        <v>0</v>
      </c>
      <c r="K35" s="5">
        <f t="shared" si="7"/>
        <v>0</v>
      </c>
      <c r="L35" s="5">
        <f t="shared" si="7"/>
        <v>0</v>
      </c>
      <c r="M35" s="5">
        <f t="shared" si="7"/>
        <v>0</v>
      </c>
      <c r="N35" s="5">
        <f t="shared" si="7"/>
        <v>0</v>
      </c>
      <c r="O35" s="5">
        <f t="shared" si="7"/>
        <v>0</v>
      </c>
      <c r="P35" s="19"/>
      <c r="Q35" s="5">
        <f>IFERROR(Q34/Q10,0)</f>
        <v>0</v>
      </c>
    </row>
    <row r="36" spans="1:17" ht="15" customHeight="1" x14ac:dyDescent="0.3">
      <c r="A36" s="6"/>
      <c r="B36" s="6"/>
      <c r="C36" s="6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Q36" s="4"/>
    </row>
    <row r="37" spans="1:17" ht="15" customHeight="1" x14ac:dyDescent="0.3">
      <c r="A37" s="6"/>
      <c r="B37" s="6"/>
      <c r="C37" s="6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Q37" s="4"/>
    </row>
    <row r="38" spans="1:17" s="37" customFormat="1" ht="15.75" customHeight="1" x14ac:dyDescent="0.3">
      <c r="A38" s="7"/>
      <c r="B38" s="18" t="s">
        <v>293</v>
      </c>
      <c r="C38" s="18"/>
      <c r="D38" s="8">
        <f t="shared" ref="D38:O38" si="8">IFERROR(SUM(D34:D37),0)</f>
        <v>-30323.660000000003</v>
      </c>
      <c r="E38" s="8">
        <f t="shared" si="8"/>
        <v>-38380.83</v>
      </c>
      <c r="F38" s="8">
        <f t="shared" si="8"/>
        <v>-29742.210000000003</v>
      </c>
      <c r="G38" s="8">
        <f t="shared" si="8"/>
        <v>-42121.599999999999</v>
      </c>
      <c r="H38" s="8">
        <f t="shared" si="8"/>
        <v>-29097.55</v>
      </c>
      <c r="I38" s="8">
        <f t="shared" si="8"/>
        <v>-30131.45</v>
      </c>
      <c r="J38" s="8">
        <f t="shared" si="8"/>
        <v>-41500.79</v>
      </c>
      <c r="K38" s="8">
        <f t="shared" si="8"/>
        <v>-28186.81</v>
      </c>
      <c r="L38" s="8">
        <f t="shared" si="8"/>
        <v>-31022.09</v>
      </c>
      <c r="M38" s="8">
        <f t="shared" si="8"/>
        <v>-42684.619999999995</v>
      </c>
      <c r="N38" s="8">
        <f t="shared" si="8"/>
        <v>-37008</v>
      </c>
      <c r="O38" s="8">
        <f t="shared" si="8"/>
        <v>395492</v>
      </c>
      <c r="Q38" s="8">
        <f>IFERROR(SUM(Q34:Q37),0)</f>
        <v>15292.390000000014</v>
      </c>
    </row>
    <row r="39" spans="1:17" ht="15.75" customHeight="1" x14ac:dyDescent="0.3">
      <c r="A39" s="6"/>
      <c r="C39" s="6"/>
      <c r="D39" s="5">
        <f t="shared" ref="D39:O39" si="9">IFERROR(D38/D10,0)</f>
        <v>0</v>
      </c>
      <c r="E39" s="5">
        <f t="shared" si="9"/>
        <v>0</v>
      </c>
      <c r="F39" s="5">
        <f t="shared" si="9"/>
        <v>0</v>
      </c>
      <c r="G39" s="5">
        <f t="shared" si="9"/>
        <v>0</v>
      </c>
      <c r="H39" s="5">
        <f t="shared" si="9"/>
        <v>0</v>
      </c>
      <c r="I39" s="5">
        <f t="shared" si="9"/>
        <v>0</v>
      </c>
      <c r="J39" s="5">
        <f t="shared" si="9"/>
        <v>0</v>
      </c>
      <c r="K39" s="5">
        <f t="shared" si="9"/>
        <v>0</v>
      </c>
      <c r="L39" s="5">
        <f t="shared" si="9"/>
        <v>0</v>
      </c>
      <c r="M39" s="5">
        <f t="shared" si="9"/>
        <v>0</v>
      </c>
      <c r="N39" s="5">
        <f t="shared" si="9"/>
        <v>0</v>
      </c>
      <c r="O39" s="5">
        <f t="shared" si="9"/>
        <v>0</v>
      </c>
      <c r="P39" s="19"/>
      <c r="Q39" s="5">
        <f>IFERROR(Q38/Q10,0)</f>
        <v>0</v>
      </c>
    </row>
    <row r="40" spans="1:17" ht="15" customHeight="1" x14ac:dyDescent="0.3">
      <c r="A40" s="6"/>
      <c r="B40" s="33">
        <v>44694.892891863426</v>
      </c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Q40" s="14"/>
    </row>
    <row r="41" spans="1:17" ht="15" customHeight="1" x14ac:dyDescent="0.3">
      <c r="A41" s="6"/>
      <c r="B41" s="31" t="s">
        <v>294</v>
      </c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Q41" s="14"/>
    </row>
    <row r="42" spans="1:17" ht="15" customHeight="1" x14ac:dyDescent="0.3">
      <c r="A42" s="6"/>
      <c r="B42" s="27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Q42" s="14"/>
    </row>
    <row r="43" spans="1:17" ht="15" customHeight="1" x14ac:dyDescent="0.3"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Q43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D7D94-D338-4C6A-D12B-719D124C8FF6}">
  <sheetPr>
    <tabColor rgb="FF92D050"/>
    <outlinePr summaryBelow="0" summaryRight="0"/>
    <pageSetUpPr fitToPage="1"/>
  </sheetPr>
  <dimension ref="A2:R86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","201"," - ","General Manager")</f>
        <v>Department 201 - General Manager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9">
        <f t="shared" ref="D14:O14" si="2">IFERROR(+D10-D12,0)</f>
        <v>0</v>
      </c>
      <c r="E14" s="9">
        <f t="shared" si="2"/>
        <v>0</v>
      </c>
      <c r="F14" s="9">
        <f t="shared" si="2"/>
        <v>0</v>
      </c>
      <c r="G14" s="9">
        <f t="shared" si="2"/>
        <v>0</v>
      </c>
      <c r="H14" s="9">
        <f t="shared" si="2"/>
        <v>0</v>
      </c>
      <c r="I14" s="9">
        <f t="shared" si="2"/>
        <v>0</v>
      </c>
      <c r="J14" s="9">
        <f t="shared" si="2"/>
        <v>0</v>
      </c>
      <c r="K14" s="9">
        <f t="shared" si="2"/>
        <v>0</v>
      </c>
      <c r="L14" s="9">
        <f t="shared" si="2"/>
        <v>0</v>
      </c>
      <c r="M14" s="9">
        <f t="shared" si="2"/>
        <v>0</v>
      </c>
      <c r="N14" s="9">
        <f t="shared" si="2"/>
        <v>0</v>
      </c>
      <c r="O14" s="9">
        <f t="shared" si="2"/>
        <v>0</v>
      </c>
      <c r="Q14" s="9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2" cm="1">
        <f t="array" ref="D17">SUM(OSRRefD20x_0)</f>
        <v>35851.090000000004</v>
      </c>
      <c r="E17" s="12" cm="1">
        <f t="array" ref="E17">SUM(OSRRefD20x_1)</f>
        <v>28505.439999999999</v>
      </c>
      <c r="F17" s="12" cm="1">
        <f t="array" ref="F17">SUM(OSRRefD20x_2)</f>
        <v>43782.289999999994</v>
      </c>
      <c r="G17" s="12" cm="1">
        <f t="array" ref="G17">SUM(OSRRefD20x_3)</f>
        <v>27845.48</v>
      </c>
      <c r="H17" s="12" cm="1">
        <f t="array" ref="H17">SUM(OSRRefD20x_4)</f>
        <v>72649.430000000008</v>
      </c>
      <c r="I17" s="12" cm="1">
        <f t="array" ref="I17">SUM(OSRRefD20x_5)</f>
        <v>30381.719999999998</v>
      </c>
      <c r="J17" s="12" cm="1">
        <f t="array" ref="J17">SUM(OSRRefD20x_6)</f>
        <v>117409.44</v>
      </c>
      <c r="K17" s="12" cm="1">
        <f t="array" ref="K17">SUM(OSRRefD20x_7)</f>
        <v>34901.280000000006</v>
      </c>
      <c r="L17" s="12" cm="1">
        <f t="array" ref="L17">SUM(OSRRefD20x_8)</f>
        <v>49480.820000000007</v>
      </c>
      <c r="M17" s="12" cm="1">
        <f t="array" ref="M17">SUM(OSRRefD20x_9)</f>
        <v>46916.970000000008</v>
      </c>
      <c r="N17" s="12" cm="1">
        <f t="array" ref="N17">SUM(OSRRefE20x_0)</f>
        <v>31517.382430769179</v>
      </c>
      <c r="O17" s="12" cm="1">
        <f t="array" ref="O17">SUM(OSRRefE20x_1)</f>
        <v>31072.382430769179</v>
      </c>
      <c r="Q17" s="12" cm="1">
        <f t="array" ref="Q17">SUM(OSRRefG20x)</f>
        <v>550313.72486153839</v>
      </c>
    </row>
    <row r="18" spans="1:17" s="42" customFormat="1" ht="15" customHeight="1" collapsed="1" x14ac:dyDescent="0.3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2">
        <f>SUM(OSRRefD21_0x_0)</f>
        <v>10222.959999999999</v>
      </c>
      <c r="E18" s="2">
        <f>SUM(OSRRefD21_0x_1)</f>
        <v>10365.27</v>
      </c>
      <c r="F18" s="2">
        <f>SUM(OSRRefD21_0x_2)</f>
        <v>10533.919999999998</v>
      </c>
      <c r="G18" s="2">
        <f>SUM(OSRRefD21_0x_3)</f>
        <v>12891.19</v>
      </c>
      <c r="H18" s="2">
        <f>SUM(OSRRefD21_0x_4)</f>
        <v>9631.2899999999991</v>
      </c>
      <c r="I18" s="2">
        <f>SUM(OSRRefD21_0x_5)</f>
        <v>9639.56</v>
      </c>
      <c r="J18" s="2">
        <f>SUM(OSRRefD21_0x_6)</f>
        <v>42800.299999999996</v>
      </c>
      <c r="K18" s="2">
        <f>SUM(OSRRefD21_0x_7)</f>
        <v>11362.02</v>
      </c>
      <c r="L18" s="2">
        <f>SUM(OSRRefD21_0x_8)</f>
        <v>11350.75</v>
      </c>
      <c r="M18" s="2">
        <f>SUM(OSRRefD21_0x_9)</f>
        <v>14785.32</v>
      </c>
      <c r="N18" s="2">
        <f>SUM(OSRRefE21_0x_0)</f>
        <v>8338.1208923076883</v>
      </c>
      <c r="O18" s="2">
        <f>SUM(OSRRefE21_0x_1)</f>
        <v>8338.1208923076883</v>
      </c>
      <c r="Q18" s="3">
        <f>SUM(OSRRefD20_0x)+IFERROR(SUM(OSRRefE20_0x),0)</f>
        <v>160258.82178461537</v>
      </c>
    </row>
    <row r="19" spans="1:17" s="42" customFormat="1" ht="15" hidden="1" customHeight="1" outlineLevel="1" x14ac:dyDescent="0.3">
      <c r="A19" s="34"/>
      <c r="B19" s="11" t="str">
        <f>CONCATENATE("          ","6111"," - ","F.I.C.A.")</f>
        <v xml:space="preserve">          6111 - F.I.C.A.</v>
      </c>
      <c r="C19" s="15"/>
      <c r="D19" s="3">
        <v>1448.66</v>
      </c>
      <c r="E19" s="3">
        <v>1454.4</v>
      </c>
      <c r="F19" s="3">
        <v>1454.4</v>
      </c>
      <c r="G19" s="3">
        <v>1411.45</v>
      </c>
      <c r="H19" s="3">
        <v>594.23</v>
      </c>
      <c r="I19" s="3">
        <v>630.71</v>
      </c>
      <c r="J19" s="3">
        <v>5053.3500000000004</v>
      </c>
      <c r="K19" s="3">
        <v>1722.88</v>
      </c>
      <c r="L19" s="3">
        <v>1717.46</v>
      </c>
      <c r="M19" s="3">
        <v>2579.06</v>
      </c>
      <c r="N19" s="3">
        <v>1430.0513538461501</v>
      </c>
      <c r="O19" s="3">
        <v>1430.0513538461501</v>
      </c>
      <c r="P19" s="10"/>
      <c r="Q19" s="3">
        <f>SUM(OSRRefD21_0_0x)+IFERROR(SUM(OSRRefE21_0_0x),0)</f>
        <v>20926.702707692304</v>
      </c>
    </row>
    <row r="20" spans="1:17" s="42" customFormat="1" ht="15" hidden="1" customHeight="1" outlineLevel="1" x14ac:dyDescent="0.3">
      <c r="A20" s="34"/>
      <c r="B20" s="11" t="str">
        <f>CONCATENATE("          ","6112"," - ","COMPENSATION INSURANCE")</f>
        <v xml:space="preserve">          6112 - COMPENSATION INSURANCE</v>
      </c>
      <c r="C20" s="15"/>
      <c r="D20" s="3">
        <v>244.28</v>
      </c>
      <c r="E20" s="3">
        <v>245.25</v>
      </c>
      <c r="F20" s="3">
        <v>245.25</v>
      </c>
      <c r="G20" s="3">
        <v>368.36</v>
      </c>
      <c r="H20" s="3">
        <v>247.78</v>
      </c>
      <c r="I20" s="3">
        <v>246.81</v>
      </c>
      <c r="J20" s="3">
        <v>852.13</v>
      </c>
      <c r="K20" s="3">
        <v>289.61</v>
      </c>
      <c r="L20" s="3">
        <v>289.61</v>
      </c>
      <c r="M20" s="3">
        <v>289.61</v>
      </c>
      <c r="N20" s="3">
        <v>57.927076923076903</v>
      </c>
      <c r="O20" s="3">
        <v>57.927076923076903</v>
      </c>
      <c r="P20" s="10"/>
      <c r="Q20" s="3">
        <f>SUM(OSRRefD21_0_1x)+IFERROR(SUM(OSRRefE21_0_1x),0)</f>
        <v>3434.5441538461537</v>
      </c>
    </row>
    <row r="21" spans="1:17" s="42" customFormat="1" ht="15" hidden="1" customHeight="1" outlineLevel="1" x14ac:dyDescent="0.3">
      <c r="A21" s="34"/>
      <c r="B21" s="11" t="str">
        <f>CONCATENATE("          ","6113"," - ","GROUP INSURANCE")</f>
        <v xml:space="preserve">          6113 - GROUP INSURANCE</v>
      </c>
      <c r="C21" s="15"/>
      <c r="D21" s="3">
        <v>3909.65</v>
      </c>
      <c r="E21" s="3">
        <v>3909.65</v>
      </c>
      <c r="F21" s="3">
        <v>4108.09</v>
      </c>
      <c r="G21" s="3">
        <v>3909.65</v>
      </c>
      <c r="H21" s="3">
        <v>3909.65</v>
      </c>
      <c r="I21" s="3">
        <v>3909.65</v>
      </c>
      <c r="J21" s="3">
        <v>3588.59</v>
      </c>
      <c r="K21" s="3">
        <v>3588.59</v>
      </c>
      <c r="L21" s="3">
        <v>3588.59</v>
      </c>
      <c r="M21" s="3">
        <v>3588.59</v>
      </c>
      <c r="N21" s="3">
        <v>3359</v>
      </c>
      <c r="O21" s="3">
        <v>3359</v>
      </c>
      <c r="P21" s="10"/>
      <c r="Q21" s="3">
        <f>SUM(OSRRefD21_0_2x)+IFERROR(SUM(OSRRefE21_0_2x),0)</f>
        <v>44728.7</v>
      </c>
    </row>
    <row r="22" spans="1:17" s="42" customFormat="1" ht="15" hidden="1" customHeight="1" outlineLevel="1" x14ac:dyDescent="0.3">
      <c r="A22" s="34"/>
      <c r="B22" s="11" t="str">
        <f>CONCATENATE("          ","6114"," - ","STATE UNEMPLOYMENT INSURANCE")</f>
        <v xml:space="preserve">          6114 - STATE UNEMPLOYMENT INSURANCE</v>
      </c>
      <c r="C22" s="15"/>
      <c r="D22" s="3">
        <v>49.24</v>
      </c>
      <c r="E22" s="3">
        <v>49.43</v>
      </c>
      <c r="F22" s="3">
        <v>49.43</v>
      </c>
      <c r="G22" s="3">
        <v>74.239999999999995</v>
      </c>
      <c r="H22" s="3">
        <v>49.94</v>
      </c>
      <c r="I22" s="3">
        <v>49.74</v>
      </c>
      <c r="J22" s="3">
        <v>171.75</v>
      </c>
      <c r="K22" s="3">
        <v>58.37</v>
      </c>
      <c r="L22" s="3">
        <v>58.37</v>
      </c>
      <c r="M22" s="3">
        <v>58.37</v>
      </c>
      <c r="N22" s="3">
        <v>39.240923076923103</v>
      </c>
      <c r="O22" s="3">
        <v>39.240923076923103</v>
      </c>
      <c r="P22" s="10"/>
      <c r="Q22" s="3">
        <f>SUM(OSRRefD21_0_3x)+IFERROR(SUM(OSRRefE21_0_3x),0)</f>
        <v>747.36184615384616</v>
      </c>
    </row>
    <row r="23" spans="1:17" s="42" customFormat="1" ht="15" hidden="1" customHeight="1" outlineLevel="1" x14ac:dyDescent="0.3">
      <c r="A23" s="34"/>
      <c r="B23" s="11" t="str">
        <f>CONCATENATE("          ","6115"," - ","P.E.R.S.")</f>
        <v xml:space="preserve">          6115 - P.E.R.S.</v>
      </c>
      <c r="C23" s="15"/>
      <c r="D23" s="3">
        <v>2020.98</v>
      </c>
      <c r="E23" s="3">
        <v>2020.98</v>
      </c>
      <c r="F23" s="3">
        <v>2020.98</v>
      </c>
      <c r="G23" s="3">
        <v>3031.48</v>
      </c>
      <c r="H23" s="3">
        <v>2042.29</v>
      </c>
      <c r="I23" s="3">
        <v>2042.29</v>
      </c>
      <c r="J23" s="3">
        <v>2407.25</v>
      </c>
      <c r="K23" s="3">
        <v>2407.25</v>
      </c>
      <c r="L23" s="3">
        <v>2407.25</v>
      </c>
      <c r="M23" s="3">
        <v>3490.5</v>
      </c>
      <c r="N23" s="3">
        <v>1607.00923076923</v>
      </c>
      <c r="O23" s="3">
        <v>1607.00923076923</v>
      </c>
      <c r="P23" s="10"/>
      <c r="Q23" s="3">
        <f>SUM(OSRRefD21_0_4x)+IFERROR(SUM(OSRRefE21_0_4x),0)</f>
        <v>27105.268461538461</v>
      </c>
    </row>
    <row r="24" spans="1:17" s="42" customFormat="1" ht="15" hidden="1" customHeight="1" outlineLevel="1" x14ac:dyDescent="0.3">
      <c r="A24" s="34"/>
      <c r="B24" s="11" t="str">
        <f>CONCATENATE("          ","6116"," - ","EDUCATIONAL BENEFITS")</f>
        <v xml:space="preserve">          6116 - EDUCATIONAL BENEFITS</v>
      </c>
      <c r="C24" s="15"/>
      <c r="D24" s="3"/>
      <c r="E24" s="3"/>
      <c r="F24" s="3"/>
      <c r="G24" s="3"/>
      <c r="H24" s="3"/>
      <c r="I24" s="3"/>
      <c r="J24" s="3"/>
      <c r="K24" s="3"/>
      <c r="L24" s="3"/>
      <c r="M24" s="3"/>
      <c r="N24" s="3">
        <v>0</v>
      </c>
      <c r="O24" s="3">
        <v>0</v>
      </c>
      <c r="P24" s="10"/>
      <c r="Q24" s="3">
        <f>SUM(OSRRefD21_0_5x)+IFERROR(SUM(OSRRefE21_0_5x),0)</f>
        <v>0</v>
      </c>
    </row>
    <row r="25" spans="1:17" s="42" customFormat="1" ht="15" hidden="1" customHeight="1" outlineLevel="1" x14ac:dyDescent="0.3">
      <c r="A25" s="34"/>
      <c r="B25" s="11" t="str">
        <f>CONCATENATE("          ","6118"," - ","VACATION")</f>
        <v xml:space="preserve">          6118 - VACATION</v>
      </c>
      <c r="C25" s="15"/>
      <c r="D25" s="3">
        <v>1658.98</v>
      </c>
      <c r="E25" s="3">
        <v>1658.98</v>
      </c>
      <c r="F25" s="3">
        <v>1658.98</v>
      </c>
      <c r="G25" s="3">
        <v>2488.4699999999998</v>
      </c>
      <c r="H25" s="3">
        <v>1674.78</v>
      </c>
      <c r="I25" s="3">
        <v>1674.78</v>
      </c>
      <c r="J25" s="3">
        <v>8885.32</v>
      </c>
      <c r="K25" s="3">
        <v>1984.64</v>
      </c>
      <c r="L25" s="3">
        <v>1984.64</v>
      </c>
      <c r="M25" s="3">
        <v>2976.96</v>
      </c>
      <c r="N25" s="3">
        <v>934.30769230769204</v>
      </c>
      <c r="O25" s="3">
        <v>934.30769230769204</v>
      </c>
      <c r="P25" s="10"/>
      <c r="Q25" s="3">
        <f>SUM(OSRRefD21_0_6x)+IFERROR(SUM(OSRRefE21_0_6x),0)</f>
        <v>28515.145384615382</v>
      </c>
    </row>
    <row r="26" spans="1:17" s="42" customFormat="1" ht="15" hidden="1" customHeight="1" outlineLevel="1" x14ac:dyDescent="0.3">
      <c r="A26" s="34"/>
      <c r="B26" s="11" t="str">
        <f>CONCATENATE("          ","6119"," - ","SICK LEAVE")</f>
        <v xml:space="preserve">          6119 - SICK LEAVE</v>
      </c>
      <c r="C26" s="15"/>
      <c r="D26" s="3">
        <v>856.8</v>
      </c>
      <c r="E26" s="3">
        <v>856.8</v>
      </c>
      <c r="F26" s="3">
        <v>856.8</v>
      </c>
      <c r="G26" s="3">
        <v>1285.2</v>
      </c>
      <c r="H26" s="3">
        <v>865.82</v>
      </c>
      <c r="I26" s="3">
        <v>865.82</v>
      </c>
      <c r="J26" s="3">
        <v>21687.32</v>
      </c>
      <c r="K26" s="3">
        <v>1020.54</v>
      </c>
      <c r="L26" s="3">
        <v>1020.54</v>
      </c>
      <c r="M26" s="3">
        <v>1530.81</v>
      </c>
      <c r="N26" s="3">
        <v>560.58461538461597</v>
      </c>
      <c r="O26" s="3">
        <v>560.58461538461597</v>
      </c>
      <c r="P26" s="10"/>
      <c r="Q26" s="3">
        <f>SUM(OSRRefD21_0_7x)+IFERROR(SUM(OSRRefE21_0_7x),0)</f>
        <v>31967.619230769233</v>
      </c>
    </row>
    <row r="27" spans="1:17" s="42" customFormat="1" ht="15" hidden="1" customHeight="1" outlineLevel="1" x14ac:dyDescent="0.3">
      <c r="A27" s="34"/>
      <c r="B27" s="11" t="str">
        <f>CONCATENATE("          ","6156"," - ","EMPLOYEE MEALS")</f>
        <v xml:space="preserve">          6156 - EMPLOYEE MEALS</v>
      </c>
      <c r="C27" s="15"/>
      <c r="D27" s="3">
        <v>34.369999999999997</v>
      </c>
      <c r="E27" s="3">
        <v>169.78</v>
      </c>
      <c r="F27" s="3">
        <v>139.99</v>
      </c>
      <c r="G27" s="3">
        <v>322.33999999999997</v>
      </c>
      <c r="H27" s="3">
        <v>246.8</v>
      </c>
      <c r="I27" s="3">
        <v>219.76</v>
      </c>
      <c r="J27" s="3">
        <v>154.59</v>
      </c>
      <c r="K27" s="3">
        <v>290.14</v>
      </c>
      <c r="L27" s="3">
        <v>284.29000000000002</v>
      </c>
      <c r="M27" s="3">
        <v>271.42</v>
      </c>
      <c r="N27" s="3">
        <v>350</v>
      </c>
      <c r="O27" s="3">
        <v>350</v>
      </c>
      <c r="P27" s="10"/>
      <c r="Q27" s="3">
        <f>SUM(OSRRefD21_0_8x)+IFERROR(SUM(OSRRefE21_0_8x),0)</f>
        <v>2833.48</v>
      </c>
    </row>
    <row r="28" spans="1:17" s="42" customFormat="1" ht="15" customHeight="1" collapsed="1" x14ac:dyDescent="0.3">
      <c r="A28" s="34"/>
      <c r="B28" s="15" t="str">
        <f>CONCATENATE("     ","*Payroll                                          ")</f>
        <v xml:space="preserve">     *Payroll                                          </v>
      </c>
      <c r="C28" s="15"/>
      <c r="D28" s="2">
        <f>SUM(OSRRefD21_1x_0)</f>
        <v>21772.7</v>
      </c>
      <c r="E28" s="2">
        <f>SUM(OSRRefD21_1x_1)</f>
        <v>13464.2</v>
      </c>
      <c r="F28" s="2">
        <f>SUM(OSRRefD21_1x_2)</f>
        <v>15617.07</v>
      </c>
      <c r="G28" s="2">
        <f>SUM(OSRRefD21_1x_3)</f>
        <v>-7867.31</v>
      </c>
      <c r="H28" s="2">
        <f>SUM(OSRRefD21_1x_4)</f>
        <v>17100.900000000001</v>
      </c>
      <c r="I28" s="2">
        <f>SUM(OSRRefD21_1x_5)</f>
        <v>17589.43</v>
      </c>
      <c r="J28" s="2">
        <f>SUM(OSRRefD21_1x_6)</f>
        <v>70363.490000000005</v>
      </c>
      <c r="K28" s="2">
        <f>SUM(OSRRefD21_1x_7)</f>
        <v>19848.260000000002</v>
      </c>
      <c r="L28" s="2">
        <f>SUM(OSRRefD21_1x_8)</f>
        <v>22332.34</v>
      </c>
      <c r="M28" s="2">
        <f>SUM(OSRRefD21_1x_9)</f>
        <v>24599.34</v>
      </c>
      <c r="N28" s="2">
        <f>SUM(OSRRefE21_1x_0)</f>
        <v>17191.261538461491</v>
      </c>
      <c r="O28" s="2">
        <f>SUM(OSRRefE21_1x_1)</f>
        <v>17191.261538461491</v>
      </c>
      <c r="Q28" s="3">
        <f>SUM(OSRRefD20_1x)+IFERROR(SUM(OSRRefE20_1x),0)</f>
        <v>249202.94307692299</v>
      </c>
    </row>
    <row r="29" spans="1:17" s="42" customFormat="1" ht="15" hidden="1" customHeight="1" outlineLevel="1" x14ac:dyDescent="0.3">
      <c r="A29" s="34"/>
      <c r="B29" s="11" t="str">
        <f>CONCATENATE("          ","6001"," - ","ADMINISTRATIVE SALARIES")</f>
        <v xml:space="preserve">          6001 - ADMINISTRATIVE SALARIES</v>
      </c>
      <c r="C29" s="15"/>
      <c r="D29" s="3">
        <v>16876.34</v>
      </c>
      <c r="E29" s="3">
        <v>10036.66</v>
      </c>
      <c r="F29" s="3">
        <v>10720.59</v>
      </c>
      <c r="G29" s="3">
        <v>-13988.03</v>
      </c>
      <c r="H29" s="3">
        <v>12772.41</v>
      </c>
      <c r="I29" s="3">
        <v>13456.34</v>
      </c>
      <c r="J29" s="3">
        <v>64507.39</v>
      </c>
      <c r="K29" s="3">
        <v>14939.66</v>
      </c>
      <c r="L29" s="3">
        <v>17494.62</v>
      </c>
      <c r="M29" s="3">
        <v>18577.310000000001</v>
      </c>
      <c r="N29" s="3">
        <v>12526.1538461538</v>
      </c>
      <c r="O29" s="3">
        <v>12526.1538461538</v>
      </c>
      <c r="P29" s="10"/>
      <c r="Q29" s="3">
        <f>SUM(OSRRefD21_1_0x)+IFERROR(SUM(OSRRefE21_1_0x),0)</f>
        <v>190445.59769230761</v>
      </c>
    </row>
    <row r="30" spans="1:17" s="42" customFormat="1" ht="15" hidden="1" customHeight="1" outlineLevel="1" x14ac:dyDescent="0.3">
      <c r="A30" s="34"/>
      <c r="B30" s="11" t="str">
        <f>CONCATENATE("          ","6002"," - ","STAFF SALARIES")</f>
        <v xml:space="preserve">          6002 - STAFF SALARIES</v>
      </c>
      <c r="C30" s="15"/>
      <c r="D30" s="3">
        <v>4896.3599999999997</v>
      </c>
      <c r="E30" s="3">
        <v>3427.54</v>
      </c>
      <c r="F30" s="3">
        <v>4896.4799999999996</v>
      </c>
      <c r="G30" s="3">
        <v>6120.72</v>
      </c>
      <c r="H30" s="3">
        <v>4328.49</v>
      </c>
      <c r="I30" s="3">
        <v>4073.87</v>
      </c>
      <c r="J30" s="3">
        <v>5856.1</v>
      </c>
      <c r="K30" s="3">
        <v>4837.72</v>
      </c>
      <c r="L30" s="3">
        <v>4837.72</v>
      </c>
      <c r="M30" s="3">
        <v>6022.03</v>
      </c>
      <c r="N30" s="3">
        <v>4665.1076923076898</v>
      </c>
      <c r="O30" s="3">
        <v>4665.1076923076898</v>
      </c>
      <c r="P30" s="10"/>
      <c r="Q30" s="3">
        <f>SUM(OSRRefD21_1_1x)+IFERROR(SUM(OSRRefE21_1_1x),0)</f>
        <v>58627.24538461538</v>
      </c>
    </row>
    <row r="31" spans="1:17" s="42" customFormat="1" ht="15" hidden="1" customHeight="1" outlineLevel="1" x14ac:dyDescent="0.3">
      <c r="A31" s="34"/>
      <c r="B31" s="11" t="str">
        <f>CONCATENATE("          ","6003"," - ","STAFF HOURLY-9 MONTH")</f>
        <v xml:space="preserve">          6003 - STAFF HOURLY-9 MONTH</v>
      </c>
      <c r="C31" s="15"/>
      <c r="D31" s="3"/>
      <c r="E31" s="3"/>
      <c r="F31" s="3"/>
      <c r="G31" s="3"/>
      <c r="H31" s="3"/>
      <c r="I31" s="3"/>
      <c r="J31" s="3"/>
      <c r="K31" s="3"/>
      <c r="L31" s="3"/>
      <c r="M31" s="3"/>
      <c r="N31" s="3">
        <v>0</v>
      </c>
      <c r="O31" s="3">
        <v>0</v>
      </c>
      <c r="P31" s="10"/>
      <c r="Q31" s="3">
        <f>SUM(OSRRefD21_1_2x)+IFERROR(SUM(OSRRefE21_1_2x),0)</f>
        <v>0</v>
      </c>
    </row>
    <row r="32" spans="1:17" s="42" customFormat="1" ht="15" hidden="1" customHeight="1" outlineLevel="1" x14ac:dyDescent="0.3">
      <c r="A32" s="34"/>
      <c r="B32" s="11" t="str">
        <f>CONCATENATE("          ","6004"," - ","STAFF HOURLY")</f>
        <v xml:space="preserve">          6004 - STAFF HOURLY</v>
      </c>
      <c r="C32" s="15"/>
      <c r="D32" s="3"/>
      <c r="E32" s="3"/>
      <c r="F32" s="3"/>
      <c r="G32" s="3"/>
      <c r="H32" s="3"/>
      <c r="I32" s="3"/>
      <c r="J32" s="3"/>
      <c r="K32" s="3">
        <v>70.88</v>
      </c>
      <c r="L32" s="3"/>
      <c r="M32" s="3"/>
      <c r="N32" s="3">
        <v>0</v>
      </c>
      <c r="O32" s="3">
        <v>0</v>
      </c>
      <c r="P32" s="10"/>
      <c r="Q32" s="3">
        <f>SUM(OSRRefD21_1_3x)+IFERROR(SUM(OSRRefE21_1_3x),0)</f>
        <v>70.88</v>
      </c>
    </row>
    <row r="33" spans="1:17" s="42" customFormat="1" ht="15" hidden="1" customHeight="1" outlineLevel="1" x14ac:dyDescent="0.3">
      <c r="A33" s="34"/>
      <c r="B33" s="11" t="str">
        <f>CONCATENATE("          ","6005"," - ","TEMPORARY WAGES-HOURLY")</f>
        <v xml:space="preserve">          6005 - TEMPORARY WAGES-HOURLY</v>
      </c>
      <c r="C33" s="15"/>
      <c r="D33" s="3"/>
      <c r="E33" s="3"/>
      <c r="F33" s="3"/>
      <c r="G33" s="3"/>
      <c r="H33" s="3"/>
      <c r="I33" s="3"/>
      <c r="J33" s="3"/>
      <c r="K33" s="3"/>
      <c r="L33" s="3"/>
      <c r="M33" s="3"/>
      <c r="N33" s="3">
        <v>0</v>
      </c>
      <c r="O33" s="3">
        <v>0</v>
      </c>
      <c r="P33" s="10"/>
      <c r="Q33" s="3">
        <f>SUM(OSRRefD21_1_4x)+IFERROR(SUM(OSRRefE21_1_4x),0)</f>
        <v>0</v>
      </c>
    </row>
    <row r="34" spans="1:17" s="42" customFormat="1" ht="15" hidden="1" customHeight="1" outlineLevel="1" x14ac:dyDescent="0.3">
      <c r="A34" s="34"/>
      <c r="B34" s="11" t="str">
        <f>CONCATENATE("          ","6006"," - ","TEMPORARY PART TIME")</f>
        <v xml:space="preserve">          6006 - TEMPORARY PART TIME</v>
      </c>
      <c r="C34" s="15"/>
      <c r="D34" s="3"/>
      <c r="E34" s="3"/>
      <c r="F34" s="3"/>
      <c r="G34" s="3"/>
      <c r="H34" s="3"/>
      <c r="I34" s="3"/>
      <c r="J34" s="3"/>
      <c r="K34" s="3"/>
      <c r="L34" s="3"/>
      <c r="M34" s="3"/>
      <c r="N34" s="3">
        <v>0</v>
      </c>
      <c r="O34" s="3">
        <v>0</v>
      </c>
      <c r="P34" s="10"/>
      <c r="Q34" s="3">
        <f>SUM(OSRRefD21_1_5x)+IFERROR(SUM(OSRRefE21_1_5x),0)</f>
        <v>0</v>
      </c>
    </row>
    <row r="35" spans="1:17" s="42" customFormat="1" ht="15" hidden="1" customHeight="1" outlineLevel="1" x14ac:dyDescent="0.3">
      <c r="A35" s="34"/>
      <c r="B35" s="11" t="str">
        <f>CONCATENATE("          ","6007"," - ","STUDENT HOURLY")</f>
        <v xml:space="preserve">          6007 - STUDENT HOURLY</v>
      </c>
      <c r="C35" s="15"/>
      <c r="D35" s="3"/>
      <c r="E35" s="3"/>
      <c r="F35" s="3"/>
      <c r="G35" s="3"/>
      <c r="H35" s="3"/>
      <c r="I35" s="3">
        <v>59.22</v>
      </c>
      <c r="J35" s="3"/>
      <c r="K35" s="3"/>
      <c r="L35" s="3"/>
      <c r="M35" s="3"/>
      <c r="N35" s="3">
        <v>0</v>
      </c>
      <c r="O35" s="3">
        <v>0</v>
      </c>
      <c r="P35" s="10"/>
      <c r="Q35" s="3">
        <f>SUM(OSRRefD21_1_6x)+IFERROR(SUM(OSRRefE21_1_6x),0)</f>
        <v>59.22</v>
      </c>
    </row>
    <row r="36" spans="1:17" s="42" customFormat="1" ht="15" hidden="1" customHeight="1" outlineLevel="1" x14ac:dyDescent="0.3">
      <c r="A36" s="34"/>
      <c r="B36" s="11" t="str">
        <f>CONCATENATE("          ","6008"," - ","STUDENT HOURLY-FICA EXEMPT")</f>
        <v xml:space="preserve">          6008 - STUDENT HOURLY-FICA EXEMPT</v>
      </c>
      <c r="C36" s="15"/>
      <c r="D36" s="3"/>
      <c r="E36" s="3"/>
      <c r="F36" s="3"/>
      <c r="G36" s="3"/>
      <c r="H36" s="3"/>
      <c r="I36" s="3"/>
      <c r="J36" s="3"/>
      <c r="K36" s="3"/>
      <c r="L36" s="3"/>
      <c r="M36" s="3"/>
      <c r="N36" s="3">
        <v>0</v>
      </c>
      <c r="O36" s="3">
        <v>0</v>
      </c>
      <c r="P36" s="10"/>
      <c r="Q36" s="3">
        <f>SUM(OSRRefD21_1_7x)+IFERROR(SUM(OSRRefE21_1_7x),0)</f>
        <v>0</v>
      </c>
    </row>
    <row r="37" spans="1:17" s="42" customFormat="1" ht="15" hidden="1" customHeight="1" outlineLevel="1" x14ac:dyDescent="0.3">
      <c r="A37" s="34"/>
      <c r="B37" s="11" t="str">
        <f>CONCATENATE("          ","6009"," - ","TEMPORARY-SEASONAL")</f>
        <v xml:space="preserve">          6009 - TEMPORARY-SEASONAL</v>
      </c>
      <c r="C37" s="15"/>
      <c r="D37" s="3"/>
      <c r="E37" s="3"/>
      <c r="F37" s="3"/>
      <c r="G37" s="3"/>
      <c r="H37" s="3"/>
      <c r="I37" s="3"/>
      <c r="J37" s="3"/>
      <c r="K37" s="3"/>
      <c r="L37" s="3"/>
      <c r="M37" s="3"/>
      <c r="N37" s="3">
        <v>0</v>
      </c>
      <c r="O37" s="3">
        <v>0</v>
      </c>
      <c r="P37" s="10"/>
      <c r="Q37" s="3">
        <f>SUM(OSRRefD21_1_8x)+IFERROR(SUM(OSRRefE21_1_8x),0)</f>
        <v>0</v>
      </c>
    </row>
    <row r="38" spans="1:17" s="42" customFormat="1" ht="15" hidden="1" customHeight="1" outlineLevel="1" x14ac:dyDescent="0.3">
      <c r="A38" s="34"/>
      <c r="B38" s="11" t="str">
        <f>CONCATENATE("          ","6010"," - ","GRATUITY")</f>
        <v xml:space="preserve">          6010 - GRATUITY</v>
      </c>
      <c r="C38" s="15"/>
      <c r="D38" s="3"/>
      <c r="E38" s="3"/>
      <c r="F38" s="3"/>
      <c r="G38" s="3"/>
      <c r="H38" s="3"/>
      <c r="I38" s="3"/>
      <c r="J38" s="3"/>
      <c r="K38" s="3"/>
      <c r="L38" s="3"/>
      <c r="M38" s="3"/>
      <c r="N38" s="3">
        <v>0</v>
      </c>
      <c r="O38" s="3">
        <v>0</v>
      </c>
      <c r="P38" s="10"/>
      <c r="Q38" s="3">
        <f>SUM(OSRRefD21_1_9x)+IFERROR(SUM(OSRRefE21_1_9x),0)</f>
        <v>0</v>
      </c>
    </row>
    <row r="39" spans="1:17" s="42" customFormat="1" ht="15" customHeight="1" collapsed="1" x14ac:dyDescent="0.3">
      <c r="A39" s="34"/>
      <c r="B39" s="15" t="str">
        <f>CONCATENATE("     ","Advertising/Promo                                 ")</f>
        <v xml:space="preserve">     Advertising/Promo                                 </v>
      </c>
      <c r="C39" s="15"/>
      <c r="D39" s="2">
        <f>SUM(OSRRefD21_2x_0)</f>
        <v>0</v>
      </c>
      <c r="E39" s="2">
        <f>SUM(OSRRefD21_2x_1)</f>
        <v>129.18</v>
      </c>
      <c r="F39" s="2">
        <f>SUM(OSRRefD21_2x_2)</f>
        <v>57.24</v>
      </c>
      <c r="G39" s="2">
        <f>SUM(OSRRefD21_2x_3)</f>
        <v>0</v>
      </c>
      <c r="H39" s="2">
        <f>SUM(OSRRefD21_2x_4)</f>
        <v>0</v>
      </c>
      <c r="I39" s="2">
        <f>SUM(OSRRefD21_2x_5)</f>
        <v>1780.99</v>
      </c>
      <c r="J39" s="2">
        <f>SUM(OSRRefD21_2x_6)</f>
        <v>0</v>
      </c>
      <c r="K39" s="2">
        <f>SUM(OSRRefD21_2x_7)</f>
        <v>0</v>
      </c>
      <c r="L39" s="2">
        <f>SUM(OSRRefD21_2x_8)</f>
        <v>2.21</v>
      </c>
      <c r="M39" s="2">
        <f>SUM(OSRRefD21_2x_9)</f>
        <v>0</v>
      </c>
      <c r="N39" s="2">
        <f>SUM(OSRRefE21_2x_0)</f>
        <v>250</v>
      </c>
      <c r="O39" s="2">
        <f>SUM(OSRRefE21_2x_1)</f>
        <v>250</v>
      </c>
      <c r="Q39" s="3">
        <f>SUM(OSRRefD20_2x)+IFERROR(SUM(OSRRefE20_2x),0)</f>
        <v>2469.62</v>
      </c>
    </row>
    <row r="40" spans="1:17" s="42" customFormat="1" ht="15" hidden="1" customHeight="1" outlineLevel="1" x14ac:dyDescent="0.3">
      <c r="A40" s="34"/>
      <c r="B40" s="11" t="str">
        <f>CONCATENATE("          ","6362"," - ","ADVERTISING EXPENSE")</f>
        <v xml:space="preserve">          6362 - ADVERTISING EXPENSE</v>
      </c>
      <c r="C40" s="15"/>
      <c r="D40" s="3"/>
      <c r="E40" s="3">
        <v>129.18</v>
      </c>
      <c r="F40" s="3">
        <v>57.24</v>
      </c>
      <c r="G40" s="3"/>
      <c r="H40" s="3"/>
      <c r="I40" s="3">
        <v>1780.99</v>
      </c>
      <c r="J40" s="3"/>
      <c r="K40" s="3"/>
      <c r="L40" s="3">
        <v>2.21</v>
      </c>
      <c r="M40" s="3"/>
      <c r="N40" s="3">
        <v>250</v>
      </c>
      <c r="O40" s="3">
        <v>250</v>
      </c>
      <c r="P40" s="10"/>
      <c r="Q40" s="3">
        <f>SUM(OSRRefD21_2_0x)+IFERROR(SUM(OSRRefE21_2_0x),0)</f>
        <v>2469.62</v>
      </c>
    </row>
    <row r="41" spans="1:17" s="42" customFormat="1" ht="15" customHeight="1" collapsed="1" x14ac:dyDescent="0.3">
      <c r="A41" s="34"/>
      <c r="B41" s="15" t="str">
        <f>CONCATENATE("     ","Depreciation                                      ")</f>
        <v xml:space="preserve">     Depreciation                                      </v>
      </c>
      <c r="C41" s="15"/>
      <c r="D41" s="2">
        <f>SUM(OSRRefD21_3x_0)</f>
        <v>314.87</v>
      </c>
      <c r="E41" s="2">
        <f>SUM(OSRRefD21_3x_1)</f>
        <v>314.87</v>
      </c>
      <c r="F41" s="2">
        <f>SUM(OSRRefD21_3x_2)</f>
        <v>314.87</v>
      </c>
      <c r="G41" s="2">
        <f>SUM(OSRRefD21_3x_3)</f>
        <v>314.87</v>
      </c>
      <c r="H41" s="2">
        <f>SUM(OSRRefD21_3x_4)</f>
        <v>314.87</v>
      </c>
      <c r="I41" s="2">
        <f>SUM(OSRRefD21_3x_5)</f>
        <v>314.87</v>
      </c>
      <c r="J41" s="2">
        <f>SUM(OSRRefD21_3x_6)</f>
        <v>314.87</v>
      </c>
      <c r="K41" s="2">
        <f>SUM(OSRRefD21_3x_7)</f>
        <v>314.87</v>
      </c>
      <c r="L41" s="2">
        <f>SUM(OSRRefD21_3x_8)</f>
        <v>314.87</v>
      </c>
      <c r="M41" s="2">
        <f>SUM(OSRRefD21_3x_9)</f>
        <v>314.87</v>
      </c>
      <c r="N41" s="2">
        <f>SUM(OSRRefE21_3x_0)</f>
        <v>315</v>
      </c>
      <c r="O41" s="2">
        <f>SUM(OSRRefE21_3x_1)</f>
        <v>315</v>
      </c>
      <c r="Q41" s="3">
        <f>SUM(OSRRefD20_3x)+IFERROR(SUM(OSRRefE20_3x),0)</f>
        <v>3778.6999999999994</v>
      </c>
    </row>
    <row r="42" spans="1:17" s="42" customFormat="1" ht="15" hidden="1" customHeight="1" outlineLevel="1" x14ac:dyDescent="0.3">
      <c r="A42" s="34"/>
      <c r="B42" s="11" t="str">
        <f>CONCATENATE("          ","6322"," - ","EQUIPMENT DEPRECIATION EXPENSE")</f>
        <v xml:space="preserve">          6322 - EQUIPMENT DEPRECIATION EXPENSE</v>
      </c>
      <c r="C42" s="15"/>
      <c r="D42" s="3">
        <v>314.87</v>
      </c>
      <c r="E42" s="3">
        <v>314.87</v>
      </c>
      <c r="F42" s="3">
        <v>314.87</v>
      </c>
      <c r="G42" s="3">
        <v>314.87</v>
      </c>
      <c r="H42" s="3">
        <v>314.87</v>
      </c>
      <c r="I42" s="3">
        <v>314.87</v>
      </c>
      <c r="J42" s="3">
        <v>314.87</v>
      </c>
      <c r="K42" s="3">
        <v>314.87</v>
      </c>
      <c r="L42" s="3">
        <v>314.87</v>
      </c>
      <c r="M42" s="3">
        <v>314.87</v>
      </c>
      <c r="N42" s="3">
        <v>315</v>
      </c>
      <c r="O42" s="3">
        <v>315</v>
      </c>
      <c r="P42" s="10"/>
      <c r="Q42" s="3">
        <f>SUM(OSRRefD21_3_0x)+IFERROR(SUM(OSRRefE21_3_0x),0)</f>
        <v>3778.6999999999994</v>
      </c>
    </row>
    <row r="43" spans="1:17" s="42" customFormat="1" ht="15" customHeight="1" collapsed="1" x14ac:dyDescent="0.3">
      <c r="A43" s="34"/>
      <c r="B43" s="15" t="str">
        <f>CONCATENATE("     ","Donations                                         ")</f>
        <v xml:space="preserve">     Donations                                         </v>
      </c>
      <c r="C43" s="15"/>
      <c r="D43" s="2">
        <f>SUM(OSRRefD21_4x_0)</f>
        <v>0</v>
      </c>
      <c r="E43" s="2">
        <f>SUM(OSRRefD21_4x_1)</f>
        <v>0</v>
      </c>
      <c r="F43" s="2">
        <f>SUM(OSRRefD21_4x_2)</f>
        <v>0</v>
      </c>
      <c r="G43" s="2">
        <f>SUM(OSRRefD21_4x_3)</f>
        <v>0</v>
      </c>
      <c r="H43" s="2">
        <f>SUM(OSRRefD21_4x_4)</f>
        <v>25000</v>
      </c>
      <c r="I43" s="2">
        <f>SUM(OSRRefD21_4x_5)</f>
        <v>300</v>
      </c>
      <c r="J43" s="2">
        <f>SUM(OSRRefD21_4x_6)</f>
        <v>0</v>
      </c>
      <c r="K43" s="2">
        <f>SUM(OSRRefD21_4x_7)</f>
        <v>0</v>
      </c>
      <c r="L43" s="2">
        <f>SUM(OSRRefD21_4x_8)</f>
        <v>0</v>
      </c>
      <c r="M43" s="2">
        <f>SUM(OSRRefD21_4x_9)</f>
        <v>0</v>
      </c>
      <c r="N43" s="2">
        <f>SUM(OSRRefE21_4x_0)</f>
        <v>500</v>
      </c>
      <c r="O43" s="2">
        <f>SUM(OSRRefE21_4x_1)</f>
        <v>300</v>
      </c>
      <c r="Q43" s="3">
        <f>SUM(OSRRefD20_4x)+IFERROR(SUM(OSRRefE20_4x),0)</f>
        <v>26100</v>
      </c>
    </row>
    <row r="44" spans="1:17" s="42" customFormat="1" ht="15" hidden="1" customHeight="1" outlineLevel="1" x14ac:dyDescent="0.3">
      <c r="A44" s="34"/>
      <c r="B44" s="11" t="str">
        <f>CONCATENATE("          ","6399"," - ","DONATION-ON CAMPUS")</f>
        <v xml:space="preserve">          6399 - DONATION-ON CAMPUS</v>
      </c>
      <c r="C44" s="15"/>
      <c r="D44" s="3"/>
      <c r="E44" s="3"/>
      <c r="F44" s="3"/>
      <c r="G44" s="3"/>
      <c r="H44" s="3">
        <v>25000</v>
      </c>
      <c r="I44" s="3">
        <v>300</v>
      </c>
      <c r="J44" s="3"/>
      <c r="K44" s="3"/>
      <c r="L44" s="3"/>
      <c r="M44" s="3"/>
      <c r="N44" s="3">
        <v>500</v>
      </c>
      <c r="O44" s="3">
        <v>300</v>
      </c>
      <c r="P44" s="10"/>
      <c r="Q44" s="3">
        <f>SUM(OSRRefD21_4_0x)+IFERROR(SUM(OSRRefE21_4_0x),0)</f>
        <v>26100</v>
      </c>
    </row>
    <row r="45" spans="1:17" s="42" customFormat="1" ht="15" customHeight="1" collapsed="1" x14ac:dyDescent="0.3">
      <c r="A45" s="34"/>
      <c r="B45" s="15" t="str">
        <f>CONCATENATE("     ","Employees' Appreciation                           ")</f>
        <v xml:space="preserve">     Employees' Appreciation                           </v>
      </c>
      <c r="C45" s="15"/>
      <c r="D45" s="2">
        <f>SUM(OSRRefD21_5x_0)</f>
        <v>0</v>
      </c>
      <c r="E45" s="2">
        <f>SUM(OSRRefD21_5x_1)</f>
        <v>0</v>
      </c>
      <c r="F45" s="2">
        <f>SUM(OSRRefD21_5x_2)</f>
        <v>0</v>
      </c>
      <c r="G45" s="2">
        <f>SUM(OSRRefD21_5x_3)</f>
        <v>0</v>
      </c>
      <c r="H45" s="2">
        <f>SUM(OSRRefD21_5x_4)</f>
        <v>0</v>
      </c>
      <c r="I45" s="2">
        <f>SUM(OSRRefD21_5x_5)</f>
        <v>0</v>
      </c>
      <c r="J45" s="2">
        <f>SUM(OSRRefD21_5x_6)</f>
        <v>635.58000000000004</v>
      </c>
      <c r="K45" s="2">
        <f>SUM(OSRRefD21_5x_7)</f>
        <v>0</v>
      </c>
      <c r="L45" s="2">
        <f>SUM(OSRRefD21_5x_8)</f>
        <v>0</v>
      </c>
      <c r="M45" s="2">
        <f>SUM(OSRRefD21_5x_9)</f>
        <v>0</v>
      </c>
      <c r="N45" s="2">
        <f>SUM(OSRRefE21_5x_0)</f>
        <v>0</v>
      </c>
      <c r="O45" s="2">
        <f>SUM(OSRRefE21_5x_1)</f>
        <v>2000</v>
      </c>
      <c r="Q45" s="3">
        <f>SUM(OSRRefD20_5x)+IFERROR(SUM(OSRRefE20_5x),0)</f>
        <v>2635.58</v>
      </c>
    </row>
    <row r="46" spans="1:17" s="42" customFormat="1" ht="15" hidden="1" customHeight="1" outlineLevel="1" x14ac:dyDescent="0.3">
      <c r="A46" s="34"/>
      <c r="B46" s="11" t="str">
        <f>CONCATENATE("          ","6277"," - ","EMPLOYEE APPRECIATION")</f>
        <v xml:space="preserve">          6277 - EMPLOYEE APPRECIATION</v>
      </c>
      <c r="C46" s="15"/>
      <c r="D46" s="3"/>
      <c r="E46" s="3"/>
      <c r="F46" s="3"/>
      <c r="G46" s="3"/>
      <c r="H46" s="3"/>
      <c r="I46" s="3"/>
      <c r="J46" s="3">
        <v>635.58000000000004</v>
      </c>
      <c r="K46" s="3"/>
      <c r="L46" s="3"/>
      <c r="M46" s="3"/>
      <c r="N46" s="3"/>
      <c r="O46" s="3">
        <v>2000</v>
      </c>
      <c r="P46" s="10"/>
      <c r="Q46" s="3">
        <f>SUM(OSRRefD21_5_0x)+IFERROR(SUM(OSRRefE21_5_0x),0)</f>
        <v>2635.58</v>
      </c>
    </row>
    <row r="47" spans="1:17" s="42" customFormat="1" ht="15" customHeight="1" collapsed="1" x14ac:dyDescent="0.3">
      <c r="A47" s="34"/>
      <c r="B47" s="15" t="str">
        <f>CONCATENATE("     ","Equipment Rental                                  ")</f>
        <v xml:space="preserve">     Equipment Rental                                  </v>
      </c>
      <c r="C47" s="15"/>
      <c r="D47" s="2">
        <f>SUM(OSRRefD21_6x_0)</f>
        <v>117.71</v>
      </c>
      <c r="E47" s="2">
        <f>SUM(OSRRefD21_6x_1)</f>
        <v>117.71</v>
      </c>
      <c r="F47" s="2">
        <f>SUM(OSRRefD21_6x_2)</f>
        <v>117.71</v>
      </c>
      <c r="G47" s="2">
        <f>SUM(OSRRefD21_6x_3)</f>
        <v>117.71</v>
      </c>
      <c r="H47" s="2">
        <f>SUM(OSRRefD21_6x_4)</f>
        <v>117.71</v>
      </c>
      <c r="I47" s="2">
        <f>SUM(OSRRefD21_6x_5)</f>
        <v>117.71</v>
      </c>
      <c r="J47" s="2">
        <f>SUM(OSRRefD21_6x_6)</f>
        <v>117.71</v>
      </c>
      <c r="K47" s="2">
        <f>SUM(OSRRefD21_6x_7)</f>
        <v>117.71</v>
      </c>
      <c r="L47" s="2">
        <f>SUM(OSRRefD21_6x_8)</f>
        <v>117.71</v>
      </c>
      <c r="M47" s="2">
        <f>SUM(OSRRefD21_6x_9)</f>
        <v>117.71</v>
      </c>
      <c r="N47" s="2">
        <f>SUM(OSRRefE21_6x_0)</f>
        <v>118</v>
      </c>
      <c r="O47" s="2">
        <f>SUM(OSRRefE21_6x_1)</f>
        <v>118</v>
      </c>
      <c r="Q47" s="3">
        <f>SUM(OSRRefD20_6x)+IFERROR(SUM(OSRRefE20_6x),0)</f>
        <v>1413.1000000000001</v>
      </c>
    </row>
    <row r="48" spans="1:17" s="42" customFormat="1" ht="15" hidden="1" customHeight="1" outlineLevel="1" x14ac:dyDescent="0.3">
      <c r="A48" s="34"/>
      <c r="B48" s="11" t="str">
        <f>CONCATENATE("          ","6351"," - ","EQUIPMENT RENTAL")</f>
        <v xml:space="preserve">          6351 - EQUIPMENT RENTAL</v>
      </c>
      <c r="C48" s="15"/>
      <c r="D48" s="3">
        <v>117.71</v>
      </c>
      <c r="E48" s="3">
        <v>117.71</v>
      </c>
      <c r="F48" s="3">
        <v>117.71</v>
      </c>
      <c r="G48" s="3">
        <v>117.71</v>
      </c>
      <c r="H48" s="3">
        <v>117.71</v>
      </c>
      <c r="I48" s="3">
        <v>117.71</v>
      </c>
      <c r="J48" s="3">
        <v>117.71</v>
      </c>
      <c r="K48" s="3">
        <v>117.71</v>
      </c>
      <c r="L48" s="3">
        <v>117.71</v>
      </c>
      <c r="M48" s="3">
        <v>117.71</v>
      </c>
      <c r="N48" s="3">
        <v>118</v>
      </c>
      <c r="O48" s="3">
        <v>118</v>
      </c>
      <c r="P48" s="10"/>
      <c r="Q48" s="3">
        <f>SUM(OSRRefD21_6_0x)+IFERROR(SUM(OSRRefE21_6_0x),0)</f>
        <v>1413.1000000000001</v>
      </c>
    </row>
    <row r="49" spans="1:17" s="42" customFormat="1" ht="15" customHeight="1" collapsed="1" x14ac:dyDescent="0.3">
      <c r="A49" s="34"/>
      <c r="B49" s="15" t="str">
        <f>CONCATENATE("     ","Freight out/Postage                               ")</f>
        <v xml:space="preserve">     Freight out/Postage                               </v>
      </c>
      <c r="C49" s="15"/>
      <c r="D49" s="2">
        <f>SUM(OSRRefD21_7x_0)</f>
        <v>12.88</v>
      </c>
      <c r="E49" s="2">
        <f>SUM(OSRRefD21_7x_1)</f>
        <v>0</v>
      </c>
      <c r="F49" s="2">
        <f>SUM(OSRRefD21_7x_2)</f>
        <v>6.97</v>
      </c>
      <c r="G49" s="2">
        <f>SUM(OSRRefD21_7x_3)</f>
        <v>0</v>
      </c>
      <c r="H49" s="2">
        <f>SUM(OSRRefD21_7x_4)</f>
        <v>9.67</v>
      </c>
      <c r="I49" s="2">
        <f>SUM(OSRRefD21_7x_5)</f>
        <v>0</v>
      </c>
      <c r="J49" s="2">
        <f>SUM(OSRRefD21_7x_6)</f>
        <v>0</v>
      </c>
      <c r="K49" s="2">
        <f>SUM(OSRRefD21_7x_7)</f>
        <v>2.65</v>
      </c>
      <c r="L49" s="2">
        <f>SUM(OSRRefD21_7x_8)</f>
        <v>0</v>
      </c>
      <c r="M49" s="2">
        <f>SUM(OSRRefD21_7x_9)</f>
        <v>0</v>
      </c>
      <c r="N49" s="2">
        <f>SUM(OSRRefE21_7x_0)</f>
        <v>25</v>
      </c>
      <c r="O49" s="2">
        <f>SUM(OSRRefE21_7x_1)</f>
        <v>100</v>
      </c>
      <c r="Q49" s="3">
        <f>SUM(OSRRefD20_7x)+IFERROR(SUM(OSRRefE20_7x),0)</f>
        <v>157.17000000000002</v>
      </c>
    </row>
    <row r="50" spans="1:17" s="42" customFormat="1" ht="15" hidden="1" customHeight="1" outlineLevel="1" x14ac:dyDescent="0.3">
      <c r="A50" s="34"/>
      <c r="B50" s="11" t="str">
        <f>CONCATENATE("          ","6307"," - ","POSTAGE")</f>
        <v xml:space="preserve">          6307 - POSTAGE</v>
      </c>
      <c r="C50" s="15"/>
      <c r="D50" s="3">
        <v>12.88</v>
      </c>
      <c r="E50" s="3"/>
      <c r="F50" s="3">
        <v>6.97</v>
      </c>
      <c r="G50" s="3"/>
      <c r="H50" s="3">
        <v>9.67</v>
      </c>
      <c r="I50" s="3"/>
      <c r="J50" s="3"/>
      <c r="K50" s="3">
        <v>2.65</v>
      </c>
      <c r="L50" s="3"/>
      <c r="M50" s="3"/>
      <c r="N50" s="3">
        <v>25</v>
      </c>
      <c r="O50" s="3">
        <v>100</v>
      </c>
      <c r="P50" s="10"/>
      <c r="Q50" s="3">
        <f>SUM(OSRRefD21_7_0x)+IFERROR(SUM(OSRRefE21_7_0x),0)</f>
        <v>157.17000000000002</v>
      </c>
    </row>
    <row r="51" spans="1:17" s="42" customFormat="1" ht="15" customHeight="1" collapsed="1" x14ac:dyDescent="0.3">
      <c r="A51" s="34"/>
      <c r="B51" s="15" t="str">
        <f>CONCATENATE("     ","Insurance                                         ")</f>
        <v xml:space="preserve">     Insurance                                         </v>
      </c>
      <c r="C51" s="15"/>
      <c r="D51" s="2">
        <f>SUM(OSRRefD21_8x_0)</f>
        <v>156.47999999999999</v>
      </c>
      <c r="E51" s="2">
        <f>SUM(OSRRefD21_8x_1)</f>
        <v>156.47999999999999</v>
      </c>
      <c r="F51" s="2">
        <f>SUM(OSRRefD21_8x_2)</f>
        <v>156.47999999999999</v>
      </c>
      <c r="G51" s="2">
        <f>SUM(OSRRefD21_8x_3)</f>
        <v>156.47999999999999</v>
      </c>
      <c r="H51" s="2">
        <f>SUM(OSRRefD21_8x_4)</f>
        <v>156.47999999999999</v>
      </c>
      <c r="I51" s="2">
        <f>SUM(OSRRefD21_8x_5)</f>
        <v>156.47999999999999</v>
      </c>
      <c r="J51" s="2">
        <f>SUM(OSRRefD21_8x_6)</f>
        <v>156.47999999999999</v>
      </c>
      <c r="K51" s="2">
        <f>SUM(OSRRefD21_8x_7)</f>
        <v>156.47999999999999</v>
      </c>
      <c r="L51" s="2">
        <f>SUM(OSRRefD21_8x_8)</f>
        <v>156.47999999999999</v>
      </c>
      <c r="M51" s="2">
        <f>SUM(OSRRefD21_8x_9)</f>
        <v>156.47999999999999</v>
      </c>
      <c r="N51" s="2">
        <f>SUM(OSRRefE21_8x_0)</f>
        <v>150</v>
      </c>
      <c r="O51" s="2">
        <f>SUM(OSRRefE21_8x_1)</f>
        <v>150</v>
      </c>
      <c r="Q51" s="3">
        <f>SUM(OSRRefD20_8x)+IFERROR(SUM(OSRRefE20_8x),0)</f>
        <v>1864.8</v>
      </c>
    </row>
    <row r="52" spans="1:17" s="42" customFormat="1" ht="15" hidden="1" customHeight="1" outlineLevel="1" x14ac:dyDescent="0.3">
      <c r="A52" s="34"/>
      <c r="B52" s="11" t="str">
        <f>CONCATENATE("          ","6314"," - ","LIABILITY INSURANCE")</f>
        <v xml:space="preserve">          6314 - LIABILITY INSURANCE</v>
      </c>
      <c r="C52" s="15"/>
      <c r="D52" s="3">
        <v>156.47999999999999</v>
      </c>
      <c r="E52" s="3">
        <v>156.47999999999999</v>
      </c>
      <c r="F52" s="3">
        <v>156.47999999999999</v>
      </c>
      <c r="G52" s="3">
        <v>156.47999999999999</v>
      </c>
      <c r="H52" s="3">
        <v>156.47999999999999</v>
      </c>
      <c r="I52" s="3">
        <v>156.47999999999999</v>
      </c>
      <c r="J52" s="3">
        <v>156.47999999999999</v>
      </c>
      <c r="K52" s="3">
        <v>156.47999999999999</v>
      </c>
      <c r="L52" s="3">
        <v>156.47999999999999</v>
      </c>
      <c r="M52" s="3">
        <v>156.47999999999999</v>
      </c>
      <c r="N52" s="3">
        <v>150</v>
      </c>
      <c r="O52" s="3">
        <v>150</v>
      </c>
      <c r="P52" s="10"/>
      <c r="Q52" s="3">
        <f>SUM(OSRRefD21_8_0x)+IFERROR(SUM(OSRRefE21_8_0x),0)</f>
        <v>1864.8</v>
      </c>
    </row>
    <row r="53" spans="1:17" s="42" customFormat="1" ht="15" customHeight="1" collapsed="1" x14ac:dyDescent="0.3">
      <c r="A53" s="34"/>
      <c r="B53" s="15" t="str">
        <f>CONCATENATE("     ","Professional Services                             ")</f>
        <v xml:space="preserve">     Professional Services                             </v>
      </c>
      <c r="C53" s="15"/>
      <c r="D53" s="2">
        <f>SUM(OSRRefD21_9x_0)</f>
        <v>0</v>
      </c>
      <c r="E53" s="2">
        <f>SUM(OSRRefD21_9x_1)</f>
        <v>0</v>
      </c>
      <c r="F53" s="2">
        <f>SUM(OSRRefD21_9x_2)</f>
        <v>16500</v>
      </c>
      <c r="G53" s="2">
        <f>SUM(OSRRefD21_9x_3)</f>
        <v>18825</v>
      </c>
      <c r="H53" s="2">
        <f>SUM(OSRRefD21_9x_4)</f>
        <v>16550</v>
      </c>
      <c r="I53" s="2">
        <f>SUM(OSRRefD21_9x_5)</f>
        <v>0</v>
      </c>
      <c r="J53" s="2">
        <f>SUM(OSRRefD21_9x_6)</f>
        <v>0</v>
      </c>
      <c r="K53" s="2">
        <f>SUM(OSRRefD21_9x_7)</f>
        <v>0</v>
      </c>
      <c r="L53" s="2">
        <f>SUM(OSRRefD21_9x_8)</f>
        <v>5000</v>
      </c>
      <c r="M53" s="2">
        <f>SUM(OSRRefD21_9x_9)</f>
        <v>0</v>
      </c>
      <c r="N53" s="2">
        <f>SUM(OSRRefE21_9x_0)</f>
        <v>1000</v>
      </c>
      <c r="O53" s="2">
        <f>SUM(OSRRefE21_9x_1)</f>
        <v>0</v>
      </c>
      <c r="Q53" s="3">
        <f>SUM(OSRRefD20_9x)+IFERROR(SUM(OSRRefE20_9x),0)</f>
        <v>57875</v>
      </c>
    </row>
    <row r="54" spans="1:17" s="42" customFormat="1" ht="15" hidden="1" customHeight="1" outlineLevel="1" x14ac:dyDescent="0.3">
      <c r="A54" s="34"/>
      <c r="B54" s="11" t="str">
        <f>CONCATENATE("          ","6331"," - ","INDIRECT COSTS-AUXILIARY ORGAN")</f>
        <v xml:space="preserve">          6331 - INDIRECT COSTS-AUXILIARY ORGAN</v>
      </c>
      <c r="C54" s="15"/>
      <c r="D54" s="3"/>
      <c r="E54" s="3"/>
      <c r="F54" s="3">
        <v>16500</v>
      </c>
      <c r="G54" s="3">
        <v>18750</v>
      </c>
      <c r="H54" s="3">
        <v>13100</v>
      </c>
      <c r="I54" s="3"/>
      <c r="J54" s="3"/>
      <c r="K54" s="3"/>
      <c r="L54" s="3"/>
      <c r="M54" s="3"/>
      <c r="N54" s="3"/>
      <c r="O54" s="3"/>
      <c r="P54" s="10"/>
      <c r="Q54" s="3">
        <f>SUM(OSRRefD21_9_0x)+IFERROR(SUM(OSRRefE21_9_0x),0)</f>
        <v>48350</v>
      </c>
    </row>
    <row r="55" spans="1:17" s="42" customFormat="1" ht="15" hidden="1" customHeight="1" outlineLevel="1" x14ac:dyDescent="0.3">
      <c r="A55" s="34"/>
      <c r="B55" s="11" t="str">
        <f>CONCATENATE("          ","6334"," - ","LEGAL COUNCIL EXPENSE")</f>
        <v xml:space="preserve">          6334 - LEGAL COUNCIL EXPENSE</v>
      </c>
      <c r="C55" s="15"/>
      <c r="D55" s="3"/>
      <c r="E55" s="3"/>
      <c r="F55" s="3"/>
      <c r="G55" s="3">
        <v>75</v>
      </c>
      <c r="H55" s="3">
        <v>125</v>
      </c>
      <c r="I55" s="3"/>
      <c r="J55" s="3"/>
      <c r="K55" s="3"/>
      <c r="L55" s="3"/>
      <c r="M55" s="3"/>
      <c r="N55" s="3">
        <v>1000</v>
      </c>
      <c r="O55" s="3"/>
      <c r="P55" s="10"/>
      <c r="Q55" s="3">
        <f>SUM(OSRRefD21_9_1x)+IFERROR(SUM(OSRRefE21_9_1x),0)</f>
        <v>1200</v>
      </c>
    </row>
    <row r="56" spans="1:17" s="42" customFormat="1" ht="15" hidden="1" customHeight="1" outlineLevel="1" x14ac:dyDescent="0.3">
      <c r="A56" s="34"/>
      <c r="B56" s="11" t="str">
        <f>CONCATENATE("          ","6336"," - ","PROFESSIONAL SERVICES")</f>
        <v xml:space="preserve">          6336 - PROFESSIONAL SERVICES</v>
      </c>
      <c r="C56" s="15"/>
      <c r="D56" s="3"/>
      <c r="E56" s="3"/>
      <c r="F56" s="3"/>
      <c r="G56" s="3"/>
      <c r="H56" s="3">
        <v>3325</v>
      </c>
      <c r="I56" s="3"/>
      <c r="J56" s="3"/>
      <c r="K56" s="3"/>
      <c r="L56" s="3">
        <v>5000</v>
      </c>
      <c r="M56" s="3"/>
      <c r="N56" s="3"/>
      <c r="O56" s="3"/>
      <c r="P56" s="10"/>
      <c r="Q56" s="3">
        <f>SUM(OSRRefD21_9_2x)+IFERROR(SUM(OSRRefE21_9_2x),0)</f>
        <v>8325</v>
      </c>
    </row>
    <row r="57" spans="1:17" s="42" customFormat="1" ht="15" customHeight="1" collapsed="1" x14ac:dyDescent="0.3">
      <c r="A57" s="34"/>
      <c r="B57" s="15" t="str">
        <f>CONCATENATE("     ","Repair and Maintenance                            ")</f>
        <v xml:space="preserve">     Repair and Maintenance                            </v>
      </c>
      <c r="C57" s="15"/>
      <c r="D57" s="2">
        <f>SUM(OSRRefD21_10x_0)</f>
        <v>2592.1799999999998</v>
      </c>
      <c r="E57" s="2">
        <f>SUM(OSRRefD21_10x_1)</f>
        <v>2662.99</v>
      </c>
      <c r="F57" s="2">
        <f>SUM(OSRRefD21_10x_2)</f>
        <v>50</v>
      </c>
      <c r="G57" s="2">
        <f>SUM(OSRRefD21_10x_3)</f>
        <v>2699.47</v>
      </c>
      <c r="H57" s="2">
        <f>SUM(OSRRefD21_10x_4)</f>
        <v>2616.94</v>
      </c>
      <c r="I57" s="2">
        <f>SUM(OSRRefD21_10x_5)</f>
        <v>93.74</v>
      </c>
      <c r="J57" s="2">
        <f>SUM(OSRRefD21_10x_6)</f>
        <v>2584.37</v>
      </c>
      <c r="K57" s="2">
        <f>SUM(OSRRefD21_10x_7)</f>
        <v>2623</v>
      </c>
      <c r="L57" s="2">
        <f>SUM(OSRRefD21_10x_8)</f>
        <v>9603.02</v>
      </c>
      <c r="M57" s="2">
        <f>SUM(OSRRefD21_10x_9)</f>
        <v>2643.22</v>
      </c>
      <c r="N57" s="2">
        <f>SUM(OSRRefE21_10x_0)</f>
        <v>1530</v>
      </c>
      <c r="O57" s="2">
        <f>SUM(OSRRefE21_10x_1)</f>
        <v>1530</v>
      </c>
      <c r="Q57" s="3">
        <f>SUM(OSRRefD20_10x)+IFERROR(SUM(OSRRefE20_10x),0)</f>
        <v>31228.93</v>
      </c>
    </row>
    <row r="58" spans="1:17" s="42" customFormat="1" ht="15" hidden="1" customHeight="1" outlineLevel="1" x14ac:dyDescent="0.3">
      <c r="A58" s="34"/>
      <c r="B58" s="11" t="str">
        <f>CONCATENATE("          ","6373"," - ","MAINTENANCE CONTRACTS")</f>
        <v xml:space="preserve">          6373 - MAINTENANCE CONTRACTS</v>
      </c>
      <c r="C58" s="15"/>
      <c r="D58" s="3">
        <v>2592.1799999999998</v>
      </c>
      <c r="E58" s="3">
        <v>2565</v>
      </c>
      <c r="F58" s="3">
        <v>50</v>
      </c>
      <c r="G58" s="3">
        <v>2699.47</v>
      </c>
      <c r="H58" s="3">
        <v>2616.94</v>
      </c>
      <c r="I58" s="3">
        <v>93.74</v>
      </c>
      <c r="J58" s="3">
        <v>2584.37</v>
      </c>
      <c r="K58" s="3">
        <v>2623</v>
      </c>
      <c r="L58" s="3">
        <v>9603.02</v>
      </c>
      <c r="M58" s="3">
        <v>2643.22</v>
      </c>
      <c r="N58" s="3">
        <v>1530</v>
      </c>
      <c r="O58" s="3">
        <v>1530</v>
      </c>
      <c r="P58" s="10"/>
      <c r="Q58" s="3">
        <f>SUM(OSRRefD21_10_0x)+IFERROR(SUM(OSRRefE21_10_0x),0)</f>
        <v>31130.940000000002</v>
      </c>
    </row>
    <row r="59" spans="1:17" s="42" customFormat="1" ht="15" hidden="1" customHeight="1" outlineLevel="1" x14ac:dyDescent="0.3">
      <c r="A59" s="34"/>
      <c r="B59" s="11" t="str">
        <f>CONCATENATE("          ","6375"," - ","OUTSIDE REPAIRS &amp; MAINTENANCE")</f>
        <v xml:space="preserve">          6375 - OUTSIDE REPAIRS &amp; MAINTENANCE</v>
      </c>
      <c r="C59" s="15"/>
      <c r="D59" s="3"/>
      <c r="E59" s="3">
        <v>97.99</v>
      </c>
      <c r="F59" s="3"/>
      <c r="G59" s="3"/>
      <c r="H59" s="3"/>
      <c r="I59" s="3"/>
      <c r="J59" s="3"/>
      <c r="K59" s="3"/>
      <c r="L59" s="3"/>
      <c r="M59" s="3"/>
      <c r="N59" s="3"/>
      <c r="O59" s="3"/>
      <c r="P59" s="10"/>
      <c r="Q59" s="3">
        <f>SUM(OSRRefD21_10_1x)+IFERROR(SUM(OSRRefE21_10_1x),0)</f>
        <v>97.99</v>
      </c>
    </row>
    <row r="60" spans="1:17" s="42" customFormat="1" ht="15" customHeight="1" collapsed="1" x14ac:dyDescent="0.3">
      <c r="A60" s="34"/>
      <c r="B60" s="15" t="str">
        <f>CONCATENATE("     ","Subscriptions &amp; Dues                              ")</f>
        <v xml:space="preserve">     Subscriptions &amp; Dues                              </v>
      </c>
      <c r="C60" s="15"/>
      <c r="D60" s="2">
        <f>SUM(OSRRefD21_11x_0)</f>
        <v>0</v>
      </c>
      <c r="E60" s="2">
        <f>SUM(OSRRefD21_11x_1)</f>
        <v>1000</v>
      </c>
      <c r="F60" s="2">
        <f>SUM(OSRRefD21_11x_2)</f>
        <v>0</v>
      </c>
      <c r="G60" s="2">
        <f>SUM(OSRRefD21_11x_3)</f>
        <v>0</v>
      </c>
      <c r="H60" s="2">
        <f>SUM(OSRRefD21_11x_4)</f>
        <v>0</v>
      </c>
      <c r="I60" s="2">
        <f>SUM(OSRRefD21_11x_5)</f>
        <v>0</v>
      </c>
      <c r="J60" s="2">
        <f>SUM(OSRRefD21_11x_6)</f>
        <v>0</v>
      </c>
      <c r="K60" s="2">
        <f>SUM(OSRRefD21_11x_7)</f>
        <v>0</v>
      </c>
      <c r="L60" s="2">
        <f>SUM(OSRRefD21_11x_8)</f>
        <v>775</v>
      </c>
      <c r="M60" s="2">
        <f>SUM(OSRRefD21_11x_9)</f>
        <v>3847</v>
      </c>
      <c r="N60" s="2">
        <f>SUM(OSRRefE21_11x_0)</f>
        <v>1550</v>
      </c>
      <c r="O60" s="2">
        <f>SUM(OSRRefE21_11x_1)</f>
        <v>230</v>
      </c>
      <c r="Q60" s="3">
        <f>SUM(OSRRefD20_11x)+IFERROR(SUM(OSRRefE20_11x),0)</f>
        <v>7402</v>
      </c>
    </row>
    <row r="61" spans="1:17" s="42" customFormat="1" ht="15" hidden="1" customHeight="1" outlineLevel="1" x14ac:dyDescent="0.3">
      <c r="A61" s="34"/>
      <c r="B61" s="11" t="str">
        <f>CONCATENATE("          ","6258"," - ","MEMBERSHIP DUES")</f>
        <v xml:space="preserve">          6258 - MEMBERSHIP DUES</v>
      </c>
      <c r="C61" s="15"/>
      <c r="D61" s="3"/>
      <c r="E61" s="3">
        <v>1000</v>
      </c>
      <c r="F61" s="3"/>
      <c r="G61" s="3"/>
      <c r="H61" s="3"/>
      <c r="I61" s="3"/>
      <c r="J61" s="3"/>
      <c r="K61" s="3">
        <v>0</v>
      </c>
      <c r="L61" s="3">
        <v>775</v>
      </c>
      <c r="M61" s="3">
        <v>3847</v>
      </c>
      <c r="N61" s="3">
        <v>1550</v>
      </c>
      <c r="O61" s="3">
        <v>230</v>
      </c>
      <c r="P61" s="10"/>
      <c r="Q61" s="3">
        <f>SUM(OSRRefD21_11_0x)+IFERROR(SUM(OSRRefE21_11_0x),0)</f>
        <v>7402</v>
      </c>
    </row>
    <row r="62" spans="1:17" s="42" customFormat="1" ht="15" customHeight="1" collapsed="1" x14ac:dyDescent="0.3">
      <c r="A62" s="34"/>
      <c r="B62" s="15" t="str">
        <f>CONCATENATE("     ","Supplies                                          ")</f>
        <v xml:space="preserve">     Supplies                                          </v>
      </c>
      <c r="C62" s="15"/>
      <c r="D62" s="2">
        <f>SUM(OSRRefD21_12x_0)</f>
        <v>6.05</v>
      </c>
      <c r="E62" s="2">
        <f>SUM(OSRRefD21_12x_1)</f>
        <v>19.84</v>
      </c>
      <c r="F62" s="2">
        <f>SUM(OSRRefD21_12x_2)</f>
        <v>0</v>
      </c>
      <c r="G62" s="2">
        <f>SUM(OSRRefD21_12x_3)</f>
        <v>196.39</v>
      </c>
      <c r="H62" s="2">
        <f>SUM(OSRRefD21_12x_4)</f>
        <v>119.88</v>
      </c>
      <c r="I62" s="2">
        <f>SUM(OSRRefD21_12x_5)</f>
        <v>27.3</v>
      </c>
      <c r="J62" s="2">
        <f>SUM(OSRRefD21_12x_6)</f>
        <v>0</v>
      </c>
      <c r="K62" s="2">
        <f>SUM(OSRRefD21_12x_7)</f>
        <v>39.69</v>
      </c>
      <c r="L62" s="2">
        <f>SUM(OSRRefD21_12x_8)</f>
        <v>0</v>
      </c>
      <c r="M62" s="2">
        <f>SUM(OSRRefD21_12x_9)</f>
        <v>0</v>
      </c>
      <c r="N62" s="2">
        <f>SUM(OSRRefE21_12x_0)</f>
        <v>125</v>
      </c>
      <c r="O62" s="2">
        <f>SUM(OSRRefE21_12x_1)</f>
        <v>125</v>
      </c>
      <c r="Q62" s="3">
        <f>SUM(OSRRefD20_12x)+IFERROR(SUM(OSRRefE20_12x),0)</f>
        <v>659.15</v>
      </c>
    </row>
    <row r="63" spans="1:17" s="42" customFormat="1" ht="15" hidden="1" customHeight="1" outlineLevel="1" x14ac:dyDescent="0.3">
      <c r="A63" s="34"/>
      <c r="B63" s="11" t="str">
        <f>CONCATENATE("          ","6234"," - ","EXPENDABLE SUPPLIES &amp; EQUIPMEN")</f>
        <v xml:space="preserve">          6234 - EXPENDABLE SUPPLIES &amp; EQUIPMEN</v>
      </c>
      <c r="C63" s="15"/>
      <c r="D63" s="3"/>
      <c r="E63" s="3"/>
      <c r="F63" s="3"/>
      <c r="G63" s="3"/>
      <c r="H63" s="3"/>
      <c r="I63" s="3"/>
      <c r="J63" s="3"/>
      <c r="K63" s="3"/>
      <c r="L63" s="3"/>
      <c r="M63" s="3"/>
      <c r="N63" s="3">
        <v>125</v>
      </c>
      <c r="O63" s="3">
        <v>125</v>
      </c>
      <c r="P63" s="10"/>
      <c r="Q63" s="3">
        <f>SUM(OSRRefD21_12_0x)+IFERROR(SUM(OSRRefE21_12_0x),0)</f>
        <v>250</v>
      </c>
    </row>
    <row r="64" spans="1:17" s="42" customFormat="1" ht="15" hidden="1" customHeight="1" outlineLevel="1" x14ac:dyDescent="0.3">
      <c r="A64" s="34"/>
      <c r="B64" s="11" t="str">
        <f>CONCATENATE("          ","6241"," - ","OFFICE EXPENSE")</f>
        <v xml:space="preserve">          6241 - OFFICE EXPENSE</v>
      </c>
      <c r="C64" s="15"/>
      <c r="D64" s="3">
        <v>6.05</v>
      </c>
      <c r="E64" s="3">
        <v>19.84</v>
      </c>
      <c r="F64" s="3"/>
      <c r="G64" s="3">
        <v>196.39</v>
      </c>
      <c r="H64" s="3">
        <v>119.88</v>
      </c>
      <c r="I64" s="3">
        <v>27.3</v>
      </c>
      <c r="J64" s="3"/>
      <c r="K64" s="3">
        <v>39.69</v>
      </c>
      <c r="L64" s="3"/>
      <c r="M64" s="3"/>
      <c r="N64" s="3"/>
      <c r="O64" s="3"/>
      <c r="P64" s="10"/>
      <c r="Q64" s="3">
        <f>SUM(OSRRefD21_12_1x)+IFERROR(SUM(OSRRefE21_12_1x),0)</f>
        <v>409.15</v>
      </c>
    </row>
    <row r="65" spans="1:17" s="42" customFormat="1" ht="15" customHeight="1" collapsed="1" x14ac:dyDescent="0.3">
      <c r="A65" s="34"/>
      <c r="B65" s="15" t="str">
        <f>CONCATENATE("     ","Telephone/Data Lines                              ")</f>
        <v xml:space="preserve">     Telephone/Data Lines                              </v>
      </c>
      <c r="C65" s="15"/>
      <c r="D65" s="2">
        <f>SUM(OSRRefD21_13x_0)</f>
        <v>655.26</v>
      </c>
      <c r="E65" s="2">
        <f>SUM(OSRRefD21_13x_1)</f>
        <v>274.89999999999998</v>
      </c>
      <c r="F65" s="2">
        <f>SUM(OSRRefD21_13x_2)</f>
        <v>428.03</v>
      </c>
      <c r="G65" s="2">
        <f>SUM(OSRRefD21_13x_3)</f>
        <v>511.68</v>
      </c>
      <c r="H65" s="2">
        <f>SUM(OSRRefD21_13x_4)</f>
        <v>436.69</v>
      </c>
      <c r="I65" s="2">
        <f>SUM(OSRRefD21_13x_5)</f>
        <v>361.64</v>
      </c>
      <c r="J65" s="2">
        <f>SUM(OSRRefD21_13x_6)</f>
        <v>436.64</v>
      </c>
      <c r="K65" s="2">
        <f>SUM(OSRRefD21_13x_7)</f>
        <v>436.6</v>
      </c>
      <c r="L65" s="2">
        <f>SUM(OSRRefD21_13x_8)</f>
        <v>423.44</v>
      </c>
      <c r="M65" s="2">
        <f>SUM(OSRRefD21_13x_9)</f>
        <v>453.03</v>
      </c>
      <c r="N65" s="2">
        <f>SUM(OSRRefE21_13x_0)</f>
        <v>425</v>
      </c>
      <c r="O65" s="2">
        <f>SUM(OSRRefE21_13x_1)</f>
        <v>425</v>
      </c>
      <c r="Q65" s="3">
        <f>SUM(OSRRefD20_13x)+IFERROR(SUM(OSRRefE20_13x),0)</f>
        <v>5267.91</v>
      </c>
    </row>
    <row r="66" spans="1:17" s="42" customFormat="1" ht="15" hidden="1" customHeight="1" outlineLevel="1" x14ac:dyDescent="0.3">
      <c r="A66" s="34"/>
      <c r="B66" s="11" t="str">
        <f>CONCATENATE("          ","6309"," - ","TELEPHONE")</f>
        <v xml:space="preserve">          6309 - TELEPHONE</v>
      </c>
      <c r="C66" s="15"/>
      <c r="D66" s="3">
        <v>655.26</v>
      </c>
      <c r="E66" s="3">
        <v>274.89999999999998</v>
      </c>
      <c r="F66" s="3">
        <v>428.03</v>
      </c>
      <c r="G66" s="3">
        <v>511.68</v>
      </c>
      <c r="H66" s="3">
        <v>436.69</v>
      </c>
      <c r="I66" s="3">
        <v>361.64</v>
      </c>
      <c r="J66" s="3">
        <v>436.64</v>
      </c>
      <c r="K66" s="3">
        <v>436.6</v>
      </c>
      <c r="L66" s="3">
        <v>423.44</v>
      </c>
      <c r="M66" s="3">
        <v>453.03</v>
      </c>
      <c r="N66" s="3">
        <v>425</v>
      </c>
      <c r="O66" s="3">
        <v>425</v>
      </c>
      <c r="P66" s="10"/>
      <c r="Q66" s="3">
        <f>SUM(OSRRefD21_13_0x)+IFERROR(SUM(OSRRefE21_13_0x),0)</f>
        <v>5267.91</v>
      </c>
    </row>
    <row r="67" spans="1:17" s="42" customFormat="1" ht="15" customHeight="1" collapsed="1" x14ac:dyDescent="0.3">
      <c r="A67" s="34"/>
      <c r="B67" s="15" t="str">
        <f>CONCATENATE("     ","Training                                          ")</f>
        <v xml:space="preserve">     Training                                          </v>
      </c>
      <c r="C67" s="15"/>
      <c r="D67" s="2">
        <f>SUM(OSRRefD21_14x_0)</f>
        <v>0</v>
      </c>
      <c r="E67" s="2">
        <f>SUM(OSRRefD21_14x_1)</f>
        <v>0</v>
      </c>
      <c r="F67" s="2">
        <f>SUM(OSRRefD21_14x_2)</f>
        <v>0</v>
      </c>
      <c r="G67" s="2">
        <f>SUM(OSRRefD21_14x_3)</f>
        <v>0</v>
      </c>
      <c r="H67" s="2">
        <f>SUM(OSRRefD21_14x_4)</f>
        <v>595</v>
      </c>
      <c r="I67" s="2">
        <f>SUM(OSRRefD21_14x_5)</f>
        <v>0</v>
      </c>
      <c r="J67" s="2">
        <f>SUM(OSRRefD21_14x_6)</f>
        <v>0</v>
      </c>
      <c r="K67" s="2">
        <f>SUM(OSRRefD21_14x_7)</f>
        <v>0</v>
      </c>
      <c r="L67" s="2">
        <f>SUM(OSRRefD21_14x_8)</f>
        <v>-595</v>
      </c>
      <c r="M67" s="2">
        <f>SUM(OSRRefD21_14x_9)</f>
        <v>0</v>
      </c>
      <c r="N67" s="2">
        <f>SUM(OSRRefE21_14x_0)</f>
        <v>0</v>
      </c>
      <c r="O67" s="2">
        <f>SUM(OSRRefE21_14x_1)</f>
        <v>0</v>
      </c>
      <c r="Q67" s="3">
        <f>SUM(OSRRefD20_14x)+IFERROR(SUM(OSRRefE20_14x),0)</f>
        <v>0</v>
      </c>
    </row>
    <row r="68" spans="1:17" s="42" customFormat="1" ht="15" hidden="1" customHeight="1" outlineLevel="1" x14ac:dyDescent="0.3">
      <c r="A68" s="34"/>
      <c r="B68" s="11" t="str">
        <f>CONCATENATE("          ","6376"," - ","TRAINING")</f>
        <v xml:space="preserve">          6376 - TRAINING</v>
      </c>
      <c r="C68" s="15"/>
      <c r="D68" s="3"/>
      <c r="E68" s="3"/>
      <c r="F68" s="3"/>
      <c r="G68" s="3"/>
      <c r="H68" s="3">
        <v>595</v>
      </c>
      <c r="I68" s="3"/>
      <c r="J68" s="3"/>
      <c r="K68" s="3"/>
      <c r="L68" s="3">
        <v>-595</v>
      </c>
      <c r="M68" s="3"/>
      <c r="N68" s="3"/>
      <c r="O68" s="3"/>
      <c r="P68" s="10"/>
      <c r="Q68" s="3">
        <f>SUM(OSRRefD21_14_0x)+IFERROR(SUM(OSRRefE21_14_0x),0)</f>
        <v>0</v>
      </c>
    </row>
    <row r="69" spans="1:17" s="40" customFormat="1" ht="15" customHeight="1" x14ac:dyDescent="0.3">
      <c r="A69" s="22"/>
      <c r="B69" s="22"/>
      <c r="C69" s="2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Q69" s="2"/>
    </row>
    <row r="70" spans="1:17" s="39" customFormat="1" ht="15" customHeight="1" x14ac:dyDescent="0.3">
      <c r="A70" s="24"/>
      <c r="B70" s="17" t="s">
        <v>287</v>
      </c>
      <c r="C70" s="23"/>
      <c r="D70" s="4">
        <f>0</f>
        <v>0</v>
      </c>
      <c r="E70" s="4">
        <f>0</f>
        <v>0</v>
      </c>
      <c r="F70" s="4">
        <f>0</f>
        <v>0</v>
      </c>
      <c r="G70" s="4">
        <f>0</f>
        <v>0</v>
      </c>
      <c r="H70" s="4">
        <f>0</f>
        <v>0</v>
      </c>
      <c r="I70" s="4">
        <f>0</f>
        <v>0</v>
      </c>
      <c r="J70" s="4">
        <f>0</f>
        <v>0</v>
      </c>
      <c r="K70" s="4">
        <f>0</f>
        <v>0</v>
      </c>
      <c r="L70" s="4">
        <f>0</f>
        <v>0</v>
      </c>
      <c r="M70" s="4">
        <f>0</f>
        <v>0</v>
      </c>
      <c r="N70" s="4"/>
      <c r="O70" s="4"/>
      <c r="Q70" s="3">
        <f>SUM(OSRRefD23_0x)+IFERROR(SUM(OSRRefE23_0x),0)</f>
        <v>0</v>
      </c>
    </row>
    <row r="71" spans="1:17" ht="15" customHeight="1" x14ac:dyDescent="0.3">
      <c r="A71" s="6"/>
      <c r="B71" s="7"/>
      <c r="C71" s="7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Q71" s="4"/>
    </row>
    <row r="72" spans="1:17" s="37" customFormat="1" ht="15" customHeight="1" x14ac:dyDescent="0.3">
      <c r="A72" s="7"/>
      <c r="B72" s="18" t="s">
        <v>288</v>
      </c>
      <c r="C72" s="18"/>
      <c r="D72" s="9">
        <f t="shared" ref="D72:O72" si="4">IFERROR(+D14-D17+D70,0)</f>
        <v>-35851.090000000004</v>
      </c>
      <c r="E72" s="9">
        <f t="shared" si="4"/>
        <v>-28505.439999999999</v>
      </c>
      <c r="F72" s="9">
        <f t="shared" si="4"/>
        <v>-43782.289999999994</v>
      </c>
      <c r="G72" s="9">
        <f t="shared" si="4"/>
        <v>-27845.48</v>
      </c>
      <c r="H72" s="9">
        <f t="shared" si="4"/>
        <v>-72649.430000000008</v>
      </c>
      <c r="I72" s="9">
        <f t="shared" si="4"/>
        <v>-30381.719999999998</v>
      </c>
      <c r="J72" s="9">
        <f t="shared" si="4"/>
        <v>-117409.44</v>
      </c>
      <c r="K72" s="9">
        <f t="shared" si="4"/>
        <v>-34901.280000000006</v>
      </c>
      <c r="L72" s="9">
        <f t="shared" si="4"/>
        <v>-49480.820000000007</v>
      </c>
      <c r="M72" s="9">
        <f t="shared" si="4"/>
        <v>-46916.970000000008</v>
      </c>
      <c r="N72" s="9">
        <f t="shared" si="4"/>
        <v>-31517.382430769179</v>
      </c>
      <c r="O72" s="9">
        <f t="shared" si="4"/>
        <v>-31072.382430769179</v>
      </c>
      <c r="Q72" s="9">
        <f>IFERROR(+Q14-Q17+Q70,0)</f>
        <v>-550313.72486153839</v>
      </c>
    </row>
    <row r="73" spans="1:17" s="38" customFormat="1" ht="15" customHeight="1" x14ac:dyDescent="0.3">
      <c r="B73" s="17"/>
      <c r="C73" s="17"/>
      <c r="D73" s="5">
        <f t="shared" ref="D73:O73" si="5">IFERROR(D72/D10,0)</f>
        <v>0</v>
      </c>
      <c r="E73" s="5">
        <f t="shared" si="5"/>
        <v>0</v>
      </c>
      <c r="F73" s="5">
        <f t="shared" si="5"/>
        <v>0</v>
      </c>
      <c r="G73" s="5">
        <f t="shared" si="5"/>
        <v>0</v>
      </c>
      <c r="H73" s="5">
        <f t="shared" si="5"/>
        <v>0</v>
      </c>
      <c r="I73" s="5">
        <f t="shared" si="5"/>
        <v>0</v>
      </c>
      <c r="J73" s="5">
        <f t="shared" si="5"/>
        <v>0</v>
      </c>
      <c r="K73" s="5">
        <f t="shared" si="5"/>
        <v>0</v>
      </c>
      <c r="L73" s="5">
        <f t="shared" si="5"/>
        <v>0</v>
      </c>
      <c r="M73" s="5">
        <f t="shared" si="5"/>
        <v>0</v>
      </c>
      <c r="N73" s="5">
        <f t="shared" si="5"/>
        <v>0</v>
      </c>
      <c r="O73" s="5">
        <f t="shared" si="5"/>
        <v>0</v>
      </c>
      <c r="P73" s="19"/>
      <c r="Q73" s="5">
        <f>IFERROR(Q72/Q10,0)</f>
        <v>0</v>
      </c>
    </row>
    <row r="74" spans="1:17" ht="15" customHeight="1" x14ac:dyDescent="0.3">
      <c r="A74" s="6"/>
      <c r="B74" s="7"/>
      <c r="C74" s="6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Q74" s="4"/>
    </row>
    <row r="75" spans="1:17" s="37" customFormat="1" ht="15" customHeight="1" x14ac:dyDescent="0.3">
      <c r="A75" s="26"/>
      <c r="B75" s="7" t="s">
        <v>289</v>
      </c>
      <c r="C75" s="7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Q75" s="3">
        <f>SUM(OSRRefD28_0x)+IFERROR(SUM(OSRRefE28_0x),0)</f>
        <v>0</v>
      </c>
    </row>
    <row r="76" spans="1:17" ht="15" customHeight="1" x14ac:dyDescent="0.3">
      <c r="A76" s="6"/>
      <c r="B76" s="7"/>
      <c r="C76" s="7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Q76" s="4"/>
    </row>
    <row r="77" spans="1:17" s="37" customFormat="1" ht="15.75" customHeight="1" x14ac:dyDescent="0.3">
      <c r="A77" s="7"/>
      <c r="B77" s="18" t="s">
        <v>290</v>
      </c>
      <c r="C77" s="18"/>
      <c r="D77" s="8">
        <f t="shared" ref="D77:O77" si="6">IFERROR(+D72-D75,0)</f>
        <v>-35851.090000000004</v>
      </c>
      <c r="E77" s="8">
        <f t="shared" si="6"/>
        <v>-28505.439999999999</v>
      </c>
      <c r="F77" s="8">
        <f t="shared" si="6"/>
        <v>-43782.289999999994</v>
      </c>
      <c r="G77" s="8">
        <f t="shared" si="6"/>
        <v>-27845.48</v>
      </c>
      <c r="H77" s="8">
        <f t="shared" si="6"/>
        <v>-72649.430000000008</v>
      </c>
      <c r="I77" s="8">
        <f t="shared" si="6"/>
        <v>-30381.719999999998</v>
      </c>
      <c r="J77" s="8">
        <f t="shared" si="6"/>
        <v>-117409.44</v>
      </c>
      <c r="K77" s="8">
        <f t="shared" si="6"/>
        <v>-34901.280000000006</v>
      </c>
      <c r="L77" s="8">
        <f t="shared" si="6"/>
        <v>-49480.820000000007</v>
      </c>
      <c r="M77" s="8">
        <f t="shared" si="6"/>
        <v>-46916.970000000008</v>
      </c>
      <c r="N77" s="8">
        <f t="shared" si="6"/>
        <v>-31517.382430769179</v>
      </c>
      <c r="O77" s="8">
        <f t="shared" si="6"/>
        <v>-31072.382430769179</v>
      </c>
      <c r="Q77" s="8">
        <f>IFERROR(+Q72-Q75,0)</f>
        <v>-550313.72486153839</v>
      </c>
    </row>
    <row r="78" spans="1:17" ht="15.75" customHeight="1" x14ac:dyDescent="0.3">
      <c r="A78" s="6"/>
      <c r="B78" s="6"/>
      <c r="C78" s="6"/>
      <c r="D78" s="5">
        <f t="shared" ref="D78:O78" si="7">IFERROR(D77/D10,0)</f>
        <v>0</v>
      </c>
      <c r="E78" s="5">
        <f t="shared" si="7"/>
        <v>0</v>
      </c>
      <c r="F78" s="5">
        <f t="shared" si="7"/>
        <v>0</v>
      </c>
      <c r="G78" s="5">
        <f t="shared" si="7"/>
        <v>0</v>
      </c>
      <c r="H78" s="5">
        <f t="shared" si="7"/>
        <v>0</v>
      </c>
      <c r="I78" s="5">
        <f t="shared" si="7"/>
        <v>0</v>
      </c>
      <c r="J78" s="5">
        <f t="shared" si="7"/>
        <v>0</v>
      </c>
      <c r="K78" s="5">
        <f t="shared" si="7"/>
        <v>0</v>
      </c>
      <c r="L78" s="5">
        <f t="shared" si="7"/>
        <v>0</v>
      </c>
      <c r="M78" s="5">
        <f t="shared" si="7"/>
        <v>0</v>
      </c>
      <c r="N78" s="5">
        <f t="shared" si="7"/>
        <v>0</v>
      </c>
      <c r="O78" s="5">
        <f t="shared" si="7"/>
        <v>0</v>
      </c>
      <c r="P78" s="19"/>
      <c r="Q78" s="5">
        <f>IFERROR(Q77/Q10,0)</f>
        <v>0</v>
      </c>
    </row>
    <row r="79" spans="1:17" ht="15" customHeight="1" x14ac:dyDescent="0.3">
      <c r="A79" s="6"/>
      <c r="B79" s="6"/>
      <c r="C79" s="6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Q79" s="4"/>
    </row>
    <row r="80" spans="1:17" ht="15" customHeight="1" x14ac:dyDescent="0.3">
      <c r="A80" s="6"/>
      <c r="B80" s="6"/>
      <c r="C80" s="6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Q80" s="4"/>
    </row>
    <row r="81" spans="1:17" s="37" customFormat="1" ht="15.75" customHeight="1" x14ac:dyDescent="0.3">
      <c r="A81" s="7"/>
      <c r="B81" s="18" t="s">
        <v>293</v>
      </c>
      <c r="C81" s="18"/>
      <c r="D81" s="8">
        <f t="shared" ref="D81:O81" si="8">IFERROR(SUM(D77:D80),0)</f>
        <v>-35851.090000000004</v>
      </c>
      <c r="E81" s="8">
        <f t="shared" si="8"/>
        <v>-28505.439999999999</v>
      </c>
      <c r="F81" s="8">
        <f t="shared" si="8"/>
        <v>-43782.289999999994</v>
      </c>
      <c r="G81" s="8">
        <f t="shared" si="8"/>
        <v>-27845.48</v>
      </c>
      <c r="H81" s="8">
        <f t="shared" si="8"/>
        <v>-72649.430000000008</v>
      </c>
      <c r="I81" s="8">
        <f t="shared" si="8"/>
        <v>-30381.719999999998</v>
      </c>
      <c r="J81" s="8">
        <f t="shared" si="8"/>
        <v>-117409.44</v>
      </c>
      <c r="K81" s="8">
        <f t="shared" si="8"/>
        <v>-34901.280000000006</v>
      </c>
      <c r="L81" s="8">
        <f t="shared" si="8"/>
        <v>-49480.820000000007</v>
      </c>
      <c r="M81" s="8">
        <f t="shared" si="8"/>
        <v>-46916.970000000008</v>
      </c>
      <c r="N81" s="8">
        <f t="shared" si="8"/>
        <v>-31517.382430769179</v>
      </c>
      <c r="O81" s="8">
        <f t="shared" si="8"/>
        <v>-31072.382430769179</v>
      </c>
      <c r="Q81" s="8">
        <f>IFERROR(SUM(Q77:Q80),0)</f>
        <v>-550313.72486153839</v>
      </c>
    </row>
    <row r="82" spans="1:17" ht="15.75" customHeight="1" x14ac:dyDescent="0.3">
      <c r="A82" s="6"/>
      <c r="C82" s="6"/>
      <c r="D82" s="5">
        <f t="shared" ref="D82:O82" si="9">IFERROR(D81/D10,0)</f>
        <v>0</v>
      </c>
      <c r="E82" s="5">
        <f t="shared" si="9"/>
        <v>0</v>
      </c>
      <c r="F82" s="5">
        <f t="shared" si="9"/>
        <v>0</v>
      </c>
      <c r="G82" s="5">
        <f t="shared" si="9"/>
        <v>0</v>
      </c>
      <c r="H82" s="5">
        <f t="shared" si="9"/>
        <v>0</v>
      </c>
      <c r="I82" s="5">
        <f t="shared" si="9"/>
        <v>0</v>
      </c>
      <c r="J82" s="5">
        <f t="shared" si="9"/>
        <v>0</v>
      </c>
      <c r="K82" s="5">
        <f t="shared" si="9"/>
        <v>0</v>
      </c>
      <c r="L82" s="5">
        <f t="shared" si="9"/>
        <v>0</v>
      </c>
      <c r="M82" s="5">
        <f t="shared" si="9"/>
        <v>0</v>
      </c>
      <c r="N82" s="5">
        <f t="shared" si="9"/>
        <v>0</v>
      </c>
      <c r="O82" s="5">
        <f t="shared" si="9"/>
        <v>0</v>
      </c>
      <c r="P82" s="19"/>
      <c r="Q82" s="5">
        <f>IFERROR(Q81/Q10,0)</f>
        <v>0</v>
      </c>
    </row>
    <row r="83" spans="1:17" ht="15" customHeight="1" x14ac:dyDescent="0.3">
      <c r="A83" s="6"/>
      <c r="B83" s="33">
        <v>44694.892891863426</v>
      </c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Q83" s="14"/>
    </row>
    <row r="84" spans="1:17" ht="15" customHeight="1" x14ac:dyDescent="0.3">
      <c r="A84" s="6"/>
      <c r="B84" s="31" t="s">
        <v>294</v>
      </c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Q84" s="14"/>
    </row>
    <row r="85" spans="1:17" ht="15" customHeight="1" x14ac:dyDescent="0.3">
      <c r="A85" s="6"/>
      <c r="B85" s="27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Q85" s="14"/>
    </row>
    <row r="86" spans="1:17" ht="15" customHeight="1" x14ac:dyDescent="0.3"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52071-63C6-04E1-07C7-8918A1E002D2}">
  <sheetPr>
    <tabColor rgb="FF92D050"/>
    <outlinePr summaryBelow="0" summaryRight="0"/>
    <pageSetUpPr fitToPage="1"/>
  </sheetPr>
  <dimension ref="A2:R8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","202"," - ","Accounting")</f>
        <v>Department 202 - Accounting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9">
        <f t="shared" ref="D14:O14" si="2">IFERROR(+D10-D12,0)</f>
        <v>0</v>
      </c>
      <c r="E14" s="9">
        <f t="shared" si="2"/>
        <v>0</v>
      </c>
      <c r="F14" s="9">
        <f t="shared" si="2"/>
        <v>0</v>
      </c>
      <c r="G14" s="9">
        <f t="shared" si="2"/>
        <v>0</v>
      </c>
      <c r="H14" s="9">
        <f t="shared" si="2"/>
        <v>0</v>
      </c>
      <c r="I14" s="9">
        <f t="shared" si="2"/>
        <v>0</v>
      </c>
      <c r="J14" s="9">
        <f t="shared" si="2"/>
        <v>0</v>
      </c>
      <c r="K14" s="9">
        <f t="shared" si="2"/>
        <v>0</v>
      </c>
      <c r="L14" s="9">
        <f t="shared" si="2"/>
        <v>0</v>
      </c>
      <c r="M14" s="9">
        <f t="shared" si="2"/>
        <v>0</v>
      </c>
      <c r="N14" s="9">
        <f t="shared" si="2"/>
        <v>0</v>
      </c>
      <c r="O14" s="9">
        <f t="shared" si="2"/>
        <v>0</v>
      </c>
      <c r="Q14" s="9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2" cm="1">
        <f t="array" ref="D17">SUM(OSRRefD20x_0)</f>
        <v>41601.359999999993</v>
      </c>
      <c r="E17" s="12" cm="1">
        <f t="array" ref="E17">SUM(OSRRefD20x_1)</f>
        <v>40690.090000000004</v>
      </c>
      <c r="F17" s="12" cm="1">
        <f t="array" ref="F17">SUM(OSRRefD20x_2)</f>
        <v>37567.949999999997</v>
      </c>
      <c r="G17" s="12" cm="1">
        <f t="array" ref="G17">SUM(OSRRefD20x_3)</f>
        <v>46230.25</v>
      </c>
      <c r="H17" s="12" cm="1">
        <f t="array" ref="H17">SUM(OSRRefD20x_4)</f>
        <v>38788.509999999995</v>
      </c>
      <c r="I17" s="12" cm="1">
        <f t="array" ref="I17">SUM(OSRRefD20x_5)</f>
        <v>38170.729999999989</v>
      </c>
      <c r="J17" s="12" cm="1">
        <f t="array" ref="J17">SUM(OSRRefD20x_6)</f>
        <v>51286.950000000004</v>
      </c>
      <c r="K17" s="12" cm="1">
        <f t="array" ref="K17">SUM(OSRRefD20x_7)</f>
        <v>38686.189999999995</v>
      </c>
      <c r="L17" s="12" cm="1">
        <f t="array" ref="L17">SUM(OSRRefD20x_8)</f>
        <v>75317.290000000008</v>
      </c>
      <c r="M17" s="12" cm="1">
        <f t="array" ref="M17">SUM(OSRRefD20x_9)</f>
        <v>41702.980000000003</v>
      </c>
      <c r="N17" s="12" cm="1">
        <f t="array" ref="N17">SUM(OSRRefE20x_0)</f>
        <v>36641.142056307675</v>
      </c>
      <c r="O17" s="12" cm="1">
        <f t="array" ref="O17">SUM(OSRRefE20x_1)</f>
        <v>36732.855608307669</v>
      </c>
      <c r="Q17" s="12" cm="1">
        <f t="array" ref="Q17">SUM(OSRRefG20x)</f>
        <v>523416.29766461533</v>
      </c>
    </row>
    <row r="18" spans="1:17" s="42" customFormat="1" ht="15" customHeight="1" collapsed="1" x14ac:dyDescent="0.3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2">
        <f>SUM(OSRRefD21_0x_0)</f>
        <v>12645.33</v>
      </c>
      <c r="E18" s="2">
        <f>SUM(OSRRefD21_0x_1)</f>
        <v>13032.87</v>
      </c>
      <c r="F18" s="2">
        <f>SUM(OSRRefD21_0x_2)</f>
        <v>12831.35</v>
      </c>
      <c r="G18" s="2">
        <f>SUM(OSRRefD21_0x_3)</f>
        <v>16036.889999999998</v>
      </c>
      <c r="H18" s="2">
        <f>SUM(OSRRefD21_0x_4)</f>
        <v>13133.77</v>
      </c>
      <c r="I18" s="2">
        <f>SUM(OSRRefD21_0x_5)</f>
        <v>13275.729999999998</v>
      </c>
      <c r="J18" s="2">
        <f>SUM(OSRRefD21_0x_6)</f>
        <v>16767.609999999997</v>
      </c>
      <c r="K18" s="2">
        <f>SUM(OSRRefD21_0x_7)</f>
        <v>13124.429999999998</v>
      </c>
      <c r="L18" s="2">
        <f>SUM(OSRRefD21_0x_8)</f>
        <v>12851.099999999999</v>
      </c>
      <c r="M18" s="2">
        <f>SUM(OSRRefD21_0x_9)</f>
        <v>15602.21</v>
      </c>
      <c r="N18" s="2">
        <f>SUM(OSRRefE21_0x_0)</f>
        <v>12854.56667169231</v>
      </c>
      <c r="O18" s="2">
        <f>SUM(OSRRefE21_0x_1)</f>
        <v>12946.280223692311</v>
      </c>
      <c r="Q18" s="3">
        <f>SUM(OSRRefD20_0x)+IFERROR(SUM(OSRRefE20_0x),0)</f>
        <v>165102.13689538461</v>
      </c>
    </row>
    <row r="19" spans="1:17" s="42" customFormat="1" ht="15" hidden="1" customHeight="1" outlineLevel="1" x14ac:dyDescent="0.3">
      <c r="A19" s="34"/>
      <c r="B19" s="11" t="str">
        <f>CONCATENATE("          ","6111"," - ","F.I.C.A.")</f>
        <v xml:space="preserve">          6111 - F.I.C.A.</v>
      </c>
      <c r="C19" s="15"/>
      <c r="D19" s="3">
        <v>1624.37</v>
      </c>
      <c r="E19" s="3">
        <v>1630.15</v>
      </c>
      <c r="F19" s="3">
        <v>1630.16</v>
      </c>
      <c r="G19" s="3">
        <v>2448.0700000000002</v>
      </c>
      <c r="H19" s="3">
        <v>1695.13</v>
      </c>
      <c r="I19" s="3">
        <v>1708.26</v>
      </c>
      <c r="J19" s="3">
        <v>1695.1</v>
      </c>
      <c r="K19" s="3">
        <v>1695.15</v>
      </c>
      <c r="L19" s="3">
        <v>1695.09</v>
      </c>
      <c r="M19" s="3">
        <v>2545.5</v>
      </c>
      <c r="N19" s="3">
        <v>1765.49058553846</v>
      </c>
      <c r="O19" s="3">
        <v>1857.2041375384599</v>
      </c>
      <c r="P19" s="10"/>
      <c r="Q19" s="3">
        <f>SUM(OSRRefD21_0_0x)+IFERROR(SUM(OSRRefE21_0_0x),0)</f>
        <v>21989.674723076925</v>
      </c>
    </row>
    <row r="20" spans="1:17" s="42" customFormat="1" ht="15" hidden="1" customHeight="1" outlineLevel="1" x14ac:dyDescent="0.3">
      <c r="A20" s="34"/>
      <c r="B20" s="11" t="str">
        <f>CONCATENATE("          ","6112"," - ","COMPENSATION INSURANCE")</f>
        <v xml:space="preserve">          6112 - COMPENSATION INSURANCE</v>
      </c>
      <c r="C20" s="15"/>
      <c r="D20" s="3">
        <v>273.92</v>
      </c>
      <c r="E20" s="3">
        <v>274.88</v>
      </c>
      <c r="F20" s="3">
        <v>286.45</v>
      </c>
      <c r="G20" s="3">
        <v>427.44</v>
      </c>
      <c r="H20" s="3">
        <v>291.88</v>
      </c>
      <c r="I20" s="3">
        <v>291.41000000000003</v>
      </c>
      <c r="J20" s="3">
        <v>285.83999999999997</v>
      </c>
      <c r="K20" s="3">
        <v>288.89999999999998</v>
      </c>
      <c r="L20" s="3">
        <v>291.89999999999998</v>
      </c>
      <c r="M20" s="3">
        <v>290.18</v>
      </c>
      <c r="N20" s="3">
        <v>75.229750769230705</v>
      </c>
      <c r="O20" s="3">
        <v>75.229750769230805</v>
      </c>
      <c r="P20" s="10"/>
      <c r="Q20" s="3">
        <f>SUM(OSRRefD21_0_1x)+IFERROR(SUM(OSRRefE21_0_1x),0)</f>
        <v>3153.2595015384618</v>
      </c>
    </row>
    <row r="21" spans="1:17" s="42" customFormat="1" ht="15" hidden="1" customHeight="1" outlineLevel="1" x14ac:dyDescent="0.3">
      <c r="A21" s="34"/>
      <c r="B21" s="11" t="str">
        <f>CONCATENATE("          ","6113"," - ","GROUP INSURANCE")</f>
        <v xml:space="preserve">          6113 - GROUP INSURANCE</v>
      </c>
      <c r="C21" s="15"/>
      <c r="D21" s="3">
        <v>6221.66</v>
      </c>
      <c r="E21" s="3">
        <v>6221.66</v>
      </c>
      <c r="F21" s="3">
        <v>6266.66</v>
      </c>
      <c r="G21" s="3">
        <v>6221.66</v>
      </c>
      <c r="H21" s="3">
        <v>6221.66</v>
      </c>
      <c r="I21" s="3">
        <v>6221.66</v>
      </c>
      <c r="J21" s="3">
        <v>5721.83</v>
      </c>
      <c r="K21" s="3">
        <v>5721.83</v>
      </c>
      <c r="L21" s="3">
        <v>5721.83</v>
      </c>
      <c r="M21" s="3">
        <v>5721.83</v>
      </c>
      <c r="N21" s="3">
        <v>6123</v>
      </c>
      <c r="O21" s="3">
        <v>6123</v>
      </c>
      <c r="P21" s="10"/>
      <c r="Q21" s="3">
        <f>SUM(OSRRefD21_0_2x)+IFERROR(SUM(OSRRefE21_0_2x),0)</f>
        <v>72508.28</v>
      </c>
    </row>
    <row r="22" spans="1:17" s="42" customFormat="1" ht="15" hidden="1" customHeight="1" outlineLevel="1" x14ac:dyDescent="0.3">
      <c r="A22" s="34"/>
      <c r="B22" s="11" t="str">
        <f>CONCATENATE("          ","6114"," - ","STATE UNEMPLOYMENT INSURANCE")</f>
        <v xml:space="preserve">          6114 - STATE UNEMPLOYMENT INSURANCE</v>
      </c>
      <c r="C22" s="15"/>
      <c r="D22" s="3">
        <v>55.21</v>
      </c>
      <c r="E22" s="3">
        <v>55.4</v>
      </c>
      <c r="F22" s="3">
        <v>57.74</v>
      </c>
      <c r="G22" s="3">
        <v>86.15</v>
      </c>
      <c r="H22" s="3">
        <v>58.83</v>
      </c>
      <c r="I22" s="3">
        <v>58.73</v>
      </c>
      <c r="J22" s="3">
        <v>57.61</v>
      </c>
      <c r="K22" s="3">
        <v>58.23</v>
      </c>
      <c r="L22" s="3">
        <v>58.83</v>
      </c>
      <c r="M22" s="3">
        <v>58.49</v>
      </c>
      <c r="N22" s="3">
        <v>50.962089230769202</v>
      </c>
      <c r="O22" s="3">
        <v>50.962089230769202</v>
      </c>
      <c r="P22" s="10"/>
      <c r="Q22" s="3">
        <f>SUM(OSRRefD21_0_3x)+IFERROR(SUM(OSRRefE21_0_3x),0)</f>
        <v>707.14417846153844</v>
      </c>
    </row>
    <row r="23" spans="1:17" s="42" customFormat="1" ht="15" hidden="1" customHeight="1" outlineLevel="1" x14ac:dyDescent="0.3">
      <c r="A23" s="34"/>
      <c r="B23" s="11" t="str">
        <f>CONCATENATE("          ","6115"," - ","P.E.R.S.")</f>
        <v xml:space="preserve">          6115 - P.E.R.S.</v>
      </c>
      <c r="C23" s="15"/>
      <c r="D23" s="3">
        <v>1947.91</v>
      </c>
      <c r="E23" s="3">
        <v>1947.91</v>
      </c>
      <c r="F23" s="3">
        <v>1947.91</v>
      </c>
      <c r="G23" s="3">
        <v>2921.87</v>
      </c>
      <c r="H23" s="3">
        <v>2025.79</v>
      </c>
      <c r="I23" s="3">
        <v>2025.79</v>
      </c>
      <c r="J23" s="3">
        <v>2025.83</v>
      </c>
      <c r="K23" s="3">
        <v>2025.83</v>
      </c>
      <c r="L23" s="3">
        <v>2025.83</v>
      </c>
      <c r="M23" s="3">
        <v>2787.33</v>
      </c>
      <c r="N23" s="3">
        <v>1880.89409230769</v>
      </c>
      <c r="O23" s="3">
        <v>1880.89409230769</v>
      </c>
      <c r="P23" s="10"/>
      <c r="Q23" s="3">
        <f>SUM(OSRRefD21_0_4x)+IFERROR(SUM(OSRRefE21_0_4x),0)</f>
        <v>25443.78818461538</v>
      </c>
    </row>
    <row r="24" spans="1:17" s="42" customFormat="1" ht="15" hidden="1" customHeight="1" outlineLevel="1" x14ac:dyDescent="0.3">
      <c r="A24" s="34"/>
      <c r="B24" s="11" t="str">
        <f>CONCATENATE("          ","6116"," - ","EDUCATIONAL BENEFITS")</f>
        <v xml:space="preserve">          6116 - EDUCATIONAL BENEFITS</v>
      </c>
      <c r="C24" s="15"/>
      <c r="D24" s="3"/>
      <c r="E24" s="3"/>
      <c r="F24" s="3"/>
      <c r="G24" s="3"/>
      <c r="H24" s="3"/>
      <c r="I24" s="3"/>
      <c r="J24" s="3"/>
      <c r="K24" s="3"/>
      <c r="L24" s="3"/>
      <c r="M24" s="3"/>
      <c r="N24" s="3">
        <v>0</v>
      </c>
      <c r="O24" s="3">
        <v>0</v>
      </c>
      <c r="P24" s="10"/>
      <c r="Q24" s="3">
        <f>SUM(OSRRefD21_0_5x)+IFERROR(SUM(OSRRefE21_0_5x),0)</f>
        <v>0</v>
      </c>
    </row>
    <row r="25" spans="1:17" s="42" customFormat="1" ht="15" hidden="1" customHeight="1" outlineLevel="1" x14ac:dyDescent="0.3">
      <c r="A25" s="34"/>
      <c r="B25" s="11" t="str">
        <f>CONCATENATE("          ","6118"," - ","VACATION")</f>
        <v xml:space="preserve">          6118 - VACATION</v>
      </c>
      <c r="C25" s="15"/>
      <c r="D25" s="3">
        <v>1181.81</v>
      </c>
      <c r="E25" s="3">
        <v>1413.92</v>
      </c>
      <c r="F25" s="3">
        <v>1164.3399999999999</v>
      </c>
      <c r="G25" s="3">
        <v>1746.51</v>
      </c>
      <c r="H25" s="3">
        <v>1210.92</v>
      </c>
      <c r="I25" s="3">
        <v>1470.48</v>
      </c>
      <c r="J25" s="3">
        <v>3060.55</v>
      </c>
      <c r="K25" s="3">
        <v>1670.34</v>
      </c>
      <c r="L25" s="3">
        <v>1370.56</v>
      </c>
      <c r="M25" s="3">
        <v>2136.3000000000002</v>
      </c>
      <c r="N25" s="3">
        <v>1093.54307692308</v>
      </c>
      <c r="O25" s="3">
        <v>1093.54307692308</v>
      </c>
      <c r="P25" s="10"/>
      <c r="Q25" s="3">
        <f>SUM(OSRRefD21_0_6x)+IFERROR(SUM(OSRRefE21_0_6x),0)</f>
        <v>18612.816153846161</v>
      </c>
    </row>
    <row r="26" spans="1:17" s="42" customFormat="1" ht="15" hidden="1" customHeight="1" outlineLevel="1" x14ac:dyDescent="0.3">
      <c r="A26" s="34"/>
      <c r="B26" s="11" t="str">
        <f>CONCATENATE("          ","6119"," - ","SICK LEAVE")</f>
        <v xml:space="preserve">          6119 - SICK LEAVE</v>
      </c>
      <c r="C26" s="15"/>
      <c r="D26" s="3">
        <v>979.42</v>
      </c>
      <c r="E26" s="3">
        <v>979.42</v>
      </c>
      <c r="F26" s="3">
        <v>979.42</v>
      </c>
      <c r="G26" s="3">
        <v>1469.13</v>
      </c>
      <c r="H26" s="3">
        <v>1018.58</v>
      </c>
      <c r="I26" s="3">
        <v>1018.58</v>
      </c>
      <c r="J26" s="3">
        <v>3462.99</v>
      </c>
      <c r="K26" s="3">
        <v>1018.58</v>
      </c>
      <c r="L26" s="3">
        <v>1018.58</v>
      </c>
      <c r="M26" s="3">
        <v>1527.87</v>
      </c>
      <c r="N26" s="3">
        <v>1165.44707692308</v>
      </c>
      <c r="O26" s="3">
        <v>1165.44707692308</v>
      </c>
      <c r="P26" s="10"/>
      <c r="Q26" s="3">
        <f>SUM(OSRRefD21_0_7x)+IFERROR(SUM(OSRRefE21_0_7x),0)</f>
        <v>15803.46415384616</v>
      </c>
    </row>
    <row r="27" spans="1:17" s="42" customFormat="1" ht="15" hidden="1" customHeight="1" outlineLevel="1" x14ac:dyDescent="0.3">
      <c r="A27" s="34"/>
      <c r="B27" s="11" t="str">
        <f>CONCATENATE("          ","6156"," - ","EMPLOYEE MEALS")</f>
        <v xml:space="preserve">          6156 - EMPLOYEE MEALS</v>
      </c>
      <c r="C27" s="15"/>
      <c r="D27" s="3">
        <v>361.03</v>
      </c>
      <c r="E27" s="3">
        <v>509.53</v>
      </c>
      <c r="F27" s="3">
        <v>498.67</v>
      </c>
      <c r="G27" s="3">
        <v>716.06</v>
      </c>
      <c r="H27" s="3">
        <v>610.98</v>
      </c>
      <c r="I27" s="3">
        <v>480.82</v>
      </c>
      <c r="J27" s="3">
        <v>457.86</v>
      </c>
      <c r="K27" s="3">
        <v>645.57000000000005</v>
      </c>
      <c r="L27" s="3">
        <v>668.48</v>
      </c>
      <c r="M27" s="3">
        <v>534.71</v>
      </c>
      <c r="N27" s="3">
        <v>700</v>
      </c>
      <c r="O27" s="3">
        <v>700</v>
      </c>
      <c r="P27" s="10"/>
      <c r="Q27" s="3">
        <f>SUM(OSRRefD21_0_8x)+IFERROR(SUM(OSRRefE21_0_8x),0)</f>
        <v>6883.71</v>
      </c>
    </row>
    <row r="28" spans="1:17" s="42" customFormat="1" ht="15" customHeight="1" collapsed="1" x14ac:dyDescent="0.3">
      <c r="A28" s="34"/>
      <c r="B28" s="15" t="str">
        <f>CONCATENATE("     ","*Payroll                                          ")</f>
        <v xml:space="preserve">     *Payroll                                          </v>
      </c>
      <c r="C28" s="15"/>
      <c r="D28" s="2">
        <f>SUM(OSRRefD21_1x_0)</f>
        <v>26240.76</v>
      </c>
      <c r="E28" s="2">
        <f>SUM(OSRRefD21_1x_1)</f>
        <v>20678.22</v>
      </c>
      <c r="F28" s="2">
        <f>SUM(OSRRefD21_1x_2)</f>
        <v>21607.759999999998</v>
      </c>
      <c r="G28" s="2">
        <f>SUM(OSRRefD21_1x_3)</f>
        <v>26688.199999999997</v>
      </c>
      <c r="H28" s="2">
        <f>SUM(OSRRefD21_1x_4)</f>
        <v>22551.68</v>
      </c>
      <c r="I28" s="2">
        <f>SUM(OSRRefD21_1x_5)</f>
        <v>21786.84</v>
      </c>
      <c r="J28" s="2">
        <f>SUM(OSRRefD21_1x_6)</f>
        <v>25655.439999999999</v>
      </c>
      <c r="K28" s="2">
        <f>SUM(OSRRefD21_1x_7)</f>
        <v>21960.2</v>
      </c>
      <c r="L28" s="2">
        <f>SUM(OSRRefD21_1x_8)</f>
        <v>21972.440000000002</v>
      </c>
      <c r="M28" s="2">
        <f>SUM(OSRRefD21_1x_9)</f>
        <v>25263.84</v>
      </c>
      <c r="N28" s="2">
        <f>SUM(OSRRefE21_1x_0)</f>
        <v>22080.575384615364</v>
      </c>
      <c r="O28" s="2">
        <f>SUM(OSRRefE21_1x_1)</f>
        <v>22080.57538461536</v>
      </c>
      <c r="Q28" s="3">
        <f>SUM(OSRRefD20_1x)+IFERROR(SUM(OSRRefE20_1x),0)</f>
        <v>278566.53076923074</v>
      </c>
    </row>
    <row r="29" spans="1:17" s="42" customFormat="1" ht="15" hidden="1" customHeight="1" outlineLevel="1" x14ac:dyDescent="0.3">
      <c r="A29" s="34"/>
      <c r="B29" s="11" t="str">
        <f>CONCATENATE("          ","6001"," - ","ADMINISTRATIVE SALARIES")</f>
        <v xml:space="preserve">          6001 - ADMINISTRATIVE SALARIES</v>
      </c>
      <c r="C29" s="15"/>
      <c r="D29" s="3"/>
      <c r="E29" s="3"/>
      <c r="F29" s="3"/>
      <c r="G29" s="3"/>
      <c r="H29" s="3"/>
      <c r="I29" s="3"/>
      <c r="J29" s="3"/>
      <c r="K29" s="3"/>
      <c r="L29" s="3"/>
      <c r="M29" s="3"/>
      <c r="N29" s="3">
        <v>5581.9661538461596</v>
      </c>
      <c r="O29" s="3">
        <v>5581.9661538461596</v>
      </c>
      <c r="P29" s="10"/>
      <c r="Q29" s="3">
        <f>SUM(OSRRefD21_1_0x)+IFERROR(SUM(OSRRefE21_1_0x),0)</f>
        <v>11163.932307692319</v>
      </c>
    </row>
    <row r="30" spans="1:17" s="42" customFormat="1" ht="15" hidden="1" customHeight="1" outlineLevel="1" x14ac:dyDescent="0.3">
      <c r="A30" s="34"/>
      <c r="B30" s="11" t="str">
        <f>CONCATENATE("          ","6002"," - ","STAFF SALARIES")</f>
        <v xml:space="preserve">          6002 - STAFF SALARIES</v>
      </c>
      <c r="C30" s="15"/>
      <c r="D30" s="3">
        <v>26240.76</v>
      </c>
      <c r="E30" s="3">
        <v>20473.22</v>
      </c>
      <c r="F30" s="3">
        <v>20722.8</v>
      </c>
      <c r="G30" s="3">
        <v>25747.279999999999</v>
      </c>
      <c r="H30" s="3">
        <v>22083.200000000001</v>
      </c>
      <c r="I30" s="3">
        <v>21279.8</v>
      </c>
      <c r="J30" s="3">
        <v>25655.439999999999</v>
      </c>
      <c r="K30" s="3">
        <v>21564.080000000002</v>
      </c>
      <c r="L30" s="3">
        <v>21539.360000000001</v>
      </c>
      <c r="M30" s="3">
        <v>24822.799999999999</v>
      </c>
      <c r="N30" s="3">
        <v>14101.8092307692</v>
      </c>
      <c r="O30" s="3">
        <v>14101.8092307692</v>
      </c>
      <c r="P30" s="10"/>
      <c r="Q30" s="3">
        <f>SUM(OSRRefD21_1_1x)+IFERROR(SUM(OSRRefE21_1_1x),0)</f>
        <v>258332.35846153839</v>
      </c>
    </row>
    <row r="31" spans="1:17" s="42" customFormat="1" ht="15" hidden="1" customHeight="1" outlineLevel="1" x14ac:dyDescent="0.3">
      <c r="A31" s="34"/>
      <c r="B31" s="11" t="str">
        <f>CONCATENATE("          ","6003"," - ","STAFF HOURLY-9 MONTH")</f>
        <v xml:space="preserve">          6003 - STAFF HOURLY-9 MONTH</v>
      </c>
      <c r="C31" s="15"/>
      <c r="D31" s="3"/>
      <c r="E31" s="3"/>
      <c r="F31" s="3"/>
      <c r="G31" s="3"/>
      <c r="H31" s="3"/>
      <c r="I31" s="3"/>
      <c r="J31" s="3"/>
      <c r="K31" s="3"/>
      <c r="L31" s="3"/>
      <c r="M31" s="3"/>
      <c r="N31" s="3">
        <v>0</v>
      </c>
      <c r="O31" s="3">
        <v>0</v>
      </c>
      <c r="P31" s="10"/>
      <c r="Q31" s="3">
        <f>SUM(OSRRefD21_1_2x)+IFERROR(SUM(OSRRefE21_1_2x),0)</f>
        <v>0</v>
      </c>
    </row>
    <row r="32" spans="1:17" s="42" customFormat="1" ht="15" hidden="1" customHeight="1" outlineLevel="1" x14ac:dyDescent="0.3">
      <c r="A32" s="34"/>
      <c r="B32" s="11" t="str">
        <f>CONCATENATE("          ","6004"," - ","STAFF HOURLY")</f>
        <v xml:space="preserve">          6004 - STAFF HOURLY</v>
      </c>
      <c r="C32" s="15"/>
      <c r="D32" s="3"/>
      <c r="E32" s="3"/>
      <c r="F32" s="3"/>
      <c r="G32" s="3"/>
      <c r="H32" s="3"/>
      <c r="I32" s="3"/>
      <c r="J32" s="3"/>
      <c r="K32" s="3"/>
      <c r="L32" s="3"/>
      <c r="M32" s="3"/>
      <c r="N32" s="3">
        <v>0</v>
      </c>
      <c r="O32" s="3">
        <v>0</v>
      </c>
      <c r="P32" s="10"/>
      <c r="Q32" s="3">
        <f>SUM(OSRRefD21_1_3x)+IFERROR(SUM(OSRRefE21_1_3x),0)</f>
        <v>0</v>
      </c>
    </row>
    <row r="33" spans="1:17" s="42" customFormat="1" ht="15" hidden="1" customHeight="1" outlineLevel="1" x14ac:dyDescent="0.3">
      <c r="A33" s="34"/>
      <c r="B33" s="11" t="str">
        <f>CONCATENATE("          ","6005"," - ","TEMPORARY WAGES-HOURLY")</f>
        <v xml:space="preserve">          6005 - TEMPORARY WAGES-HOURLY</v>
      </c>
      <c r="C33" s="15"/>
      <c r="D33" s="3"/>
      <c r="E33" s="3"/>
      <c r="F33" s="3"/>
      <c r="G33" s="3"/>
      <c r="H33" s="3"/>
      <c r="I33" s="3"/>
      <c r="J33" s="3"/>
      <c r="K33" s="3"/>
      <c r="L33" s="3"/>
      <c r="M33" s="3"/>
      <c r="N33" s="3">
        <v>0</v>
      </c>
      <c r="O33" s="3">
        <v>0</v>
      </c>
      <c r="P33" s="10"/>
      <c r="Q33" s="3">
        <f>SUM(OSRRefD21_1_4x)+IFERROR(SUM(OSRRefE21_1_4x),0)</f>
        <v>0</v>
      </c>
    </row>
    <row r="34" spans="1:17" s="42" customFormat="1" ht="15" hidden="1" customHeight="1" outlineLevel="1" x14ac:dyDescent="0.3">
      <c r="A34" s="34"/>
      <c r="B34" s="11" t="str">
        <f>CONCATENATE("          ","6006"," - ","TEMPORARY PART TIME")</f>
        <v xml:space="preserve">          6006 - TEMPORARY PART TIME</v>
      </c>
      <c r="C34" s="15"/>
      <c r="D34" s="3"/>
      <c r="E34" s="3"/>
      <c r="F34" s="3"/>
      <c r="G34" s="3"/>
      <c r="H34" s="3"/>
      <c r="I34" s="3"/>
      <c r="J34" s="3"/>
      <c r="K34" s="3"/>
      <c r="L34" s="3"/>
      <c r="M34" s="3"/>
      <c r="N34" s="3">
        <v>0</v>
      </c>
      <c r="O34" s="3">
        <v>0</v>
      </c>
      <c r="P34" s="10"/>
      <c r="Q34" s="3">
        <f>SUM(OSRRefD21_1_5x)+IFERROR(SUM(OSRRefE21_1_5x),0)</f>
        <v>0</v>
      </c>
    </row>
    <row r="35" spans="1:17" s="42" customFormat="1" ht="15" hidden="1" customHeight="1" outlineLevel="1" x14ac:dyDescent="0.3">
      <c r="A35" s="34"/>
      <c r="B35" s="11" t="str">
        <f>CONCATENATE("          ","6007"," - ","STUDENT HOURLY")</f>
        <v xml:space="preserve">          6007 - STUDENT HOURLY</v>
      </c>
      <c r="C35" s="15"/>
      <c r="D35" s="3"/>
      <c r="E35" s="3">
        <v>205</v>
      </c>
      <c r="F35" s="3">
        <v>884.96</v>
      </c>
      <c r="G35" s="3">
        <v>940.92</v>
      </c>
      <c r="H35" s="3">
        <v>468.48</v>
      </c>
      <c r="I35" s="3">
        <v>507.04</v>
      </c>
      <c r="J35" s="3"/>
      <c r="K35" s="3">
        <v>396.12</v>
      </c>
      <c r="L35" s="3">
        <v>433.08</v>
      </c>
      <c r="M35" s="3">
        <v>441.04</v>
      </c>
      <c r="N35" s="3">
        <v>1198.4000000000001</v>
      </c>
      <c r="O35" s="3">
        <v>2396.8000000000002</v>
      </c>
      <c r="P35" s="10"/>
      <c r="Q35" s="3">
        <f>SUM(OSRRefD21_1_6x)+IFERROR(SUM(OSRRefE21_1_6x),0)</f>
        <v>7871.84</v>
      </c>
    </row>
    <row r="36" spans="1:17" s="42" customFormat="1" ht="15" hidden="1" customHeight="1" outlineLevel="1" x14ac:dyDescent="0.3">
      <c r="A36" s="34"/>
      <c r="B36" s="11" t="str">
        <f>CONCATENATE("          ","6008"," - ","STUDENT HOURLY-FICA EXEMPT")</f>
        <v xml:space="preserve">          6008 - STUDENT HOURLY-FICA EXEMPT</v>
      </c>
      <c r="C36" s="15"/>
      <c r="D36" s="3"/>
      <c r="E36" s="3"/>
      <c r="F36" s="3"/>
      <c r="G36" s="3"/>
      <c r="H36" s="3"/>
      <c r="I36" s="3"/>
      <c r="J36" s="3"/>
      <c r="K36" s="3"/>
      <c r="L36" s="3"/>
      <c r="M36" s="3"/>
      <c r="N36" s="3">
        <v>1198.4000000000001</v>
      </c>
      <c r="O36" s="3">
        <v>0</v>
      </c>
      <c r="P36" s="10"/>
      <c r="Q36" s="3">
        <f>SUM(OSRRefD21_1_7x)+IFERROR(SUM(OSRRefE21_1_7x),0)</f>
        <v>1198.4000000000001</v>
      </c>
    </row>
    <row r="37" spans="1:17" s="42" customFormat="1" ht="15" hidden="1" customHeight="1" outlineLevel="1" x14ac:dyDescent="0.3">
      <c r="A37" s="34"/>
      <c r="B37" s="11" t="str">
        <f>CONCATENATE("          ","6009"," - ","TEMPORARY-SEASONAL")</f>
        <v xml:space="preserve">          6009 - TEMPORARY-SEASONAL</v>
      </c>
      <c r="C37" s="15"/>
      <c r="D37" s="3"/>
      <c r="E37" s="3"/>
      <c r="F37" s="3"/>
      <c r="G37" s="3"/>
      <c r="H37" s="3"/>
      <c r="I37" s="3"/>
      <c r="J37" s="3"/>
      <c r="K37" s="3"/>
      <c r="L37" s="3"/>
      <c r="M37" s="3"/>
      <c r="N37" s="3">
        <v>0</v>
      </c>
      <c r="O37" s="3">
        <v>0</v>
      </c>
      <c r="P37" s="10"/>
      <c r="Q37" s="3">
        <f>SUM(OSRRefD21_1_8x)+IFERROR(SUM(OSRRefE21_1_8x),0)</f>
        <v>0</v>
      </c>
    </row>
    <row r="38" spans="1:17" s="42" customFormat="1" ht="15" hidden="1" customHeight="1" outlineLevel="1" x14ac:dyDescent="0.3">
      <c r="A38" s="34"/>
      <c r="B38" s="11" t="str">
        <f>CONCATENATE("          ","6010"," - ","GRATUITY")</f>
        <v xml:space="preserve">          6010 - GRATUITY</v>
      </c>
      <c r="C38" s="15"/>
      <c r="D38" s="3"/>
      <c r="E38" s="3"/>
      <c r="F38" s="3"/>
      <c r="G38" s="3"/>
      <c r="H38" s="3"/>
      <c r="I38" s="3"/>
      <c r="J38" s="3"/>
      <c r="K38" s="3"/>
      <c r="L38" s="3"/>
      <c r="M38" s="3"/>
      <c r="N38" s="3">
        <v>0</v>
      </c>
      <c r="O38" s="3">
        <v>0</v>
      </c>
      <c r="P38" s="10"/>
      <c r="Q38" s="3">
        <f>SUM(OSRRefD21_1_9x)+IFERROR(SUM(OSRRefE21_1_9x),0)</f>
        <v>0</v>
      </c>
    </row>
    <row r="39" spans="1:17" s="42" customFormat="1" ht="15" customHeight="1" collapsed="1" x14ac:dyDescent="0.3">
      <c r="A39" s="34"/>
      <c r="B39" s="15" t="str">
        <f>CONCATENATE("     ","Depreciation                                      ")</f>
        <v xml:space="preserve">     Depreciation                                      </v>
      </c>
      <c r="C39" s="15"/>
      <c r="D39" s="2">
        <f>SUM(OSRRefD21_2x_0)</f>
        <v>1558.88</v>
      </c>
      <c r="E39" s="2">
        <f>SUM(OSRRefD21_2x_1)</f>
        <v>1558.88</v>
      </c>
      <c r="F39" s="2">
        <f>SUM(OSRRefD21_2x_2)</f>
        <v>1558.88</v>
      </c>
      <c r="G39" s="2">
        <f>SUM(OSRRefD21_2x_3)</f>
        <v>1558.88</v>
      </c>
      <c r="H39" s="2">
        <f>SUM(OSRRefD21_2x_4)</f>
        <v>1558.88</v>
      </c>
      <c r="I39" s="2">
        <f>SUM(OSRRefD21_2x_5)</f>
        <v>1558.88</v>
      </c>
      <c r="J39" s="2">
        <f>SUM(OSRRefD21_2x_6)</f>
        <v>1558.88</v>
      </c>
      <c r="K39" s="2">
        <f>SUM(OSRRefD21_2x_7)</f>
        <v>1558.84</v>
      </c>
      <c r="L39" s="2">
        <f>SUM(OSRRefD21_2x_8)</f>
        <v>0</v>
      </c>
      <c r="M39" s="2">
        <f>SUM(OSRRefD21_2x_9)</f>
        <v>0</v>
      </c>
      <c r="N39" s="2">
        <f>SUM(OSRRefE21_2x_0)</f>
        <v>0</v>
      </c>
      <c r="O39" s="2">
        <f>SUM(OSRRefE21_2x_1)</f>
        <v>0</v>
      </c>
      <c r="Q39" s="3">
        <f>SUM(OSRRefD20_2x)+IFERROR(SUM(OSRRefE20_2x),0)</f>
        <v>12471</v>
      </c>
    </row>
    <row r="40" spans="1:17" s="42" customFormat="1" ht="15" hidden="1" customHeight="1" outlineLevel="1" x14ac:dyDescent="0.3">
      <c r="A40" s="34"/>
      <c r="B40" s="11" t="str">
        <f>CONCATENATE("          ","6322"," - ","EQUIPMENT DEPRECIATION EXPENSE")</f>
        <v xml:space="preserve">          6322 - EQUIPMENT DEPRECIATION EXPENSE</v>
      </c>
      <c r="C40" s="15"/>
      <c r="D40" s="3">
        <v>1558.88</v>
      </c>
      <c r="E40" s="3">
        <v>1558.88</v>
      </c>
      <c r="F40" s="3">
        <v>1558.88</v>
      </c>
      <c r="G40" s="3">
        <v>1558.88</v>
      </c>
      <c r="H40" s="3">
        <v>1558.88</v>
      </c>
      <c r="I40" s="3">
        <v>1558.88</v>
      </c>
      <c r="J40" s="3">
        <v>1558.88</v>
      </c>
      <c r="K40" s="3">
        <v>1558.84</v>
      </c>
      <c r="L40" s="3"/>
      <c r="M40" s="3"/>
      <c r="N40" s="3"/>
      <c r="O40" s="3"/>
      <c r="P40" s="10"/>
      <c r="Q40" s="3">
        <f>SUM(OSRRefD21_2_0x)+IFERROR(SUM(OSRRefE21_2_0x),0)</f>
        <v>12471</v>
      </c>
    </row>
    <row r="41" spans="1:17" s="42" customFormat="1" ht="15" customHeight="1" collapsed="1" x14ac:dyDescent="0.3">
      <c r="A41" s="34"/>
      <c r="B41" s="15" t="str">
        <f>CONCATENATE("     ","Employees' Appreciation                           ")</f>
        <v xml:space="preserve">     Employees' Appreciation                           </v>
      </c>
      <c r="C41" s="15"/>
      <c r="D41" s="2">
        <f>SUM(OSRRefD21_3x_0)</f>
        <v>0</v>
      </c>
      <c r="E41" s="2">
        <f>SUM(OSRRefD21_3x_1)</f>
        <v>0</v>
      </c>
      <c r="F41" s="2">
        <f>SUM(OSRRefD21_3x_2)</f>
        <v>0</v>
      </c>
      <c r="G41" s="2">
        <f>SUM(OSRRefD21_3x_3)</f>
        <v>0</v>
      </c>
      <c r="H41" s="2">
        <f>SUM(OSRRefD21_3x_4)</f>
        <v>0</v>
      </c>
      <c r="I41" s="2">
        <f>SUM(OSRRefD21_3x_5)</f>
        <v>8.02</v>
      </c>
      <c r="J41" s="2">
        <f>SUM(OSRRefD21_3x_6)</f>
        <v>0</v>
      </c>
      <c r="K41" s="2">
        <f>SUM(OSRRefD21_3x_7)</f>
        <v>0</v>
      </c>
      <c r="L41" s="2">
        <f>SUM(OSRRefD21_3x_8)</f>
        <v>0</v>
      </c>
      <c r="M41" s="2">
        <f>SUM(OSRRefD21_3x_9)</f>
        <v>0</v>
      </c>
      <c r="N41" s="2">
        <f>SUM(OSRRefE21_3x_0)</f>
        <v>0</v>
      </c>
      <c r="O41" s="2">
        <f>SUM(OSRRefE21_3x_1)</f>
        <v>0</v>
      </c>
      <c r="Q41" s="3">
        <f>SUM(OSRRefD20_3x)+IFERROR(SUM(OSRRefE20_3x),0)</f>
        <v>8.02</v>
      </c>
    </row>
    <row r="42" spans="1:17" s="42" customFormat="1" ht="15" hidden="1" customHeight="1" outlineLevel="1" x14ac:dyDescent="0.3">
      <c r="A42" s="34"/>
      <c r="B42" s="11" t="str">
        <f>CONCATENATE("          ","6277"," - ","EMPLOYEE APPRECIATION")</f>
        <v xml:space="preserve">          6277 - EMPLOYEE APPRECIATION</v>
      </c>
      <c r="C42" s="15"/>
      <c r="D42" s="3"/>
      <c r="E42" s="3"/>
      <c r="F42" s="3"/>
      <c r="G42" s="3"/>
      <c r="H42" s="3"/>
      <c r="I42" s="3">
        <v>8.02</v>
      </c>
      <c r="J42" s="3"/>
      <c r="K42" s="3"/>
      <c r="L42" s="3"/>
      <c r="M42" s="3"/>
      <c r="N42" s="3"/>
      <c r="O42" s="3"/>
      <c r="P42" s="10"/>
      <c r="Q42" s="3">
        <f>SUM(OSRRefD21_3_0x)+IFERROR(SUM(OSRRefE21_3_0x),0)</f>
        <v>8.02</v>
      </c>
    </row>
    <row r="43" spans="1:17" s="42" customFormat="1" ht="15" customHeight="1" collapsed="1" x14ac:dyDescent="0.3">
      <c r="A43" s="34"/>
      <c r="B43" s="15" t="str">
        <f>CONCATENATE("     ","Equipment Rental                                  ")</f>
        <v xml:space="preserve">     Equipment Rental                                  </v>
      </c>
      <c r="C43" s="15"/>
      <c r="D43" s="2">
        <f>SUM(OSRRefD21_4x_0)</f>
        <v>91.26</v>
      </c>
      <c r="E43" s="2">
        <f>SUM(OSRRefD21_4x_1)</f>
        <v>91.26</v>
      </c>
      <c r="F43" s="2">
        <f>SUM(OSRRefD21_4x_2)</f>
        <v>91.26</v>
      </c>
      <c r="G43" s="2">
        <f>SUM(OSRRefD21_4x_3)</f>
        <v>91.26</v>
      </c>
      <c r="H43" s="2">
        <f>SUM(OSRRefD21_4x_4)</f>
        <v>91.26</v>
      </c>
      <c r="I43" s="2">
        <f>SUM(OSRRefD21_4x_5)</f>
        <v>91.26</v>
      </c>
      <c r="J43" s="2">
        <f>SUM(OSRRefD21_4x_6)</f>
        <v>91.26</v>
      </c>
      <c r="K43" s="2">
        <f>SUM(OSRRefD21_4x_7)</f>
        <v>91.26</v>
      </c>
      <c r="L43" s="2">
        <f>SUM(OSRRefD21_4x_8)</f>
        <v>91.26</v>
      </c>
      <c r="M43" s="2">
        <f>SUM(OSRRefD21_4x_9)</f>
        <v>91.26</v>
      </c>
      <c r="N43" s="2">
        <f>SUM(OSRRefE21_4x_0)</f>
        <v>91</v>
      </c>
      <c r="O43" s="2">
        <f>SUM(OSRRefE21_4x_1)</f>
        <v>91</v>
      </c>
      <c r="Q43" s="3">
        <f>SUM(OSRRefD20_4x)+IFERROR(SUM(OSRRefE20_4x),0)</f>
        <v>1094.5999999999999</v>
      </c>
    </row>
    <row r="44" spans="1:17" s="42" customFormat="1" ht="15" hidden="1" customHeight="1" outlineLevel="1" x14ac:dyDescent="0.3">
      <c r="A44" s="34"/>
      <c r="B44" s="11" t="str">
        <f>CONCATENATE("          ","6351"," - ","EQUIPMENT RENTAL")</f>
        <v xml:space="preserve">          6351 - EQUIPMENT RENTAL</v>
      </c>
      <c r="C44" s="15"/>
      <c r="D44" s="3">
        <v>91.26</v>
      </c>
      <c r="E44" s="3">
        <v>91.26</v>
      </c>
      <c r="F44" s="3">
        <v>91.26</v>
      </c>
      <c r="G44" s="3">
        <v>91.26</v>
      </c>
      <c r="H44" s="3">
        <v>91.26</v>
      </c>
      <c r="I44" s="3">
        <v>91.26</v>
      </c>
      <c r="J44" s="3">
        <v>91.26</v>
      </c>
      <c r="K44" s="3">
        <v>91.26</v>
      </c>
      <c r="L44" s="3">
        <v>91.26</v>
      </c>
      <c r="M44" s="3">
        <v>91.26</v>
      </c>
      <c r="N44" s="3">
        <v>91</v>
      </c>
      <c r="O44" s="3">
        <v>91</v>
      </c>
      <c r="P44" s="10"/>
      <c r="Q44" s="3">
        <f>SUM(OSRRefD21_4_0x)+IFERROR(SUM(OSRRefE21_4_0x),0)</f>
        <v>1094.5999999999999</v>
      </c>
    </row>
    <row r="45" spans="1:17" s="42" customFormat="1" ht="15" customHeight="1" collapsed="1" x14ac:dyDescent="0.3">
      <c r="A45" s="34"/>
      <c r="B45" s="15" t="str">
        <f>CONCATENATE("     ","Freight out/Postage                               ")</f>
        <v xml:space="preserve">     Freight out/Postage                               </v>
      </c>
      <c r="C45" s="15"/>
      <c r="D45" s="2">
        <f>SUM(OSRRefD21_5x_0)</f>
        <v>88.12</v>
      </c>
      <c r="E45" s="2">
        <f>SUM(OSRRefD21_5x_1)</f>
        <v>108.63</v>
      </c>
      <c r="F45" s="2">
        <f>SUM(OSRRefD21_5x_2)</f>
        <v>169.6</v>
      </c>
      <c r="G45" s="2">
        <f>SUM(OSRRefD21_5x_3)</f>
        <v>172.98</v>
      </c>
      <c r="H45" s="2">
        <f>SUM(OSRRefD21_5x_4)</f>
        <v>123.49</v>
      </c>
      <c r="I45" s="2">
        <f>SUM(OSRRefD21_5x_5)</f>
        <v>130.52000000000001</v>
      </c>
      <c r="J45" s="2">
        <f>SUM(OSRRefD21_5x_6)</f>
        <v>123.15</v>
      </c>
      <c r="K45" s="2">
        <f>SUM(OSRRefD21_5x_7)</f>
        <v>154.76</v>
      </c>
      <c r="L45" s="2">
        <f>SUM(OSRRefD21_5x_8)</f>
        <v>186.37</v>
      </c>
      <c r="M45" s="2">
        <f>SUM(OSRRefD21_5x_9)</f>
        <v>128.11000000000001</v>
      </c>
      <c r="N45" s="2">
        <f>SUM(OSRRefE21_5x_0)</f>
        <v>100</v>
      </c>
      <c r="O45" s="2">
        <f>SUM(OSRRefE21_5x_1)</f>
        <v>100</v>
      </c>
      <c r="Q45" s="3">
        <f>SUM(OSRRefD20_5x)+IFERROR(SUM(OSRRefE20_5x),0)</f>
        <v>1585.73</v>
      </c>
    </row>
    <row r="46" spans="1:17" s="42" customFormat="1" ht="15" hidden="1" customHeight="1" outlineLevel="1" x14ac:dyDescent="0.3">
      <c r="A46" s="34"/>
      <c r="B46" s="11" t="str">
        <f>CONCATENATE("          ","6307"," - ","POSTAGE")</f>
        <v xml:space="preserve">          6307 - POSTAGE</v>
      </c>
      <c r="C46" s="15"/>
      <c r="D46" s="3">
        <v>88.12</v>
      </c>
      <c r="E46" s="3">
        <v>108.63</v>
      </c>
      <c r="F46" s="3">
        <v>169.6</v>
      </c>
      <c r="G46" s="3">
        <v>172.98</v>
      </c>
      <c r="H46" s="3">
        <v>123.49</v>
      </c>
      <c r="I46" s="3">
        <v>130.52000000000001</v>
      </c>
      <c r="J46" s="3">
        <v>123.15</v>
      </c>
      <c r="K46" s="3">
        <v>154.76</v>
      </c>
      <c r="L46" s="3">
        <v>186.37</v>
      </c>
      <c r="M46" s="3">
        <v>128.11000000000001</v>
      </c>
      <c r="N46" s="3">
        <v>100</v>
      </c>
      <c r="O46" s="3">
        <v>100</v>
      </c>
      <c r="P46" s="10"/>
      <c r="Q46" s="3">
        <f>SUM(OSRRefD21_5_0x)+IFERROR(SUM(OSRRefE21_5_0x),0)</f>
        <v>1585.73</v>
      </c>
    </row>
    <row r="47" spans="1:17" s="42" customFormat="1" ht="15" customHeight="1" collapsed="1" x14ac:dyDescent="0.3">
      <c r="A47" s="34"/>
      <c r="B47" s="15" t="str">
        <f>CONCATENATE("     ","Insurance                                         ")</f>
        <v xml:space="preserve">     Insurance                                         </v>
      </c>
      <c r="C47" s="15"/>
      <c r="D47" s="2">
        <f>SUM(OSRRefD21_6x_0)</f>
        <v>179.64</v>
      </c>
      <c r="E47" s="2">
        <f>SUM(OSRRefD21_6x_1)</f>
        <v>179.64</v>
      </c>
      <c r="F47" s="2">
        <f>SUM(OSRRefD21_6x_2)</f>
        <v>179.64</v>
      </c>
      <c r="G47" s="2">
        <f>SUM(OSRRefD21_6x_3)</f>
        <v>179.64</v>
      </c>
      <c r="H47" s="2">
        <f>SUM(OSRRefD21_6x_4)</f>
        <v>179.64</v>
      </c>
      <c r="I47" s="2">
        <f>SUM(OSRRefD21_6x_5)</f>
        <v>179.64</v>
      </c>
      <c r="J47" s="2">
        <f>SUM(OSRRefD21_6x_6)</f>
        <v>179.64</v>
      </c>
      <c r="K47" s="2">
        <f>SUM(OSRRefD21_6x_7)</f>
        <v>179.64</v>
      </c>
      <c r="L47" s="2">
        <f>SUM(OSRRefD21_6x_8)</f>
        <v>179.64</v>
      </c>
      <c r="M47" s="2">
        <f>SUM(OSRRefD21_6x_9)</f>
        <v>179.64</v>
      </c>
      <c r="N47" s="2">
        <f>SUM(OSRRefE21_6x_0)</f>
        <v>180</v>
      </c>
      <c r="O47" s="2">
        <f>SUM(OSRRefE21_6x_1)</f>
        <v>180</v>
      </c>
      <c r="Q47" s="3">
        <f>SUM(OSRRefD20_6x)+IFERROR(SUM(OSRRefE20_6x),0)</f>
        <v>2156.3999999999996</v>
      </c>
    </row>
    <row r="48" spans="1:17" s="42" customFormat="1" ht="15" hidden="1" customHeight="1" outlineLevel="1" x14ac:dyDescent="0.3">
      <c r="A48" s="34"/>
      <c r="B48" s="11" t="str">
        <f>CONCATENATE("          ","6314"," - ","LIABILITY INSURANCE")</f>
        <v xml:space="preserve">          6314 - LIABILITY INSURANCE</v>
      </c>
      <c r="C48" s="15"/>
      <c r="D48" s="3">
        <v>179.64</v>
      </c>
      <c r="E48" s="3">
        <v>179.64</v>
      </c>
      <c r="F48" s="3">
        <v>179.64</v>
      </c>
      <c r="G48" s="3">
        <v>179.64</v>
      </c>
      <c r="H48" s="3">
        <v>179.64</v>
      </c>
      <c r="I48" s="3">
        <v>179.64</v>
      </c>
      <c r="J48" s="3">
        <v>179.64</v>
      </c>
      <c r="K48" s="3">
        <v>179.64</v>
      </c>
      <c r="L48" s="3">
        <v>179.64</v>
      </c>
      <c r="M48" s="3">
        <v>179.64</v>
      </c>
      <c r="N48" s="3">
        <v>180</v>
      </c>
      <c r="O48" s="3">
        <v>180</v>
      </c>
      <c r="P48" s="10"/>
      <c r="Q48" s="3">
        <f>SUM(OSRRefD21_6_0x)+IFERROR(SUM(OSRRefE21_6_0x),0)</f>
        <v>2156.3999999999996</v>
      </c>
    </row>
    <row r="49" spans="1:17" s="42" customFormat="1" ht="15" customHeight="1" collapsed="1" x14ac:dyDescent="0.3">
      <c r="A49" s="34"/>
      <c r="B49" s="15" t="str">
        <f>CONCATENATE("     ","Repair and Maintenance                            ")</f>
        <v xml:space="preserve">     Repair and Maintenance                            </v>
      </c>
      <c r="C49" s="15"/>
      <c r="D49" s="2">
        <f>SUM(OSRRefD21_7x_0)</f>
        <v>59.95</v>
      </c>
      <c r="E49" s="2">
        <f>SUM(OSRRefD21_7x_1)</f>
        <v>1617.51</v>
      </c>
      <c r="F49" s="2">
        <f>SUM(OSRRefD21_7x_2)</f>
        <v>0</v>
      </c>
      <c r="G49" s="2">
        <f>SUM(OSRRefD21_7x_3)</f>
        <v>152.89000000000001</v>
      </c>
      <c r="H49" s="2">
        <f>SUM(OSRRefD21_7x_4)</f>
        <v>70.510000000000005</v>
      </c>
      <c r="I49" s="2">
        <f>SUM(OSRRefD21_7x_5)</f>
        <v>67.680000000000007</v>
      </c>
      <c r="J49" s="2">
        <f>SUM(OSRRefD21_7x_6)</f>
        <v>5233.91</v>
      </c>
      <c r="K49" s="2">
        <f>SUM(OSRRefD21_7x_7)</f>
        <v>73.36</v>
      </c>
      <c r="L49" s="2">
        <f>SUM(OSRRefD21_7x_8)</f>
        <v>35200.04</v>
      </c>
      <c r="M49" s="2">
        <f>SUM(OSRRefD21_7x_9)</f>
        <v>72.320000000000007</v>
      </c>
      <c r="N49" s="2">
        <f>SUM(OSRRefE21_7x_0)</f>
        <v>210</v>
      </c>
      <c r="O49" s="2">
        <f>SUM(OSRRefE21_7x_1)</f>
        <v>210</v>
      </c>
      <c r="Q49" s="3">
        <f>SUM(OSRRefD20_7x)+IFERROR(SUM(OSRRefE20_7x),0)</f>
        <v>42968.17</v>
      </c>
    </row>
    <row r="50" spans="1:17" s="42" customFormat="1" ht="15" hidden="1" customHeight="1" outlineLevel="1" x14ac:dyDescent="0.3">
      <c r="A50" s="34"/>
      <c r="B50" s="11" t="str">
        <f>CONCATENATE("          ","6371"," - ","COMPUTER SOFTWARE MAINTENANCE")</f>
        <v xml:space="preserve">          6371 - COMPUTER SOFTWARE MAINTENANCE</v>
      </c>
      <c r="C50" s="15"/>
      <c r="D50" s="3">
        <v>59.95</v>
      </c>
      <c r="E50" s="3">
        <v>59.95</v>
      </c>
      <c r="F50" s="3"/>
      <c r="G50" s="3">
        <v>119.9</v>
      </c>
      <c r="H50" s="3">
        <v>59.95</v>
      </c>
      <c r="I50" s="3">
        <v>59.95</v>
      </c>
      <c r="J50" s="3">
        <v>59.95</v>
      </c>
      <c r="K50" s="3">
        <v>59.95</v>
      </c>
      <c r="L50" s="3">
        <v>35188.82</v>
      </c>
      <c r="M50" s="3">
        <v>59.95</v>
      </c>
      <c r="N50" s="3"/>
      <c r="O50" s="3"/>
      <c r="P50" s="10"/>
      <c r="Q50" s="3">
        <f>SUM(OSRRefD21_7_0x)+IFERROR(SUM(OSRRefE21_7_0x),0)</f>
        <v>35728.369999999995</v>
      </c>
    </row>
    <row r="51" spans="1:17" s="42" customFormat="1" ht="15" hidden="1" customHeight="1" outlineLevel="1" x14ac:dyDescent="0.3">
      <c r="A51" s="34"/>
      <c r="B51" s="11" t="str">
        <f>CONCATENATE("          ","6373"," - ","MAINTENANCE CONTRACTS")</f>
        <v xml:space="preserve">          6373 - MAINTENANCE CONTRACTS</v>
      </c>
      <c r="C51" s="15"/>
      <c r="D51" s="3"/>
      <c r="E51" s="3"/>
      <c r="F51" s="3"/>
      <c r="G51" s="3">
        <v>32.99</v>
      </c>
      <c r="H51" s="3">
        <v>10.56</v>
      </c>
      <c r="I51" s="3">
        <v>7.73</v>
      </c>
      <c r="J51" s="3">
        <v>5173.96</v>
      </c>
      <c r="K51" s="3">
        <v>13.41</v>
      </c>
      <c r="L51" s="3">
        <v>11.22</v>
      </c>
      <c r="M51" s="3">
        <v>12.37</v>
      </c>
      <c r="N51" s="3">
        <v>60</v>
      </c>
      <c r="O51" s="3">
        <v>60</v>
      </c>
      <c r="P51" s="10"/>
      <c r="Q51" s="3">
        <f>SUM(OSRRefD21_7_1x)+IFERROR(SUM(OSRRefE21_7_1x),0)</f>
        <v>5382.24</v>
      </c>
    </row>
    <row r="52" spans="1:17" s="42" customFormat="1" ht="15" hidden="1" customHeight="1" outlineLevel="1" x14ac:dyDescent="0.3">
      <c r="A52" s="34"/>
      <c r="B52" s="11" t="str">
        <f>CONCATENATE("          ","6375"," - ","OUTSIDE REPAIRS &amp; MAINTENANCE")</f>
        <v xml:space="preserve">          6375 - OUTSIDE REPAIRS &amp; MAINTENANCE</v>
      </c>
      <c r="C52" s="15"/>
      <c r="D52" s="3"/>
      <c r="E52" s="3">
        <v>1557.56</v>
      </c>
      <c r="F52" s="3"/>
      <c r="G52" s="3"/>
      <c r="H52" s="3"/>
      <c r="I52" s="3"/>
      <c r="J52" s="3"/>
      <c r="K52" s="3"/>
      <c r="L52" s="3"/>
      <c r="M52" s="3"/>
      <c r="N52" s="3">
        <v>150</v>
      </c>
      <c r="O52" s="3">
        <v>150</v>
      </c>
      <c r="P52" s="10"/>
      <c r="Q52" s="3">
        <f>SUM(OSRRefD21_7_2x)+IFERROR(SUM(OSRRefE21_7_2x),0)</f>
        <v>1857.56</v>
      </c>
    </row>
    <row r="53" spans="1:17" s="42" customFormat="1" ht="15" customHeight="1" collapsed="1" x14ac:dyDescent="0.3">
      <c r="A53" s="34"/>
      <c r="B53" s="15" t="str">
        <f>CONCATENATE("     ","Services                                          ")</f>
        <v xml:space="preserve">     Services                                          </v>
      </c>
      <c r="C53" s="15"/>
      <c r="D53" s="2">
        <f>SUM(OSRRefD21_8x_0)</f>
        <v>0</v>
      </c>
      <c r="E53" s="2">
        <f>SUM(OSRRefD21_8x_1)</f>
        <v>1367.89</v>
      </c>
      <c r="F53" s="2">
        <f>SUM(OSRRefD21_8x_2)</f>
        <v>657.38</v>
      </c>
      <c r="G53" s="2">
        <f>SUM(OSRRefD21_8x_3)</f>
        <v>657.38</v>
      </c>
      <c r="H53" s="2">
        <f>SUM(OSRRefD21_8x_4)</f>
        <v>657.38</v>
      </c>
      <c r="I53" s="2">
        <f>SUM(OSRRefD21_8x_5)</f>
        <v>657.38</v>
      </c>
      <c r="J53" s="2">
        <f>SUM(OSRRefD21_8x_6)</f>
        <v>1208.05</v>
      </c>
      <c r="K53" s="2">
        <f>SUM(OSRRefD21_8x_7)</f>
        <v>961.14</v>
      </c>
      <c r="L53" s="2">
        <f>SUM(OSRRefD21_8x_8)</f>
        <v>1938.08</v>
      </c>
      <c r="M53" s="2">
        <f>SUM(OSRRefD21_8x_9)</f>
        <v>0</v>
      </c>
      <c r="N53" s="2">
        <f>SUM(OSRRefE21_8x_0)</f>
        <v>625</v>
      </c>
      <c r="O53" s="2">
        <f>SUM(OSRRefE21_8x_1)</f>
        <v>625</v>
      </c>
      <c r="Q53" s="3">
        <f>SUM(OSRRefD20_8x)+IFERROR(SUM(OSRRefE20_8x),0)</f>
        <v>9354.68</v>
      </c>
    </row>
    <row r="54" spans="1:17" s="42" customFormat="1" ht="15" hidden="1" customHeight="1" outlineLevel="1" x14ac:dyDescent="0.3">
      <c r="A54" s="34"/>
      <c r="B54" s="11" t="str">
        <f>CONCATENATE("          ","6281"," - ","STORAGE FEE")</f>
        <v xml:space="preserve">          6281 - STORAGE FEE</v>
      </c>
      <c r="C54" s="15"/>
      <c r="D54" s="3"/>
      <c r="E54" s="3">
        <v>1367.89</v>
      </c>
      <c r="F54" s="3">
        <v>657.38</v>
      </c>
      <c r="G54" s="3">
        <v>657.38</v>
      </c>
      <c r="H54" s="3">
        <v>657.38</v>
      </c>
      <c r="I54" s="3">
        <v>657.38</v>
      </c>
      <c r="J54" s="3">
        <v>1208.05</v>
      </c>
      <c r="K54" s="3">
        <v>961.14</v>
      </c>
      <c r="L54" s="3">
        <v>1938.08</v>
      </c>
      <c r="M54" s="3"/>
      <c r="N54" s="3">
        <v>625</v>
      </c>
      <c r="O54" s="3">
        <v>625</v>
      </c>
      <c r="P54" s="10"/>
      <c r="Q54" s="3">
        <f>SUM(OSRRefD21_8_0x)+IFERROR(SUM(OSRRefE21_8_0x),0)</f>
        <v>9354.68</v>
      </c>
    </row>
    <row r="55" spans="1:17" s="42" customFormat="1" ht="15" customHeight="1" collapsed="1" x14ac:dyDescent="0.3">
      <c r="A55" s="34"/>
      <c r="B55" s="15" t="str">
        <f>CONCATENATE("     ","Supplies                                          ")</f>
        <v xml:space="preserve">     Supplies                                          </v>
      </c>
      <c r="C55" s="15"/>
      <c r="D55" s="2">
        <f>SUM(OSRRefD21_9x_0)</f>
        <v>272.22000000000003</v>
      </c>
      <c r="E55" s="2">
        <f>SUM(OSRRefD21_9x_1)</f>
        <v>1036.44</v>
      </c>
      <c r="F55" s="2">
        <f>SUM(OSRRefD21_9x_2)</f>
        <v>36.93</v>
      </c>
      <c r="G55" s="2">
        <f>SUM(OSRRefD21_9x_3)</f>
        <v>195.23</v>
      </c>
      <c r="H55" s="2">
        <f>SUM(OSRRefD21_9x_4)</f>
        <v>0</v>
      </c>
      <c r="I55" s="2">
        <f>SUM(OSRRefD21_9x_5)</f>
        <v>69.430000000000007</v>
      </c>
      <c r="J55" s="2">
        <f>SUM(OSRRefD21_9x_6)</f>
        <v>46.21</v>
      </c>
      <c r="K55" s="2">
        <f>SUM(OSRRefD21_9x_7)</f>
        <v>126.09</v>
      </c>
      <c r="L55" s="2">
        <f>SUM(OSRRefD21_9x_8)</f>
        <v>2608.81</v>
      </c>
      <c r="M55" s="2">
        <f>SUM(OSRRefD21_9x_9)</f>
        <v>0</v>
      </c>
      <c r="N55" s="2">
        <f>SUM(OSRRefE21_9x_0)</f>
        <v>100</v>
      </c>
      <c r="O55" s="2">
        <f>SUM(OSRRefE21_9x_1)</f>
        <v>100</v>
      </c>
      <c r="Q55" s="3">
        <f>SUM(OSRRefD20_9x)+IFERROR(SUM(OSRRefE20_9x),0)</f>
        <v>4591.3600000000006</v>
      </c>
    </row>
    <row r="56" spans="1:17" s="42" customFormat="1" ht="15" hidden="1" customHeight="1" outlineLevel="1" x14ac:dyDescent="0.3">
      <c r="A56" s="34"/>
      <c r="B56" s="11" t="str">
        <f>CONCATENATE("          ","6234"," - ","EXPENDABLE SUPPLIES &amp; EQUIPMEN")</f>
        <v xml:space="preserve">          6234 - EXPENDABLE SUPPLIES &amp; EQUIPMEN</v>
      </c>
      <c r="C56" s="15"/>
      <c r="D56" s="3"/>
      <c r="E56" s="3"/>
      <c r="F56" s="3"/>
      <c r="G56" s="3"/>
      <c r="H56" s="3"/>
      <c r="I56" s="3"/>
      <c r="J56" s="3"/>
      <c r="K56" s="3"/>
      <c r="L56" s="3">
        <v>2481.17</v>
      </c>
      <c r="M56" s="3"/>
      <c r="N56" s="3"/>
      <c r="O56" s="3"/>
      <c r="P56" s="10"/>
      <c r="Q56" s="3">
        <f>SUM(OSRRefD21_9_0x)+IFERROR(SUM(OSRRefE21_9_0x),0)</f>
        <v>2481.17</v>
      </c>
    </row>
    <row r="57" spans="1:17" s="42" customFormat="1" ht="15" hidden="1" customHeight="1" outlineLevel="1" x14ac:dyDescent="0.3">
      <c r="A57" s="34"/>
      <c r="B57" s="11" t="str">
        <f>CONCATENATE("          ","6241"," - ","OFFICE EXPENSE")</f>
        <v xml:space="preserve">          6241 - OFFICE EXPENSE</v>
      </c>
      <c r="C57" s="15"/>
      <c r="D57" s="3">
        <v>272.22000000000003</v>
      </c>
      <c r="E57" s="3">
        <v>1036.44</v>
      </c>
      <c r="F57" s="3">
        <v>36.93</v>
      </c>
      <c r="G57" s="3">
        <v>195.23</v>
      </c>
      <c r="H57" s="3"/>
      <c r="I57" s="3">
        <v>69.430000000000007</v>
      </c>
      <c r="J57" s="3">
        <v>46.21</v>
      </c>
      <c r="K57" s="3">
        <v>126.09</v>
      </c>
      <c r="L57" s="3">
        <v>127.64</v>
      </c>
      <c r="M57" s="3"/>
      <c r="N57" s="3">
        <v>100</v>
      </c>
      <c r="O57" s="3">
        <v>100</v>
      </c>
      <c r="P57" s="10"/>
      <c r="Q57" s="3">
        <f>SUM(OSRRefD21_9_1x)+IFERROR(SUM(OSRRefE21_9_1x),0)</f>
        <v>2110.1900000000005</v>
      </c>
    </row>
    <row r="58" spans="1:17" s="42" customFormat="1" ht="15" customHeight="1" collapsed="1" x14ac:dyDescent="0.3">
      <c r="A58" s="34"/>
      <c r="B58" s="15" t="str">
        <f>CONCATENATE("     ","Telephone/Data Lines                              ")</f>
        <v xml:space="preserve">     Telephone/Data Lines                              </v>
      </c>
      <c r="C58" s="15"/>
      <c r="D58" s="2">
        <f>SUM(OSRRefD21_10x_0)</f>
        <v>448.1</v>
      </c>
      <c r="E58" s="2">
        <f>SUM(OSRRefD21_10x_1)</f>
        <v>423.75</v>
      </c>
      <c r="F58" s="2">
        <f>SUM(OSRRefD21_10x_2)</f>
        <v>421.85</v>
      </c>
      <c r="G58" s="2">
        <f>SUM(OSRRefD21_10x_3)</f>
        <v>496.9</v>
      </c>
      <c r="H58" s="2">
        <f>SUM(OSRRefD21_10x_4)</f>
        <v>421.9</v>
      </c>
      <c r="I58" s="2">
        <f>SUM(OSRRefD21_10x_5)</f>
        <v>345.35</v>
      </c>
      <c r="J58" s="2">
        <f>SUM(OSRRefD21_10x_6)</f>
        <v>422.8</v>
      </c>
      <c r="K58" s="2">
        <f>SUM(OSRRefD21_10x_7)</f>
        <v>456.47</v>
      </c>
      <c r="L58" s="2">
        <f>SUM(OSRRefD21_10x_8)</f>
        <v>289.55</v>
      </c>
      <c r="M58" s="2">
        <f>SUM(OSRRefD21_10x_9)</f>
        <v>365.6</v>
      </c>
      <c r="N58" s="2">
        <f>SUM(OSRRefE21_10x_0)</f>
        <v>400</v>
      </c>
      <c r="O58" s="2">
        <f>SUM(OSRRefE21_10x_1)</f>
        <v>400</v>
      </c>
      <c r="Q58" s="3">
        <f>SUM(OSRRefD20_10x)+IFERROR(SUM(OSRRefE20_10x),0)</f>
        <v>4892.2700000000004</v>
      </c>
    </row>
    <row r="59" spans="1:17" s="42" customFormat="1" ht="15" hidden="1" customHeight="1" outlineLevel="1" x14ac:dyDescent="0.3">
      <c r="A59" s="34"/>
      <c r="B59" s="11" t="str">
        <f>CONCATENATE("          ","6309"," - ","TELEPHONE")</f>
        <v xml:space="preserve">          6309 - TELEPHONE</v>
      </c>
      <c r="C59" s="15"/>
      <c r="D59" s="3">
        <v>448.1</v>
      </c>
      <c r="E59" s="3">
        <v>423.75</v>
      </c>
      <c r="F59" s="3">
        <v>421.85</v>
      </c>
      <c r="G59" s="3">
        <v>496.9</v>
      </c>
      <c r="H59" s="3">
        <v>421.9</v>
      </c>
      <c r="I59" s="3">
        <v>345.35</v>
      </c>
      <c r="J59" s="3">
        <v>422.8</v>
      </c>
      <c r="K59" s="3">
        <v>456.47</v>
      </c>
      <c r="L59" s="3">
        <v>289.55</v>
      </c>
      <c r="M59" s="3">
        <v>365.6</v>
      </c>
      <c r="N59" s="3">
        <v>400</v>
      </c>
      <c r="O59" s="3">
        <v>400</v>
      </c>
      <c r="P59" s="10"/>
      <c r="Q59" s="3">
        <f>SUM(OSRRefD21_10_0x)+IFERROR(SUM(OSRRefE21_10_0x),0)</f>
        <v>4892.2700000000004</v>
      </c>
    </row>
    <row r="60" spans="1:17" s="42" customFormat="1" ht="15" customHeight="1" collapsed="1" x14ac:dyDescent="0.3">
      <c r="A60" s="34"/>
      <c r="B60" s="15" t="str">
        <f>CONCATENATE("     ","Training                                          ")</f>
        <v xml:space="preserve">     Training                                          </v>
      </c>
      <c r="C60" s="15"/>
      <c r="D60" s="2">
        <f>SUM(OSRRefD21_11x_0)</f>
        <v>0</v>
      </c>
      <c r="E60" s="2">
        <f>SUM(OSRRefD21_11x_1)</f>
        <v>595</v>
      </c>
      <c r="F60" s="2">
        <f>SUM(OSRRefD21_11x_2)</f>
        <v>0</v>
      </c>
      <c r="G60" s="2">
        <f>SUM(OSRRefD21_11x_3)</f>
        <v>0</v>
      </c>
      <c r="H60" s="2">
        <f>SUM(OSRRefD21_11x_4)</f>
        <v>0</v>
      </c>
      <c r="I60" s="2">
        <f>SUM(OSRRefD21_11x_5)</f>
        <v>0</v>
      </c>
      <c r="J60" s="2">
        <f>SUM(OSRRefD21_11x_6)</f>
        <v>0</v>
      </c>
      <c r="K60" s="2">
        <f>SUM(OSRRefD21_11x_7)</f>
        <v>0</v>
      </c>
      <c r="L60" s="2">
        <f>SUM(OSRRefD21_11x_8)</f>
        <v>0</v>
      </c>
      <c r="M60" s="2">
        <f>SUM(OSRRefD21_11x_9)</f>
        <v>0</v>
      </c>
      <c r="N60" s="2">
        <f>SUM(OSRRefE21_11x_0)</f>
        <v>0</v>
      </c>
      <c r="O60" s="2">
        <f>SUM(OSRRefE21_11x_1)</f>
        <v>0</v>
      </c>
      <c r="Q60" s="3">
        <f>SUM(OSRRefD20_11x)+IFERROR(SUM(OSRRefE20_11x),0)</f>
        <v>595</v>
      </c>
    </row>
    <row r="61" spans="1:17" s="42" customFormat="1" ht="15" hidden="1" customHeight="1" outlineLevel="1" x14ac:dyDescent="0.3">
      <c r="A61" s="34"/>
      <c r="B61" s="11" t="str">
        <f>CONCATENATE("          ","6376"," - ","TRAINING")</f>
        <v xml:space="preserve">          6376 - TRAINING</v>
      </c>
      <c r="C61" s="15"/>
      <c r="D61" s="3"/>
      <c r="E61" s="3">
        <v>595</v>
      </c>
      <c r="F61" s="3"/>
      <c r="G61" s="3"/>
      <c r="H61" s="3"/>
      <c r="I61" s="3"/>
      <c r="J61" s="3"/>
      <c r="K61" s="3"/>
      <c r="L61" s="3"/>
      <c r="M61" s="3"/>
      <c r="N61" s="3"/>
      <c r="O61" s="3"/>
      <c r="P61" s="10"/>
      <c r="Q61" s="3">
        <f>SUM(OSRRefD21_11_0x)+IFERROR(SUM(OSRRefE21_11_0x),0)</f>
        <v>595</v>
      </c>
    </row>
    <row r="62" spans="1:17" s="42" customFormat="1" ht="15" customHeight="1" collapsed="1" x14ac:dyDescent="0.3">
      <c r="A62" s="34"/>
      <c r="B62" s="15" t="str">
        <f>CONCATENATE("     ","Travel                                            ")</f>
        <v xml:space="preserve">     Travel                                            </v>
      </c>
      <c r="C62" s="15"/>
      <c r="D62" s="2">
        <f>SUM(OSRRefD21_12x_0)</f>
        <v>17.100000000000001</v>
      </c>
      <c r="E62" s="2">
        <f>SUM(OSRRefD21_12x_1)</f>
        <v>0</v>
      </c>
      <c r="F62" s="2">
        <f>SUM(OSRRefD21_12x_2)</f>
        <v>13.3</v>
      </c>
      <c r="G62" s="2">
        <f>SUM(OSRRefD21_12x_3)</f>
        <v>0</v>
      </c>
      <c r="H62" s="2">
        <f>SUM(OSRRefD21_12x_4)</f>
        <v>0</v>
      </c>
      <c r="I62" s="2">
        <f>SUM(OSRRefD21_12x_5)</f>
        <v>0</v>
      </c>
      <c r="J62" s="2">
        <f>SUM(OSRRefD21_12x_6)</f>
        <v>0</v>
      </c>
      <c r="K62" s="2">
        <f>SUM(OSRRefD21_12x_7)</f>
        <v>0</v>
      </c>
      <c r="L62" s="2">
        <f>SUM(OSRRefD21_12x_8)</f>
        <v>0</v>
      </c>
      <c r="M62" s="2">
        <f>SUM(OSRRefD21_12x_9)</f>
        <v>0</v>
      </c>
      <c r="N62" s="2">
        <f>SUM(OSRRefE21_12x_0)</f>
        <v>0</v>
      </c>
      <c r="O62" s="2">
        <f>SUM(OSRRefE21_12x_1)</f>
        <v>0</v>
      </c>
      <c r="Q62" s="3">
        <f>SUM(OSRRefD20_12x)+IFERROR(SUM(OSRRefE20_12x),0)</f>
        <v>30.400000000000002</v>
      </c>
    </row>
    <row r="63" spans="1:17" s="42" customFormat="1" ht="15" hidden="1" customHeight="1" outlineLevel="1" x14ac:dyDescent="0.3">
      <c r="A63" s="34"/>
      <c r="B63" s="11" t="str">
        <f>CONCATENATE("          ","6294"," - ","TRAVEL OPERATIONAL")</f>
        <v xml:space="preserve">          6294 - TRAVEL OPERATIONAL</v>
      </c>
      <c r="C63" s="15"/>
      <c r="D63" s="3">
        <v>17.100000000000001</v>
      </c>
      <c r="E63" s="3"/>
      <c r="F63" s="3">
        <v>13.3</v>
      </c>
      <c r="G63" s="3"/>
      <c r="H63" s="3"/>
      <c r="I63" s="3"/>
      <c r="J63" s="3"/>
      <c r="K63" s="3"/>
      <c r="L63" s="3"/>
      <c r="M63" s="3"/>
      <c r="N63" s="3"/>
      <c r="O63" s="3"/>
      <c r="P63" s="10"/>
      <c r="Q63" s="3">
        <f>SUM(OSRRefD21_12_0x)+IFERROR(SUM(OSRRefE21_12_0x),0)</f>
        <v>30.400000000000002</v>
      </c>
    </row>
    <row r="64" spans="1:17" s="40" customFormat="1" ht="15" customHeight="1" x14ac:dyDescent="0.3">
      <c r="A64" s="22"/>
      <c r="B64" s="22"/>
      <c r="C64" s="2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Q64" s="2"/>
    </row>
    <row r="65" spans="1:17" s="39" customFormat="1" ht="15" customHeight="1" x14ac:dyDescent="0.3">
      <c r="A65" s="24"/>
      <c r="B65" s="17" t="s">
        <v>287</v>
      </c>
      <c r="C65" s="23"/>
      <c r="D65" s="4">
        <f>0</f>
        <v>0</v>
      </c>
      <c r="E65" s="4">
        <f>0</f>
        <v>0</v>
      </c>
      <c r="F65" s="4">
        <f>0</f>
        <v>0</v>
      </c>
      <c r="G65" s="4">
        <f>0</f>
        <v>0</v>
      </c>
      <c r="H65" s="4">
        <f>0</f>
        <v>0</v>
      </c>
      <c r="I65" s="4">
        <f>0</f>
        <v>0</v>
      </c>
      <c r="J65" s="4">
        <f>0</f>
        <v>0</v>
      </c>
      <c r="K65" s="4">
        <f>0</f>
        <v>0</v>
      </c>
      <c r="L65" s="4">
        <f>0</f>
        <v>0</v>
      </c>
      <c r="M65" s="4">
        <f>0</f>
        <v>0</v>
      </c>
      <c r="N65" s="4"/>
      <c r="O65" s="4"/>
      <c r="Q65" s="3">
        <f>SUM(OSRRefD23_0x)+IFERROR(SUM(OSRRefE23_0x),0)</f>
        <v>0</v>
      </c>
    </row>
    <row r="66" spans="1:17" ht="15" customHeight="1" x14ac:dyDescent="0.3">
      <c r="A66" s="6"/>
      <c r="B66" s="7"/>
      <c r="C66" s="7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Q66" s="4"/>
    </row>
    <row r="67" spans="1:17" s="37" customFormat="1" ht="15" customHeight="1" x14ac:dyDescent="0.3">
      <c r="A67" s="7"/>
      <c r="B67" s="18" t="s">
        <v>288</v>
      </c>
      <c r="C67" s="18"/>
      <c r="D67" s="9">
        <f t="shared" ref="D67:O67" si="4">IFERROR(+D14-D17+D65,0)</f>
        <v>-41601.359999999993</v>
      </c>
      <c r="E67" s="9">
        <f t="shared" si="4"/>
        <v>-40690.090000000004</v>
      </c>
      <c r="F67" s="9">
        <f t="shared" si="4"/>
        <v>-37567.949999999997</v>
      </c>
      <c r="G67" s="9">
        <f t="shared" si="4"/>
        <v>-46230.25</v>
      </c>
      <c r="H67" s="9">
        <f t="shared" si="4"/>
        <v>-38788.509999999995</v>
      </c>
      <c r="I67" s="9">
        <f t="shared" si="4"/>
        <v>-38170.729999999989</v>
      </c>
      <c r="J67" s="9">
        <f t="shared" si="4"/>
        <v>-51286.950000000004</v>
      </c>
      <c r="K67" s="9">
        <f t="shared" si="4"/>
        <v>-38686.189999999995</v>
      </c>
      <c r="L67" s="9">
        <f t="shared" si="4"/>
        <v>-75317.290000000008</v>
      </c>
      <c r="M67" s="9">
        <f t="shared" si="4"/>
        <v>-41702.980000000003</v>
      </c>
      <c r="N67" s="9">
        <f t="shared" si="4"/>
        <v>-36641.142056307675</v>
      </c>
      <c r="O67" s="9">
        <f t="shared" si="4"/>
        <v>-36732.855608307669</v>
      </c>
      <c r="Q67" s="9">
        <f>IFERROR(+Q14-Q17+Q65,0)</f>
        <v>-523416.29766461533</v>
      </c>
    </row>
    <row r="68" spans="1:17" s="38" customFormat="1" ht="15" customHeight="1" x14ac:dyDescent="0.3">
      <c r="B68" s="17"/>
      <c r="C68" s="17"/>
      <c r="D68" s="5">
        <f t="shared" ref="D68:O68" si="5">IFERROR(D67/D10,0)</f>
        <v>0</v>
      </c>
      <c r="E68" s="5">
        <f t="shared" si="5"/>
        <v>0</v>
      </c>
      <c r="F68" s="5">
        <f t="shared" si="5"/>
        <v>0</v>
      </c>
      <c r="G68" s="5">
        <f t="shared" si="5"/>
        <v>0</v>
      </c>
      <c r="H68" s="5">
        <f t="shared" si="5"/>
        <v>0</v>
      </c>
      <c r="I68" s="5">
        <f t="shared" si="5"/>
        <v>0</v>
      </c>
      <c r="J68" s="5">
        <f t="shared" si="5"/>
        <v>0</v>
      </c>
      <c r="K68" s="5">
        <f t="shared" si="5"/>
        <v>0</v>
      </c>
      <c r="L68" s="5">
        <f t="shared" si="5"/>
        <v>0</v>
      </c>
      <c r="M68" s="5">
        <f t="shared" si="5"/>
        <v>0</v>
      </c>
      <c r="N68" s="5">
        <f t="shared" si="5"/>
        <v>0</v>
      </c>
      <c r="O68" s="5">
        <f t="shared" si="5"/>
        <v>0</v>
      </c>
      <c r="P68" s="19"/>
      <c r="Q68" s="5">
        <f>IFERROR(Q67/Q10,0)</f>
        <v>0</v>
      </c>
    </row>
    <row r="69" spans="1:17" ht="15" customHeight="1" x14ac:dyDescent="0.3">
      <c r="A69" s="6"/>
      <c r="B69" s="7"/>
      <c r="C69" s="6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Q69" s="4"/>
    </row>
    <row r="70" spans="1:17" s="37" customFormat="1" ht="15" customHeight="1" x14ac:dyDescent="0.3">
      <c r="A70" s="26"/>
      <c r="B70" s="7" t="s">
        <v>289</v>
      </c>
      <c r="C70" s="7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Q70" s="3">
        <f>SUM(OSRRefD28_0x)+IFERROR(SUM(OSRRefE28_0x),0)</f>
        <v>0</v>
      </c>
    </row>
    <row r="71" spans="1:17" ht="15" customHeight="1" x14ac:dyDescent="0.3">
      <c r="A71" s="6"/>
      <c r="B71" s="7"/>
      <c r="C71" s="7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Q71" s="4"/>
    </row>
    <row r="72" spans="1:17" s="37" customFormat="1" ht="15.75" customHeight="1" x14ac:dyDescent="0.3">
      <c r="A72" s="7"/>
      <c r="B72" s="18" t="s">
        <v>290</v>
      </c>
      <c r="C72" s="18"/>
      <c r="D72" s="8">
        <f t="shared" ref="D72:O72" si="6">IFERROR(+D67-D70,0)</f>
        <v>-41601.359999999993</v>
      </c>
      <c r="E72" s="8">
        <f t="shared" si="6"/>
        <v>-40690.090000000004</v>
      </c>
      <c r="F72" s="8">
        <f t="shared" si="6"/>
        <v>-37567.949999999997</v>
      </c>
      <c r="G72" s="8">
        <f t="shared" si="6"/>
        <v>-46230.25</v>
      </c>
      <c r="H72" s="8">
        <f t="shared" si="6"/>
        <v>-38788.509999999995</v>
      </c>
      <c r="I72" s="8">
        <f t="shared" si="6"/>
        <v>-38170.729999999989</v>
      </c>
      <c r="J72" s="8">
        <f t="shared" si="6"/>
        <v>-51286.950000000004</v>
      </c>
      <c r="K72" s="8">
        <f t="shared" si="6"/>
        <v>-38686.189999999995</v>
      </c>
      <c r="L72" s="8">
        <f t="shared" si="6"/>
        <v>-75317.290000000008</v>
      </c>
      <c r="M72" s="8">
        <f t="shared" si="6"/>
        <v>-41702.980000000003</v>
      </c>
      <c r="N72" s="8">
        <f t="shared" si="6"/>
        <v>-36641.142056307675</v>
      </c>
      <c r="O72" s="8">
        <f t="shared" si="6"/>
        <v>-36732.855608307669</v>
      </c>
      <c r="Q72" s="8">
        <f>IFERROR(+Q67-Q70,0)</f>
        <v>-523416.29766461533</v>
      </c>
    </row>
    <row r="73" spans="1:17" ht="15.75" customHeight="1" x14ac:dyDescent="0.3">
      <c r="A73" s="6"/>
      <c r="B73" s="6"/>
      <c r="C73" s="6"/>
      <c r="D73" s="5">
        <f t="shared" ref="D73:O73" si="7">IFERROR(D72/D10,0)</f>
        <v>0</v>
      </c>
      <c r="E73" s="5">
        <f t="shared" si="7"/>
        <v>0</v>
      </c>
      <c r="F73" s="5">
        <f t="shared" si="7"/>
        <v>0</v>
      </c>
      <c r="G73" s="5">
        <f t="shared" si="7"/>
        <v>0</v>
      </c>
      <c r="H73" s="5">
        <f t="shared" si="7"/>
        <v>0</v>
      </c>
      <c r="I73" s="5">
        <f t="shared" si="7"/>
        <v>0</v>
      </c>
      <c r="J73" s="5">
        <f t="shared" si="7"/>
        <v>0</v>
      </c>
      <c r="K73" s="5">
        <f t="shared" si="7"/>
        <v>0</v>
      </c>
      <c r="L73" s="5">
        <f t="shared" si="7"/>
        <v>0</v>
      </c>
      <c r="M73" s="5">
        <f t="shared" si="7"/>
        <v>0</v>
      </c>
      <c r="N73" s="5">
        <f t="shared" si="7"/>
        <v>0</v>
      </c>
      <c r="O73" s="5">
        <f t="shared" si="7"/>
        <v>0</v>
      </c>
      <c r="P73" s="19"/>
      <c r="Q73" s="5">
        <f>IFERROR(Q72/Q10,0)</f>
        <v>0</v>
      </c>
    </row>
    <row r="74" spans="1:17" ht="15" customHeight="1" x14ac:dyDescent="0.3">
      <c r="A74" s="6"/>
      <c r="B74" s="6"/>
      <c r="C74" s="6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Q74" s="4"/>
    </row>
    <row r="75" spans="1:17" ht="15" customHeight="1" x14ac:dyDescent="0.3">
      <c r="A75" s="6"/>
      <c r="B75" s="6"/>
      <c r="C75" s="6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Q75" s="4"/>
    </row>
    <row r="76" spans="1:17" s="37" customFormat="1" ht="15.75" customHeight="1" x14ac:dyDescent="0.3">
      <c r="A76" s="7"/>
      <c r="B76" s="18" t="s">
        <v>293</v>
      </c>
      <c r="C76" s="18"/>
      <c r="D76" s="8">
        <f t="shared" ref="D76:O76" si="8">IFERROR(SUM(D72:D75),0)</f>
        <v>-41601.359999999993</v>
      </c>
      <c r="E76" s="8">
        <f t="shared" si="8"/>
        <v>-40690.090000000004</v>
      </c>
      <c r="F76" s="8">
        <f t="shared" si="8"/>
        <v>-37567.949999999997</v>
      </c>
      <c r="G76" s="8">
        <f t="shared" si="8"/>
        <v>-46230.25</v>
      </c>
      <c r="H76" s="8">
        <f t="shared" si="8"/>
        <v>-38788.509999999995</v>
      </c>
      <c r="I76" s="8">
        <f t="shared" si="8"/>
        <v>-38170.729999999989</v>
      </c>
      <c r="J76" s="8">
        <f t="shared" si="8"/>
        <v>-51286.950000000004</v>
      </c>
      <c r="K76" s="8">
        <f t="shared" si="8"/>
        <v>-38686.189999999995</v>
      </c>
      <c r="L76" s="8">
        <f t="shared" si="8"/>
        <v>-75317.290000000008</v>
      </c>
      <c r="M76" s="8">
        <f t="shared" si="8"/>
        <v>-41702.980000000003</v>
      </c>
      <c r="N76" s="8">
        <f t="shared" si="8"/>
        <v>-36641.142056307675</v>
      </c>
      <c r="O76" s="8">
        <f t="shared" si="8"/>
        <v>-36732.855608307669</v>
      </c>
      <c r="Q76" s="8">
        <f>IFERROR(SUM(Q72:Q75),0)</f>
        <v>-523416.29766461533</v>
      </c>
    </row>
    <row r="77" spans="1:17" ht="15.75" customHeight="1" x14ac:dyDescent="0.3">
      <c r="A77" s="6"/>
      <c r="C77" s="6"/>
      <c r="D77" s="5">
        <f t="shared" ref="D77:O77" si="9">IFERROR(D76/D10,0)</f>
        <v>0</v>
      </c>
      <c r="E77" s="5">
        <f t="shared" si="9"/>
        <v>0</v>
      </c>
      <c r="F77" s="5">
        <f t="shared" si="9"/>
        <v>0</v>
      </c>
      <c r="G77" s="5">
        <f t="shared" si="9"/>
        <v>0</v>
      </c>
      <c r="H77" s="5">
        <f t="shared" si="9"/>
        <v>0</v>
      </c>
      <c r="I77" s="5">
        <f t="shared" si="9"/>
        <v>0</v>
      </c>
      <c r="J77" s="5">
        <f t="shared" si="9"/>
        <v>0</v>
      </c>
      <c r="K77" s="5">
        <f t="shared" si="9"/>
        <v>0</v>
      </c>
      <c r="L77" s="5">
        <f t="shared" si="9"/>
        <v>0</v>
      </c>
      <c r="M77" s="5">
        <f t="shared" si="9"/>
        <v>0</v>
      </c>
      <c r="N77" s="5">
        <f t="shared" si="9"/>
        <v>0</v>
      </c>
      <c r="O77" s="5">
        <f t="shared" si="9"/>
        <v>0</v>
      </c>
      <c r="P77" s="19"/>
      <c r="Q77" s="5">
        <f>IFERROR(Q76/Q10,0)</f>
        <v>0</v>
      </c>
    </row>
    <row r="78" spans="1:17" ht="15" customHeight="1" x14ac:dyDescent="0.3">
      <c r="A78" s="6"/>
      <c r="B78" s="33">
        <v>44694.892891863426</v>
      </c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Q78" s="14"/>
    </row>
    <row r="79" spans="1:17" ht="15" customHeight="1" x14ac:dyDescent="0.3">
      <c r="A79" s="6"/>
      <c r="B79" s="31" t="s">
        <v>294</v>
      </c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Q79" s="14"/>
    </row>
    <row r="80" spans="1:17" ht="15" customHeight="1" x14ac:dyDescent="0.3">
      <c r="A80" s="6"/>
      <c r="B80" s="27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Q80" s="14"/>
    </row>
    <row r="81" spans="4:17" ht="15" customHeight="1" x14ac:dyDescent="0.3"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Q8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CFBFF-3BCB-B058-4655-0E79E9309D93}">
  <sheetPr>
    <tabColor rgb="FF92D050"/>
    <outlinePr summaryBelow="0" summaryRight="0"/>
    <pageSetUpPr fitToPage="1"/>
  </sheetPr>
  <dimension ref="A2:R88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","203"," - ","Human Resources")</f>
        <v>Department 203 - Human Resources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9">
        <f t="shared" ref="D14:O14" si="2">IFERROR(+D10-D12,0)</f>
        <v>0</v>
      </c>
      <c r="E14" s="9">
        <f t="shared" si="2"/>
        <v>0</v>
      </c>
      <c r="F14" s="9">
        <f t="shared" si="2"/>
        <v>0</v>
      </c>
      <c r="G14" s="9">
        <f t="shared" si="2"/>
        <v>0</v>
      </c>
      <c r="H14" s="9">
        <f t="shared" si="2"/>
        <v>0</v>
      </c>
      <c r="I14" s="9">
        <f t="shared" si="2"/>
        <v>0</v>
      </c>
      <c r="J14" s="9">
        <f t="shared" si="2"/>
        <v>0</v>
      </c>
      <c r="K14" s="9">
        <f t="shared" si="2"/>
        <v>0</v>
      </c>
      <c r="L14" s="9">
        <f t="shared" si="2"/>
        <v>0</v>
      </c>
      <c r="M14" s="9">
        <f t="shared" si="2"/>
        <v>0</v>
      </c>
      <c r="N14" s="9">
        <f t="shared" si="2"/>
        <v>0</v>
      </c>
      <c r="O14" s="9">
        <f t="shared" si="2"/>
        <v>0</v>
      </c>
      <c r="Q14" s="9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2" cm="1">
        <f t="array" ref="D17">SUM(OSRRefD20x_0)</f>
        <v>58630.380000000005</v>
      </c>
      <c r="E17" s="12" cm="1">
        <f t="array" ref="E17">SUM(OSRRefD20x_1)</f>
        <v>47897.97</v>
      </c>
      <c r="F17" s="12" cm="1">
        <f t="array" ref="F17">SUM(OSRRefD20x_2)</f>
        <v>47199.6</v>
      </c>
      <c r="G17" s="12" cm="1">
        <f t="array" ref="G17">SUM(OSRRefD20x_3)</f>
        <v>63484.42</v>
      </c>
      <c r="H17" s="12" cm="1">
        <f t="array" ref="H17">SUM(OSRRefD20x_4)</f>
        <v>46633.59</v>
      </c>
      <c r="I17" s="12" cm="1">
        <f t="array" ref="I17">SUM(OSRRefD20x_5)</f>
        <v>55888.94</v>
      </c>
      <c r="J17" s="12" cm="1">
        <f t="array" ref="J17">SUM(OSRRefD20x_6)</f>
        <v>65576.819999999992</v>
      </c>
      <c r="K17" s="12" cm="1">
        <f t="array" ref="K17">SUM(OSRRefD20x_7)</f>
        <v>63102.470000000008</v>
      </c>
      <c r="L17" s="12" cm="1">
        <f t="array" ref="L17">SUM(OSRRefD20x_8)</f>
        <v>50925.130000000005</v>
      </c>
      <c r="M17" s="12" cm="1">
        <f t="array" ref="M17">SUM(OSRRefD20x_9)</f>
        <v>68880.219999999987</v>
      </c>
      <c r="N17" s="12" cm="1">
        <f t="array" ref="N17">SUM(OSRRefE20x_0)</f>
        <v>58934.26516968615</v>
      </c>
      <c r="O17" s="12" cm="1">
        <f t="array" ref="O17">SUM(OSRRefE20x_1)</f>
        <v>46434.26516968615</v>
      </c>
      <c r="Q17" s="12" cm="1">
        <f t="array" ref="Q17">SUM(OSRRefG20x)</f>
        <v>673588.07033937227</v>
      </c>
    </row>
    <row r="18" spans="1:17" s="42" customFormat="1" ht="15" customHeight="1" collapsed="1" x14ac:dyDescent="0.3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2">
        <f>SUM(OSRRefD21_0x_0)</f>
        <v>13418.699999999999</v>
      </c>
      <c r="E18" s="2">
        <f>SUM(OSRRefD21_0x_1)</f>
        <v>13739.57</v>
      </c>
      <c r="F18" s="2">
        <f>SUM(OSRRefD21_0x_2)</f>
        <v>13275.89</v>
      </c>
      <c r="G18" s="2">
        <f>SUM(OSRRefD21_0x_3)</f>
        <v>16808.91</v>
      </c>
      <c r="H18" s="2">
        <f>SUM(OSRRefD21_0x_4)</f>
        <v>13930.62</v>
      </c>
      <c r="I18" s="2">
        <f>SUM(OSRRefD21_0x_5)</f>
        <v>16913.25</v>
      </c>
      <c r="J18" s="2">
        <f>SUM(OSRRefD21_0x_6)</f>
        <v>20905.59</v>
      </c>
      <c r="K18" s="2">
        <f>SUM(OSRRefD21_0x_7)</f>
        <v>12629.050000000001</v>
      </c>
      <c r="L18" s="2">
        <f>SUM(OSRRefD21_0x_8)</f>
        <v>12760.820000000003</v>
      </c>
      <c r="M18" s="2">
        <f>SUM(OSRRefD21_0x_9)</f>
        <v>25067.250000000004</v>
      </c>
      <c r="N18" s="2">
        <f>SUM(OSRRefE21_0x_0)</f>
        <v>11218.47940968615</v>
      </c>
      <c r="O18" s="2">
        <f>SUM(OSRRefE21_0x_1)</f>
        <v>11214.47940968615</v>
      </c>
      <c r="Q18" s="3">
        <f>SUM(OSRRefD20_0x)+IFERROR(SUM(OSRRefE20_0x),0)</f>
        <v>181882.60881937228</v>
      </c>
    </row>
    <row r="19" spans="1:17" s="42" customFormat="1" ht="15" hidden="1" customHeight="1" outlineLevel="1" x14ac:dyDescent="0.3">
      <c r="A19" s="34"/>
      <c r="B19" s="11" t="str">
        <f>CONCATENATE("          ","6111"," - ","F.I.C.A.")</f>
        <v xml:space="preserve">          6111 - F.I.C.A.</v>
      </c>
      <c r="C19" s="15"/>
      <c r="D19" s="3">
        <v>2117.13</v>
      </c>
      <c r="E19" s="3">
        <v>2066.4499999999998</v>
      </c>
      <c r="F19" s="3">
        <v>2089.84</v>
      </c>
      <c r="G19" s="3">
        <v>3274.4</v>
      </c>
      <c r="H19" s="3">
        <v>2233.5300000000002</v>
      </c>
      <c r="I19" s="3">
        <v>2257.63</v>
      </c>
      <c r="J19" s="3">
        <v>2328.75</v>
      </c>
      <c r="K19" s="3">
        <v>2298.42</v>
      </c>
      <c r="L19" s="3">
        <v>2289.5500000000002</v>
      </c>
      <c r="M19" s="3">
        <v>3416.23</v>
      </c>
      <c r="N19" s="3">
        <v>1560.2483342400001</v>
      </c>
      <c r="O19" s="3">
        <v>1560.2483342400001</v>
      </c>
      <c r="P19" s="10"/>
      <c r="Q19" s="3">
        <f>SUM(OSRRefD21_0_0x)+IFERROR(SUM(OSRRefE21_0_0x),0)</f>
        <v>27492.426668480002</v>
      </c>
    </row>
    <row r="20" spans="1:17" s="42" customFormat="1" ht="15" hidden="1" customHeight="1" outlineLevel="1" x14ac:dyDescent="0.3">
      <c r="A20" s="34"/>
      <c r="B20" s="11" t="str">
        <f>CONCATENATE("          ","6112"," - ","COMPENSATION INSURANCE")</f>
        <v xml:space="preserve">          6112 - COMPENSATION INSURANCE</v>
      </c>
      <c r="C20" s="15"/>
      <c r="D20" s="3">
        <v>355.88</v>
      </c>
      <c r="E20" s="3">
        <v>345.88</v>
      </c>
      <c r="F20" s="3">
        <v>350.94</v>
      </c>
      <c r="G20" s="3">
        <v>548.39</v>
      </c>
      <c r="H20" s="3">
        <v>374.33</v>
      </c>
      <c r="I20" s="3">
        <v>375.29</v>
      </c>
      <c r="J20" s="3">
        <v>389.69</v>
      </c>
      <c r="K20" s="3">
        <v>384.16</v>
      </c>
      <c r="L20" s="3">
        <v>383.38</v>
      </c>
      <c r="M20" s="3">
        <v>381.59</v>
      </c>
      <c r="N20" s="3">
        <v>81.800964800000003</v>
      </c>
      <c r="O20" s="3">
        <v>81.800964800000003</v>
      </c>
      <c r="P20" s="10"/>
      <c r="Q20" s="3">
        <f>SUM(OSRRefD21_0_1x)+IFERROR(SUM(OSRRefE21_0_1x),0)</f>
        <v>4053.1319296000001</v>
      </c>
    </row>
    <row r="21" spans="1:17" s="42" customFormat="1" ht="15" hidden="1" customHeight="1" outlineLevel="1" x14ac:dyDescent="0.3">
      <c r="A21" s="34"/>
      <c r="B21" s="11" t="str">
        <f>CONCATENATE("          ","6113"," - ","GROUP INSURANCE")</f>
        <v xml:space="preserve">          6113 - GROUP INSURANCE</v>
      </c>
      <c r="C21" s="15"/>
      <c r="D21" s="3">
        <v>6048.94</v>
      </c>
      <c r="E21" s="3">
        <v>6048.94</v>
      </c>
      <c r="F21" s="3">
        <v>6082.69</v>
      </c>
      <c r="G21" s="3">
        <v>6048.94</v>
      </c>
      <c r="H21" s="3">
        <v>6048.94</v>
      </c>
      <c r="I21" s="3">
        <v>6048.94</v>
      </c>
      <c r="J21" s="3">
        <v>5574.36</v>
      </c>
      <c r="K21" s="3">
        <v>5574.36</v>
      </c>
      <c r="L21" s="3">
        <v>5574.36</v>
      </c>
      <c r="M21" s="3">
        <v>5574.36</v>
      </c>
      <c r="N21" s="3">
        <v>6238.8461538461497</v>
      </c>
      <c r="O21" s="3">
        <v>6238.8461538461497</v>
      </c>
      <c r="P21" s="10"/>
      <c r="Q21" s="3">
        <f>SUM(OSRRefD21_0_2x)+IFERROR(SUM(OSRRefE21_0_2x),0)</f>
        <v>71102.522307692299</v>
      </c>
    </row>
    <row r="22" spans="1:17" s="42" customFormat="1" ht="15" hidden="1" customHeight="1" outlineLevel="1" x14ac:dyDescent="0.3">
      <c r="A22" s="34"/>
      <c r="B22" s="11" t="str">
        <f>CONCATENATE("          ","6114"," - ","STATE UNEMPLOYMENT INSURANCE")</f>
        <v xml:space="preserve">          6114 - STATE UNEMPLOYMENT INSURANCE</v>
      </c>
      <c r="C22" s="15"/>
      <c r="D22" s="3">
        <v>71.73</v>
      </c>
      <c r="E22" s="3">
        <v>69.709999999999994</v>
      </c>
      <c r="F22" s="3">
        <v>70.73</v>
      </c>
      <c r="G22" s="3">
        <v>110.53</v>
      </c>
      <c r="H22" s="3">
        <v>75.45</v>
      </c>
      <c r="I22" s="3">
        <v>75.64</v>
      </c>
      <c r="J22" s="3">
        <v>78.540000000000006</v>
      </c>
      <c r="K22" s="3">
        <v>77.430000000000007</v>
      </c>
      <c r="L22" s="3">
        <v>77.27</v>
      </c>
      <c r="M22" s="3">
        <v>76.91</v>
      </c>
      <c r="N22" s="3">
        <v>55.413556800000002</v>
      </c>
      <c r="O22" s="3">
        <v>55.413556800000002</v>
      </c>
      <c r="P22" s="10"/>
      <c r="Q22" s="3">
        <f>SUM(OSRRefD21_0_3x)+IFERROR(SUM(OSRRefE21_0_3x),0)</f>
        <v>894.7671135999999</v>
      </c>
    </row>
    <row r="23" spans="1:17" s="42" customFormat="1" ht="15" hidden="1" customHeight="1" outlineLevel="1" x14ac:dyDescent="0.3">
      <c r="A23" s="34"/>
      <c r="B23" s="11" t="str">
        <f>CONCATENATE("          ","6115"," - ","P.E.R.S.")</f>
        <v xml:space="preserve">          6115 - P.E.R.S.</v>
      </c>
      <c r="C23" s="15"/>
      <c r="D23" s="3">
        <v>1238.02</v>
      </c>
      <c r="E23" s="3">
        <v>1238.02</v>
      </c>
      <c r="F23" s="3">
        <v>1238.02</v>
      </c>
      <c r="G23" s="3">
        <v>1857.03</v>
      </c>
      <c r="H23" s="3">
        <v>1287.54</v>
      </c>
      <c r="I23" s="3">
        <v>1287.54</v>
      </c>
      <c r="J23" s="3">
        <v>1287.54</v>
      </c>
      <c r="K23" s="3">
        <v>1287.54</v>
      </c>
      <c r="L23" s="3">
        <v>1287.54</v>
      </c>
      <c r="M23" s="3">
        <v>1866.94</v>
      </c>
      <c r="N23" s="3">
        <v>885.8</v>
      </c>
      <c r="O23" s="3">
        <v>885.8</v>
      </c>
      <c r="P23" s="10"/>
      <c r="Q23" s="3">
        <f>SUM(OSRRefD21_0_4x)+IFERROR(SUM(OSRRefE21_0_4x),0)</f>
        <v>15647.330000000002</v>
      </c>
    </row>
    <row r="24" spans="1:17" s="42" customFormat="1" ht="15" hidden="1" customHeight="1" outlineLevel="1" x14ac:dyDescent="0.3">
      <c r="A24" s="34"/>
      <c r="B24" s="11" t="str">
        <f>CONCATENATE("          ","6116"," - ","EDUCATIONAL BENEFITS")</f>
        <v xml:space="preserve">          6116 - EDUCATIONAL BENEFITS</v>
      </c>
      <c r="C24" s="15"/>
      <c r="D24" s="3"/>
      <c r="E24" s="3"/>
      <c r="F24" s="3"/>
      <c r="G24" s="3"/>
      <c r="H24" s="3"/>
      <c r="I24" s="3">
        <v>2636</v>
      </c>
      <c r="J24" s="3"/>
      <c r="K24" s="3"/>
      <c r="L24" s="3"/>
      <c r="M24" s="3">
        <v>2219</v>
      </c>
      <c r="N24" s="3">
        <v>417</v>
      </c>
      <c r="O24" s="3">
        <v>413</v>
      </c>
      <c r="P24" s="10"/>
      <c r="Q24" s="3">
        <f>SUM(OSRRefD21_0_5x)+IFERROR(SUM(OSRRefE21_0_5x),0)</f>
        <v>5685</v>
      </c>
    </row>
    <row r="25" spans="1:17" s="42" customFormat="1" ht="15" hidden="1" customHeight="1" outlineLevel="1" x14ac:dyDescent="0.3">
      <c r="A25" s="34"/>
      <c r="B25" s="11" t="str">
        <f>CONCATENATE("          ","6117"," - ","RETIREMENT STAFF HOURLY")</f>
        <v xml:space="preserve">          6117 - RETIREMENT STAFF HOURLY</v>
      </c>
      <c r="C25" s="15"/>
      <c r="D25" s="3">
        <v>603.48</v>
      </c>
      <c r="E25" s="3">
        <v>939.2</v>
      </c>
      <c r="F25" s="3">
        <v>307.75</v>
      </c>
      <c r="G25" s="3">
        <v>631.9</v>
      </c>
      <c r="H25" s="3">
        <v>644.66999999999996</v>
      </c>
      <c r="I25" s="3">
        <v>654.36</v>
      </c>
      <c r="J25" s="3">
        <v>4180.92</v>
      </c>
      <c r="K25" s="3">
        <v>680.31</v>
      </c>
      <c r="L25" s="3">
        <v>682.41</v>
      </c>
      <c r="M25" s="3">
        <v>7512.05</v>
      </c>
      <c r="N25" s="3"/>
      <c r="O25" s="3"/>
      <c r="P25" s="10"/>
      <c r="Q25" s="3">
        <f>SUM(OSRRefD21_0_6x)+IFERROR(SUM(OSRRefE21_0_6x),0)</f>
        <v>16837.05</v>
      </c>
    </row>
    <row r="26" spans="1:17" s="42" customFormat="1" ht="15" hidden="1" customHeight="1" outlineLevel="1" x14ac:dyDescent="0.3">
      <c r="A26" s="34"/>
      <c r="B26" s="11" t="str">
        <f>CONCATENATE("          ","6118"," - ","VACATION")</f>
        <v xml:space="preserve">          6118 - VACATION</v>
      </c>
      <c r="C26" s="15"/>
      <c r="D26" s="3">
        <v>1769.48</v>
      </c>
      <c r="E26" s="3">
        <v>1769.48</v>
      </c>
      <c r="F26" s="3">
        <v>1769.48</v>
      </c>
      <c r="G26" s="3">
        <v>2167.06</v>
      </c>
      <c r="H26" s="3">
        <v>1840.24</v>
      </c>
      <c r="I26" s="3">
        <v>1986.81</v>
      </c>
      <c r="J26" s="3">
        <v>3549.95</v>
      </c>
      <c r="K26" s="3">
        <v>781.36</v>
      </c>
      <c r="L26" s="3">
        <v>781.36</v>
      </c>
      <c r="M26" s="3">
        <v>1763.74</v>
      </c>
      <c r="N26" s="3">
        <v>731.62224000000003</v>
      </c>
      <c r="O26" s="3">
        <v>731.62224000000003</v>
      </c>
      <c r="P26" s="10"/>
      <c r="Q26" s="3">
        <f>SUM(OSRRefD21_0_7x)+IFERROR(SUM(OSRRefE21_0_7x),0)</f>
        <v>19642.204480000004</v>
      </c>
    </row>
    <row r="27" spans="1:17" s="42" customFormat="1" ht="15" hidden="1" customHeight="1" outlineLevel="1" x14ac:dyDescent="0.3">
      <c r="A27" s="34"/>
      <c r="B27" s="11" t="str">
        <f>CONCATENATE("          ","6119"," - ","SICK LEAVE")</f>
        <v xml:space="preserve">          6119 - SICK LEAVE</v>
      </c>
      <c r="C27" s="15"/>
      <c r="D27" s="3">
        <v>1161.08</v>
      </c>
      <c r="E27" s="3">
        <v>1161.08</v>
      </c>
      <c r="F27" s="3">
        <v>1161.08</v>
      </c>
      <c r="G27" s="3">
        <v>1741.62</v>
      </c>
      <c r="H27" s="3">
        <v>1207.52</v>
      </c>
      <c r="I27" s="3">
        <v>1329.74</v>
      </c>
      <c r="J27" s="3">
        <v>3341.16</v>
      </c>
      <c r="K27" s="3">
        <v>1239.8599999999999</v>
      </c>
      <c r="L27" s="3">
        <v>1239.8599999999999</v>
      </c>
      <c r="M27" s="3">
        <v>1859.79</v>
      </c>
      <c r="N27" s="3">
        <v>547.74815999999998</v>
      </c>
      <c r="O27" s="3">
        <v>547.74815999999998</v>
      </c>
      <c r="P27" s="10"/>
      <c r="Q27" s="3">
        <f>SUM(OSRRefD21_0_8x)+IFERROR(SUM(OSRRefE21_0_8x),0)</f>
        <v>16538.286319999999</v>
      </c>
    </row>
    <row r="28" spans="1:17" s="42" customFormat="1" ht="15" hidden="1" customHeight="1" outlineLevel="1" x14ac:dyDescent="0.3">
      <c r="A28" s="34"/>
      <c r="B28" s="11" t="str">
        <f>CONCATENATE("          ","6156"," - ","EMPLOYEE MEALS")</f>
        <v xml:space="preserve">          6156 - EMPLOYEE MEALS</v>
      </c>
      <c r="C28" s="15"/>
      <c r="D28" s="3">
        <v>52.96</v>
      </c>
      <c r="E28" s="3">
        <v>100.81</v>
      </c>
      <c r="F28" s="3">
        <v>205.36</v>
      </c>
      <c r="G28" s="3">
        <v>429.04</v>
      </c>
      <c r="H28" s="3">
        <v>218.4</v>
      </c>
      <c r="I28" s="3">
        <v>261.3</v>
      </c>
      <c r="J28" s="3">
        <v>174.68</v>
      </c>
      <c r="K28" s="3">
        <v>305.61</v>
      </c>
      <c r="L28" s="3">
        <v>445.09</v>
      </c>
      <c r="M28" s="3">
        <v>396.64</v>
      </c>
      <c r="N28" s="3">
        <v>700</v>
      </c>
      <c r="O28" s="3">
        <v>700</v>
      </c>
      <c r="P28" s="10"/>
      <c r="Q28" s="3">
        <f>SUM(OSRRefD21_0_9x)+IFERROR(SUM(OSRRefE21_0_9x),0)</f>
        <v>3989.8900000000003</v>
      </c>
    </row>
    <row r="29" spans="1:17" s="42" customFormat="1" ht="15" customHeight="1" collapsed="1" x14ac:dyDescent="0.3">
      <c r="A29" s="34"/>
      <c r="B29" s="15" t="str">
        <f>CONCATENATE("     ","*Payroll                                          ")</f>
        <v xml:space="preserve">     *Payroll                                          </v>
      </c>
      <c r="C29" s="15"/>
      <c r="D29" s="2">
        <f>SUM(OSRRefD21_1x_0)</f>
        <v>32156.34</v>
      </c>
      <c r="E29" s="2">
        <f>SUM(OSRRefD21_1x_1)</f>
        <v>26368.9</v>
      </c>
      <c r="F29" s="2">
        <f>SUM(OSRRefD21_1x_2)</f>
        <v>26130.02</v>
      </c>
      <c r="G29" s="2">
        <f>SUM(OSRRefD21_1x_3)</f>
        <v>33194.06</v>
      </c>
      <c r="H29" s="2">
        <f>SUM(OSRRefD21_1x_4)</f>
        <v>24484.95</v>
      </c>
      <c r="I29" s="2">
        <f>SUM(OSRRefD21_1x_5)</f>
        <v>28164.43</v>
      </c>
      <c r="J29" s="2">
        <f>SUM(OSRRefD21_1x_6)</f>
        <v>36366.44</v>
      </c>
      <c r="K29" s="2">
        <f>SUM(OSRRefD21_1x_7)</f>
        <v>29160.65</v>
      </c>
      <c r="L29" s="2">
        <f>SUM(OSRRefD21_1x_8)</f>
        <v>28775.86</v>
      </c>
      <c r="M29" s="2">
        <f>SUM(OSRRefD21_1x_9)</f>
        <v>33053.9</v>
      </c>
      <c r="N29" s="2">
        <f>SUM(OSRRefE21_1x_0)</f>
        <v>23449.785759999999</v>
      </c>
      <c r="O29" s="2">
        <f>SUM(OSRRefE21_1x_1)</f>
        <v>23449.785759999999</v>
      </c>
      <c r="Q29" s="3">
        <f>SUM(OSRRefD20_1x)+IFERROR(SUM(OSRRefE20_1x),0)</f>
        <v>344755.12152000004</v>
      </c>
    </row>
    <row r="30" spans="1:17" s="42" customFormat="1" ht="15" hidden="1" customHeight="1" outlineLevel="1" x14ac:dyDescent="0.3">
      <c r="A30" s="34"/>
      <c r="B30" s="11" t="str">
        <f>CONCATENATE("          ","6001"," - ","ADMINISTRATIVE SALARIES")</f>
        <v xml:space="preserve">          6001 - ADMINISTRATIVE SALARIES</v>
      </c>
      <c r="C30" s="15"/>
      <c r="D30" s="3">
        <v>13086</v>
      </c>
      <c r="E30" s="3">
        <v>11378.88</v>
      </c>
      <c r="F30" s="3">
        <v>10240.99</v>
      </c>
      <c r="G30" s="3">
        <v>13085.43</v>
      </c>
      <c r="H30" s="3">
        <v>7692.12</v>
      </c>
      <c r="I30" s="3">
        <v>11242.34</v>
      </c>
      <c r="J30" s="3">
        <v>14793.04</v>
      </c>
      <c r="K30" s="3">
        <v>11834.04</v>
      </c>
      <c r="L30" s="3">
        <v>11834.04</v>
      </c>
      <c r="M30" s="3">
        <v>13608.66</v>
      </c>
      <c r="N30" s="3">
        <v>9785</v>
      </c>
      <c r="O30" s="3">
        <v>9785</v>
      </c>
      <c r="P30" s="10"/>
      <c r="Q30" s="3">
        <f>SUM(OSRRefD21_1_0x)+IFERROR(SUM(OSRRefE21_1_0x),0)</f>
        <v>138365.54</v>
      </c>
    </row>
    <row r="31" spans="1:17" s="42" customFormat="1" ht="15" hidden="1" customHeight="1" outlineLevel="1" x14ac:dyDescent="0.3">
      <c r="A31" s="34"/>
      <c r="B31" s="11" t="str">
        <f>CONCATENATE("          ","6002"," - ","STAFF SALARIES")</f>
        <v xml:space="preserve">          6002 - STAFF SALARIES</v>
      </c>
      <c r="C31" s="15"/>
      <c r="D31" s="3"/>
      <c r="E31" s="3"/>
      <c r="F31" s="3"/>
      <c r="G31" s="3"/>
      <c r="H31" s="3">
        <v>18.5</v>
      </c>
      <c r="I31" s="3"/>
      <c r="J31" s="3"/>
      <c r="K31" s="3"/>
      <c r="L31" s="3"/>
      <c r="M31" s="3"/>
      <c r="N31" s="3">
        <v>0</v>
      </c>
      <c r="O31" s="3">
        <v>0</v>
      </c>
      <c r="P31" s="10"/>
      <c r="Q31" s="3">
        <f>SUM(OSRRefD21_1_1x)+IFERROR(SUM(OSRRefE21_1_1x),0)</f>
        <v>18.5</v>
      </c>
    </row>
    <row r="32" spans="1:17" s="42" customFormat="1" ht="15" hidden="1" customHeight="1" outlineLevel="1" x14ac:dyDescent="0.3">
      <c r="A32" s="34"/>
      <c r="B32" s="11" t="str">
        <f>CONCATENATE("          ","6003"," - ","STAFF HOURLY-9 MONTH")</f>
        <v xml:space="preserve">          6003 - STAFF HOURLY-9 MONTH</v>
      </c>
      <c r="C32" s="15"/>
      <c r="D32" s="3"/>
      <c r="E32" s="3"/>
      <c r="F32" s="3"/>
      <c r="G32" s="3"/>
      <c r="H32" s="3"/>
      <c r="I32" s="3"/>
      <c r="J32" s="3"/>
      <c r="K32" s="3"/>
      <c r="L32" s="3"/>
      <c r="M32" s="3"/>
      <c r="N32" s="3">
        <v>0</v>
      </c>
      <c r="O32" s="3">
        <v>0</v>
      </c>
      <c r="P32" s="10"/>
      <c r="Q32" s="3">
        <f>SUM(OSRRefD21_1_2x)+IFERROR(SUM(OSRRefE21_1_2x),0)</f>
        <v>0</v>
      </c>
    </row>
    <row r="33" spans="1:17" s="42" customFormat="1" ht="15" hidden="1" customHeight="1" outlineLevel="1" x14ac:dyDescent="0.3">
      <c r="A33" s="34"/>
      <c r="B33" s="11" t="str">
        <f>CONCATENATE("          ","6004"," - ","STAFF HOURLY")</f>
        <v xml:space="preserve">          6004 - STAFF HOURLY</v>
      </c>
      <c r="C33" s="15"/>
      <c r="D33" s="3">
        <v>13206.34</v>
      </c>
      <c r="E33" s="3">
        <v>14290.77</v>
      </c>
      <c r="F33" s="3">
        <v>13719.78</v>
      </c>
      <c r="G33" s="3">
        <v>20959.38</v>
      </c>
      <c r="H33" s="3">
        <v>14748.94</v>
      </c>
      <c r="I33" s="3">
        <v>14607.07</v>
      </c>
      <c r="J33" s="3">
        <v>15273.15</v>
      </c>
      <c r="K33" s="3">
        <v>19234.330000000002</v>
      </c>
      <c r="L33" s="3">
        <v>11202.05</v>
      </c>
      <c r="M33" s="3">
        <v>20482.61</v>
      </c>
      <c r="N33" s="3">
        <v>9784.7857600000007</v>
      </c>
      <c r="O33" s="3">
        <v>9784.7857600000007</v>
      </c>
      <c r="P33" s="10"/>
      <c r="Q33" s="3">
        <f>SUM(OSRRefD21_1_3x)+IFERROR(SUM(OSRRefE21_1_3x),0)</f>
        <v>177293.99151999998</v>
      </c>
    </row>
    <row r="34" spans="1:17" s="42" customFormat="1" ht="15" hidden="1" customHeight="1" outlineLevel="1" x14ac:dyDescent="0.3">
      <c r="A34" s="34"/>
      <c r="B34" s="11" t="str">
        <f>CONCATENATE("          ","6005"," - ","TEMPORARY WAGES-HOURLY")</f>
        <v xml:space="preserve">          6005 - TEMPORARY WAGES-HOURLY</v>
      </c>
      <c r="C34" s="15"/>
      <c r="D34" s="3">
        <v>2027</v>
      </c>
      <c r="E34" s="3">
        <v>974.25</v>
      </c>
      <c r="F34" s="3">
        <v>1613.25</v>
      </c>
      <c r="G34" s="3">
        <v>3267.25</v>
      </c>
      <c r="H34" s="3">
        <v>2025.39</v>
      </c>
      <c r="I34" s="3">
        <v>2315.02</v>
      </c>
      <c r="J34" s="3">
        <v>2005.25</v>
      </c>
      <c r="K34" s="3">
        <v>2387.2800000000002</v>
      </c>
      <c r="L34" s="3">
        <v>1562.77</v>
      </c>
      <c r="M34" s="3">
        <v>3139.63</v>
      </c>
      <c r="N34" s="3">
        <v>3880</v>
      </c>
      <c r="O34" s="3">
        <v>3880</v>
      </c>
      <c r="P34" s="10"/>
      <c r="Q34" s="3">
        <f>SUM(OSRRefD21_1_4x)+IFERROR(SUM(OSRRefE21_1_4x),0)</f>
        <v>29077.09</v>
      </c>
    </row>
    <row r="35" spans="1:17" s="42" customFormat="1" ht="15" hidden="1" customHeight="1" outlineLevel="1" x14ac:dyDescent="0.3">
      <c r="A35" s="34"/>
      <c r="B35" s="11" t="str">
        <f>CONCATENATE("          ","6006"," - ","TEMPORARY PART TIME")</f>
        <v xml:space="preserve">          6006 - TEMPORARY PART TIME</v>
      </c>
      <c r="C35" s="15"/>
      <c r="D35" s="3"/>
      <c r="E35" s="3"/>
      <c r="F35" s="3"/>
      <c r="G35" s="3"/>
      <c r="H35" s="3"/>
      <c r="I35" s="3"/>
      <c r="J35" s="3"/>
      <c r="K35" s="3"/>
      <c r="L35" s="3"/>
      <c r="M35" s="3"/>
      <c r="N35" s="3">
        <v>0</v>
      </c>
      <c r="O35" s="3">
        <v>0</v>
      </c>
      <c r="P35" s="10"/>
      <c r="Q35" s="3">
        <f>SUM(OSRRefD21_1_5x)+IFERROR(SUM(OSRRefE21_1_5x),0)</f>
        <v>0</v>
      </c>
    </row>
    <row r="36" spans="1:17" s="42" customFormat="1" ht="15" hidden="1" customHeight="1" outlineLevel="1" x14ac:dyDescent="0.3">
      <c r="A36" s="34"/>
      <c r="B36" s="11" t="str">
        <f>CONCATENATE("          ","6007"," - ","STUDENT HOURLY")</f>
        <v xml:space="preserve">          6007 - STUDENT HOURLY</v>
      </c>
      <c r="C36" s="15"/>
      <c r="D36" s="3">
        <v>3837</v>
      </c>
      <c r="E36" s="3">
        <v>-275</v>
      </c>
      <c r="F36" s="3">
        <v>556</v>
      </c>
      <c r="G36" s="3">
        <v>-4118</v>
      </c>
      <c r="H36" s="3"/>
      <c r="I36" s="3"/>
      <c r="J36" s="3">
        <v>4295</v>
      </c>
      <c r="K36" s="3">
        <v>-4295</v>
      </c>
      <c r="L36" s="3">
        <v>4177</v>
      </c>
      <c r="M36" s="3">
        <v>-4177</v>
      </c>
      <c r="N36" s="3">
        <v>0</v>
      </c>
      <c r="O36" s="3">
        <v>0</v>
      </c>
      <c r="P36" s="10"/>
      <c r="Q36" s="3">
        <f>SUM(OSRRefD21_1_6x)+IFERROR(SUM(OSRRefE21_1_6x),0)</f>
        <v>0</v>
      </c>
    </row>
    <row r="37" spans="1:17" s="42" customFormat="1" ht="15" hidden="1" customHeight="1" outlineLevel="1" x14ac:dyDescent="0.3">
      <c r="A37" s="34"/>
      <c r="B37" s="11" t="str">
        <f>CONCATENATE("          ","6008"," - ","STUDENT HOURLY-FICA EXEMPT")</f>
        <v xml:space="preserve">          6008 - STUDENT HOURLY-FICA EXEMPT</v>
      </c>
      <c r="C37" s="15"/>
      <c r="D37" s="3"/>
      <c r="E37" s="3"/>
      <c r="F37" s="3"/>
      <c r="G37" s="3"/>
      <c r="H37" s="3"/>
      <c r="I37" s="3"/>
      <c r="J37" s="3"/>
      <c r="K37" s="3"/>
      <c r="L37" s="3"/>
      <c r="M37" s="3"/>
      <c r="N37" s="3">
        <v>0</v>
      </c>
      <c r="O37" s="3">
        <v>0</v>
      </c>
      <c r="P37" s="10"/>
      <c r="Q37" s="3">
        <f>SUM(OSRRefD21_1_7x)+IFERROR(SUM(OSRRefE21_1_7x),0)</f>
        <v>0</v>
      </c>
    </row>
    <row r="38" spans="1:17" s="42" customFormat="1" ht="15" hidden="1" customHeight="1" outlineLevel="1" x14ac:dyDescent="0.3">
      <c r="A38" s="34"/>
      <c r="B38" s="11" t="str">
        <f>CONCATENATE("          ","6009"," - ","TEMPORARY-SEASONAL")</f>
        <v xml:space="preserve">          6009 - TEMPORARY-SEASONAL</v>
      </c>
      <c r="C38" s="15"/>
      <c r="D38" s="3"/>
      <c r="E38" s="3"/>
      <c r="F38" s="3"/>
      <c r="G38" s="3"/>
      <c r="H38" s="3"/>
      <c r="I38" s="3"/>
      <c r="J38" s="3"/>
      <c r="K38" s="3"/>
      <c r="L38" s="3"/>
      <c r="M38" s="3"/>
      <c r="N38" s="3">
        <v>0</v>
      </c>
      <c r="O38" s="3">
        <v>0</v>
      </c>
      <c r="P38" s="10"/>
      <c r="Q38" s="3">
        <f>SUM(OSRRefD21_1_8x)+IFERROR(SUM(OSRRefE21_1_8x),0)</f>
        <v>0</v>
      </c>
    </row>
    <row r="39" spans="1:17" s="42" customFormat="1" ht="15" hidden="1" customHeight="1" outlineLevel="1" x14ac:dyDescent="0.3">
      <c r="A39" s="34"/>
      <c r="B39" s="11" t="str">
        <f>CONCATENATE("          ","6010"," - ","GRATUITY")</f>
        <v xml:space="preserve">          6010 - GRATUITY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/>
      <c r="N39" s="3">
        <v>0</v>
      </c>
      <c r="O39" s="3">
        <v>0</v>
      </c>
      <c r="P39" s="10"/>
      <c r="Q39" s="3">
        <f>SUM(OSRRefD21_1_9x)+IFERROR(SUM(OSRRefE21_1_9x),0)</f>
        <v>0</v>
      </c>
    </row>
    <row r="40" spans="1:17" s="42" customFormat="1" ht="15" customHeight="1" collapsed="1" x14ac:dyDescent="0.3">
      <c r="A40" s="34"/>
      <c r="B40" s="15" t="str">
        <f>CONCATENATE("     ","Advertising/Promo                                 ")</f>
        <v xml:space="preserve">     Advertising/Promo                                 </v>
      </c>
      <c r="C40" s="15"/>
      <c r="D40" s="2">
        <f>SUM(OSRRefD21_2x_0)</f>
        <v>0</v>
      </c>
      <c r="E40" s="2">
        <f>SUM(OSRRefD21_2x_1)</f>
        <v>0</v>
      </c>
      <c r="F40" s="2">
        <f>SUM(OSRRefD21_2x_2)</f>
        <v>0</v>
      </c>
      <c r="G40" s="2">
        <f>SUM(OSRRefD21_2x_3)</f>
        <v>87.76</v>
      </c>
      <c r="H40" s="2">
        <f>SUM(OSRRefD21_2x_4)</f>
        <v>255.5</v>
      </c>
      <c r="I40" s="2">
        <f>SUM(OSRRefD21_2x_5)</f>
        <v>0</v>
      </c>
      <c r="J40" s="2">
        <f>SUM(OSRRefD21_2x_6)</f>
        <v>0</v>
      </c>
      <c r="K40" s="2">
        <f>SUM(OSRRefD21_2x_7)</f>
        <v>0</v>
      </c>
      <c r="L40" s="2">
        <f>SUM(OSRRefD21_2x_8)</f>
        <v>71.67</v>
      </c>
      <c r="M40" s="2">
        <f>SUM(OSRRefD21_2x_9)</f>
        <v>231.53</v>
      </c>
      <c r="N40" s="2">
        <f>SUM(OSRRefE21_2x_0)</f>
        <v>150</v>
      </c>
      <c r="O40" s="2">
        <f>SUM(OSRRefE21_2x_1)</f>
        <v>150</v>
      </c>
      <c r="Q40" s="3">
        <f>SUM(OSRRefD20_2x)+IFERROR(SUM(OSRRefE20_2x),0)</f>
        <v>946.46</v>
      </c>
    </row>
    <row r="41" spans="1:17" s="42" customFormat="1" ht="15" hidden="1" customHeight="1" outlineLevel="1" x14ac:dyDescent="0.3">
      <c r="A41" s="34"/>
      <c r="B41" s="11" t="str">
        <f>CONCATENATE("          ","6362"," - ","ADVERTISING EXPENSE")</f>
        <v xml:space="preserve">          6362 - ADVERTISING EXPENSE</v>
      </c>
      <c r="C41" s="15"/>
      <c r="D41" s="3"/>
      <c r="E41" s="3"/>
      <c r="F41" s="3"/>
      <c r="G41" s="3">
        <v>87.76</v>
      </c>
      <c r="H41" s="3">
        <v>255.5</v>
      </c>
      <c r="I41" s="3"/>
      <c r="J41" s="3"/>
      <c r="K41" s="3"/>
      <c r="L41" s="3">
        <v>71.67</v>
      </c>
      <c r="M41" s="3">
        <v>231.53</v>
      </c>
      <c r="N41" s="3">
        <v>150</v>
      </c>
      <c r="O41" s="3">
        <v>150</v>
      </c>
      <c r="P41" s="10"/>
      <c r="Q41" s="3">
        <f>SUM(OSRRefD21_2_0x)+IFERROR(SUM(OSRRefE21_2_0x),0)</f>
        <v>946.46</v>
      </c>
    </row>
    <row r="42" spans="1:17" s="42" customFormat="1" ht="15" customHeight="1" collapsed="1" x14ac:dyDescent="0.3">
      <c r="A42" s="34"/>
      <c r="B42" s="15" t="str">
        <f>CONCATENATE("     ","Employees' Appreciation                           ")</f>
        <v xml:space="preserve">     Employees' Appreciation                           </v>
      </c>
      <c r="C42" s="15"/>
      <c r="D42" s="2">
        <f>SUM(OSRRefD21_3x_0)</f>
        <v>0</v>
      </c>
      <c r="E42" s="2">
        <f>SUM(OSRRefD21_3x_1)</f>
        <v>0</v>
      </c>
      <c r="F42" s="2">
        <f>SUM(OSRRefD21_3x_2)</f>
        <v>0</v>
      </c>
      <c r="G42" s="2">
        <f>SUM(OSRRefD21_3x_3)</f>
        <v>0</v>
      </c>
      <c r="H42" s="2">
        <f>SUM(OSRRefD21_3x_4)</f>
        <v>0</v>
      </c>
      <c r="I42" s="2">
        <f>SUM(OSRRefD21_3x_5)</f>
        <v>0</v>
      </c>
      <c r="J42" s="2">
        <f>SUM(OSRRefD21_3x_6)</f>
        <v>0</v>
      </c>
      <c r="K42" s="2">
        <f>SUM(OSRRefD21_3x_7)</f>
        <v>0</v>
      </c>
      <c r="L42" s="2">
        <f>SUM(OSRRefD21_3x_8)</f>
        <v>114.87</v>
      </c>
      <c r="M42" s="2">
        <f>SUM(OSRRefD21_3x_9)</f>
        <v>0</v>
      </c>
      <c r="N42" s="2">
        <f>SUM(OSRRefE21_3x_0)</f>
        <v>12750</v>
      </c>
      <c r="O42" s="2">
        <f>SUM(OSRRefE21_3x_1)</f>
        <v>250</v>
      </c>
      <c r="Q42" s="3">
        <f>SUM(OSRRefD20_3x)+IFERROR(SUM(OSRRefE20_3x),0)</f>
        <v>13114.87</v>
      </c>
    </row>
    <row r="43" spans="1:17" s="42" customFormat="1" ht="15" hidden="1" customHeight="1" outlineLevel="1" x14ac:dyDescent="0.3">
      <c r="A43" s="34"/>
      <c r="B43" s="11" t="str">
        <f>CONCATENATE("          ","6277"," - ","EMPLOYEE APPRECIATION")</f>
        <v xml:space="preserve">          6277 - EMPLOYEE APPRECIATION</v>
      </c>
      <c r="C43" s="15"/>
      <c r="D43" s="3"/>
      <c r="E43" s="3"/>
      <c r="F43" s="3"/>
      <c r="G43" s="3"/>
      <c r="H43" s="3"/>
      <c r="I43" s="3"/>
      <c r="J43" s="3"/>
      <c r="K43" s="3"/>
      <c r="L43" s="3">
        <v>114.87</v>
      </c>
      <c r="M43" s="3"/>
      <c r="N43" s="3">
        <v>12750</v>
      </c>
      <c r="O43" s="3">
        <v>250</v>
      </c>
      <c r="P43" s="10"/>
      <c r="Q43" s="3">
        <f>SUM(OSRRefD21_3_0x)+IFERROR(SUM(OSRRefE21_3_0x),0)</f>
        <v>13114.87</v>
      </c>
    </row>
    <row r="44" spans="1:17" s="42" customFormat="1" ht="15" customHeight="1" collapsed="1" x14ac:dyDescent="0.3">
      <c r="A44" s="34"/>
      <c r="B44" s="15" t="str">
        <f>CONCATENATE("     ","Equipment Rental                                  ")</f>
        <v xml:space="preserve">     Equipment Rental                                  </v>
      </c>
      <c r="C44" s="15"/>
      <c r="D44" s="2">
        <f>SUM(OSRRefD21_4x_0)</f>
        <v>0</v>
      </c>
      <c r="E44" s="2">
        <f>SUM(OSRRefD21_4x_1)</f>
        <v>0</v>
      </c>
      <c r="F44" s="2">
        <f>SUM(OSRRefD21_4x_2)</f>
        <v>0</v>
      </c>
      <c r="G44" s="2">
        <f>SUM(OSRRefD21_4x_3)</f>
        <v>0</v>
      </c>
      <c r="H44" s="2">
        <f>SUM(OSRRefD21_4x_4)</f>
        <v>0</v>
      </c>
      <c r="I44" s="2">
        <f>SUM(OSRRefD21_4x_5)</f>
        <v>0</v>
      </c>
      <c r="J44" s="2">
        <f>SUM(OSRRefD21_4x_6)</f>
        <v>0</v>
      </c>
      <c r="K44" s="2">
        <f>SUM(OSRRefD21_4x_7)</f>
        <v>0</v>
      </c>
      <c r="L44" s="2">
        <f>SUM(OSRRefD21_4x_8)</f>
        <v>0</v>
      </c>
      <c r="M44" s="2">
        <f>SUM(OSRRefD21_4x_9)</f>
        <v>0</v>
      </c>
      <c r="N44" s="2">
        <f>SUM(OSRRefE21_4x_0)</f>
        <v>75</v>
      </c>
      <c r="O44" s="2">
        <f>SUM(OSRRefE21_4x_1)</f>
        <v>75</v>
      </c>
      <c r="Q44" s="3">
        <f>SUM(OSRRefD20_4x)+IFERROR(SUM(OSRRefE20_4x),0)</f>
        <v>150</v>
      </c>
    </row>
    <row r="45" spans="1:17" s="42" customFormat="1" ht="15" hidden="1" customHeight="1" outlineLevel="1" x14ac:dyDescent="0.3">
      <c r="A45" s="34"/>
      <c r="B45" s="11" t="str">
        <f>CONCATENATE("          ","6351"," - ","EQUIPMENT RENTAL")</f>
        <v xml:space="preserve">          6351 - EQUIPMENT RENTAL</v>
      </c>
      <c r="C45" s="15"/>
      <c r="D45" s="3"/>
      <c r="E45" s="3"/>
      <c r="F45" s="3"/>
      <c r="G45" s="3"/>
      <c r="H45" s="3"/>
      <c r="I45" s="3"/>
      <c r="J45" s="3"/>
      <c r="K45" s="3"/>
      <c r="L45" s="3"/>
      <c r="M45" s="3"/>
      <c r="N45" s="3">
        <v>75</v>
      </c>
      <c r="O45" s="3">
        <v>75</v>
      </c>
      <c r="P45" s="10"/>
      <c r="Q45" s="3">
        <f>SUM(OSRRefD21_4_0x)+IFERROR(SUM(OSRRefE21_4_0x),0)</f>
        <v>150</v>
      </c>
    </row>
    <row r="46" spans="1:17" s="42" customFormat="1" ht="15" customHeight="1" collapsed="1" x14ac:dyDescent="0.3">
      <c r="A46" s="34"/>
      <c r="B46" s="15" t="str">
        <f>CONCATENATE("     ","Freight out/Postage                               ")</f>
        <v xml:space="preserve">     Freight out/Postage                               </v>
      </c>
      <c r="C46" s="15"/>
      <c r="D46" s="2">
        <f>SUM(OSRRefD21_5x_0)</f>
        <v>1.73</v>
      </c>
      <c r="E46" s="2">
        <f>SUM(OSRRefD21_5x_1)</f>
        <v>74.53</v>
      </c>
      <c r="F46" s="2">
        <f>SUM(OSRRefD21_5x_2)</f>
        <v>52.08</v>
      </c>
      <c r="G46" s="2">
        <f>SUM(OSRRefD21_5x_3)</f>
        <v>41.38</v>
      </c>
      <c r="H46" s="2">
        <f>SUM(OSRRefD21_5x_4)</f>
        <v>1.06</v>
      </c>
      <c r="I46" s="2">
        <f>SUM(OSRRefD21_5x_5)</f>
        <v>24.37</v>
      </c>
      <c r="J46" s="2">
        <f>SUM(OSRRefD21_5x_6)</f>
        <v>2.65</v>
      </c>
      <c r="K46" s="2">
        <f>SUM(OSRRefD21_5x_7)</f>
        <v>9.49</v>
      </c>
      <c r="L46" s="2">
        <f>SUM(OSRRefD21_5x_8)</f>
        <v>0.53</v>
      </c>
      <c r="M46" s="2">
        <f>SUM(OSRRefD21_5x_9)</f>
        <v>1.79</v>
      </c>
      <c r="N46" s="2">
        <f>SUM(OSRRefE21_5x_0)</f>
        <v>85</v>
      </c>
      <c r="O46" s="2">
        <f>SUM(OSRRefE21_5x_1)</f>
        <v>85</v>
      </c>
      <c r="Q46" s="3">
        <f>SUM(OSRRefD20_5x)+IFERROR(SUM(OSRRefE20_5x),0)</f>
        <v>379.61</v>
      </c>
    </row>
    <row r="47" spans="1:17" s="42" customFormat="1" ht="15" hidden="1" customHeight="1" outlineLevel="1" x14ac:dyDescent="0.3">
      <c r="A47" s="34"/>
      <c r="B47" s="11" t="str">
        <f>CONCATENATE("          ","6307"," - ","POSTAGE")</f>
        <v xml:space="preserve">          6307 - POSTAGE</v>
      </c>
      <c r="C47" s="15"/>
      <c r="D47" s="3">
        <v>1.73</v>
      </c>
      <c r="E47" s="3">
        <v>74.53</v>
      </c>
      <c r="F47" s="3">
        <v>52.08</v>
      </c>
      <c r="G47" s="3">
        <v>41.38</v>
      </c>
      <c r="H47" s="3">
        <v>1.06</v>
      </c>
      <c r="I47" s="3">
        <v>24.37</v>
      </c>
      <c r="J47" s="3">
        <v>2.65</v>
      </c>
      <c r="K47" s="3">
        <v>9.49</v>
      </c>
      <c r="L47" s="3">
        <v>0.53</v>
      </c>
      <c r="M47" s="3">
        <v>1.79</v>
      </c>
      <c r="N47" s="3">
        <v>85</v>
      </c>
      <c r="O47" s="3">
        <v>85</v>
      </c>
      <c r="P47" s="10"/>
      <c r="Q47" s="3">
        <f>SUM(OSRRefD21_5_0x)+IFERROR(SUM(OSRRefE21_5_0x),0)</f>
        <v>379.61</v>
      </c>
    </row>
    <row r="48" spans="1:17" s="42" customFormat="1" ht="15" customHeight="1" collapsed="1" x14ac:dyDescent="0.3">
      <c r="A48" s="34"/>
      <c r="B48" s="15" t="str">
        <f>CONCATENATE("     ","General                                           ")</f>
        <v xml:space="preserve">     General                                           </v>
      </c>
      <c r="C48" s="15"/>
      <c r="D48" s="2">
        <f>SUM(OSRRefD21_6x_0)</f>
        <v>1029.5</v>
      </c>
      <c r="E48" s="2">
        <f>SUM(OSRRefD21_6x_1)</f>
        <v>200.5</v>
      </c>
      <c r="F48" s="2">
        <f>SUM(OSRRefD21_6x_2)</f>
        <v>890.75</v>
      </c>
      <c r="G48" s="2">
        <f>SUM(OSRRefD21_6x_3)</f>
        <v>188</v>
      </c>
      <c r="H48" s="2">
        <f>SUM(OSRRefD21_6x_4)</f>
        <v>182</v>
      </c>
      <c r="I48" s="2">
        <f>SUM(OSRRefD21_6x_5)</f>
        <v>189.5</v>
      </c>
      <c r="J48" s="2">
        <f>SUM(OSRRefD21_6x_6)</f>
        <v>53.5</v>
      </c>
      <c r="K48" s="2">
        <f>SUM(OSRRefD21_6x_7)</f>
        <v>55.5</v>
      </c>
      <c r="L48" s="2">
        <f>SUM(OSRRefD21_6x_8)</f>
        <v>53.5</v>
      </c>
      <c r="M48" s="2">
        <f>SUM(OSRRefD21_6x_9)</f>
        <v>52.5</v>
      </c>
      <c r="N48" s="2">
        <f>SUM(OSRRefE21_6x_0)</f>
        <v>0</v>
      </c>
      <c r="O48" s="2">
        <f>SUM(OSRRefE21_6x_1)</f>
        <v>0</v>
      </c>
      <c r="Q48" s="3">
        <f>SUM(OSRRefD20_6x)+IFERROR(SUM(OSRRefE20_6x),0)</f>
        <v>2895.25</v>
      </c>
    </row>
    <row r="49" spans="1:17" s="42" customFormat="1" ht="15" hidden="1" customHeight="1" outlineLevel="1" x14ac:dyDescent="0.3">
      <c r="A49" s="34"/>
      <c r="B49" s="11" t="str">
        <f>CONCATENATE("          ","6279"," - ","GENERAL EXPENSE")</f>
        <v xml:space="preserve">          6279 - GENERAL EXPENSE</v>
      </c>
      <c r="C49" s="15"/>
      <c r="D49" s="3">
        <v>1029.5</v>
      </c>
      <c r="E49" s="3">
        <v>200.5</v>
      </c>
      <c r="F49" s="3">
        <v>890.75</v>
      </c>
      <c r="G49" s="3">
        <v>188</v>
      </c>
      <c r="H49" s="3">
        <v>182</v>
      </c>
      <c r="I49" s="3">
        <v>189.5</v>
      </c>
      <c r="J49" s="3">
        <v>53.5</v>
      </c>
      <c r="K49" s="3">
        <v>55.5</v>
      </c>
      <c r="L49" s="3">
        <v>53.5</v>
      </c>
      <c r="M49" s="3">
        <v>52.5</v>
      </c>
      <c r="N49" s="3"/>
      <c r="O49" s="3"/>
      <c r="P49" s="10"/>
      <c r="Q49" s="3">
        <f>SUM(OSRRefD21_6_0x)+IFERROR(SUM(OSRRefE21_6_0x),0)</f>
        <v>2895.25</v>
      </c>
    </row>
    <row r="50" spans="1:17" s="42" customFormat="1" ht="15" customHeight="1" collapsed="1" x14ac:dyDescent="0.3">
      <c r="A50" s="34"/>
      <c r="B50" s="15" t="str">
        <f>CONCATENATE("     ","Insurance                                         ")</f>
        <v xml:space="preserve">     Insurance                                         </v>
      </c>
      <c r="C50" s="15"/>
      <c r="D50" s="2">
        <f>SUM(OSRRefD21_7x_0)</f>
        <v>88.99</v>
      </c>
      <c r="E50" s="2">
        <f>SUM(OSRRefD21_7x_1)</f>
        <v>88.99</v>
      </c>
      <c r="F50" s="2">
        <f>SUM(OSRRefD21_7x_2)</f>
        <v>88.99</v>
      </c>
      <c r="G50" s="2">
        <f>SUM(OSRRefD21_7x_3)</f>
        <v>88.99</v>
      </c>
      <c r="H50" s="2">
        <f>SUM(OSRRefD21_7x_4)</f>
        <v>88.99</v>
      </c>
      <c r="I50" s="2">
        <f>SUM(OSRRefD21_7x_5)</f>
        <v>88.99</v>
      </c>
      <c r="J50" s="2">
        <f>SUM(OSRRefD21_7x_6)</f>
        <v>88.99</v>
      </c>
      <c r="K50" s="2">
        <f>SUM(OSRRefD21_7x_7)</f>
        <v>88.99</v>
      </c>
      <c r="L50" s="2">
        <f>SUM(OSRRefD21_7x_8)</f>
        <v>88.99</v>
      </c>
      <c r="M50" s="2">
        <f>SUM(OSRRefD21_7x_9)</f>
        <v>88.99</v>
      </c>
      <c r="N50" s="2">
        <f>SUM(OSRRefE21_7x_0)</f>
        <v>90</v>
      </c>
      <c r="O50" s="2">
        <f>SUM(OSRRefE21_7x_1)</f>
        <v>90</v>
      </c>
      <c r="Q50" s="3">
        <f>SUM(OSRRefD20_7x)+IFERROR(SUM(OSRRefE20_7x),0)</f>
        <v>1069.9000000000001</v>
      </c>
    </row>
    <row r="51" spans="1:17" s="42" customFormat="1" ht="15" hidden="1" customHeight="1" outlineLevel="1" x14ac:dyDescent="0.3">
      <c r="A51" s="34"/>
      <c r="B51" s="11" t="str">
        <f>CONCATENATE("          ","6314"," - ","LIABILITY INSURANCE")</f>
        <v xml:space="preserve">          6314 - LIABILITY INSURANCE</v>
      </c>
      <c r="C51" s="15"/>
      <c r="D51" s="3">
        <v>88.99</v>
      </c>
      <c r="E51" s="3">
        <v>88.99</v>
      </c>
      <c r="F51" s="3">
        <v>88.99</v>
      </c>
      <c r="G51" s="3">
        <v>88.99</v>
      </c>
      <c r="H51" s="3">
        <v>88.99</v>
      </c>
      <c r="I51" s="3">
        <v>88.99</v>
      </c>
      <c r="J51" s="3">
        <v>88.99</v>
      </c>
      <c r="K51" s="3">
        <v>88.99</v>
      </c>
      <c r="L51" s="3">
        <v>88.99</v>
      </c>
      <c r="M51" s="3">
        <v>88.99</v>
      </c>
      <c r="N51" s="3">
        <v>90</v>
      </c>
      <c r="O51" s="3">
        <v>90</v>
      </c>
      <c r="P51" s="10"/>
      <c r="Q51" s="3">
        <f>SUM(OSRRefD21_7_0x)+IFERROR(SUM(OSRRefE21_7_0x),0)</f>
        <v>1069.9000000000001</v>
      </c>
    </row>
    <row r="52" spans="1:17" s="42" customFormat="1" ht="15" customHeight="1" collapsed="1" x14ac:dyDescent="0.3">
      <c r="A52" s="34"/>
      <c r="B52" s="15" t="str">
        <f>CONCATENATE("     ","Professional Services                             ")</f>
        <v xml:space="preserve">     Professional Services                             </v>
      </c>
      <c r="C52" s="15"/>
      <c r="D52" s="2">
        <f>SUM(OSRRefD21_8x_0)</f>
        <v>4950</v>
      </c>
      <c r="E52" s="2">
        <f>SUM(OSRRefD21_8x_1)</f>
        <v>0</v>
      </c>
      <c r="F52" s="2">
        <f>SUM(OSRRefD21_8x_2)</f>
        <v>1253.8499999999999</v>
      </c>
      <c r="G52" s="2">
        <f>SUM(OSRRefD21_8x_3)</f>
        <v>3410.52</v>
      </c>
      <c r="H52" s="2">
        <f>SUM(OSRRefD21_8x_4)</f>
        <v>0</v>
      </c>
      <c r="I52" s="2">
        <f>SUM(OSRRefD21_8x_5)</f>
        <v>693.21</v>
      </c>
      <c r="J52" s="2">
        <f>SUM(OSRRefD21_8x_6)</f>
        <v>251.1</v>
      </c>
      <c r="K52" s="2">
        <f>SUM(OSRRefD21_8x_7)</f>
        <v>0</v>
      </c>
      <c r="L52" s="2">
        <f>SUM(OSRRefD21_8x_8)</f>
        <v>617.33000000000004</v>
      </c>
      <c r="M52" s="2">
        <f>SUM(OSRRefD21_8x_9)</f>
        <v>386.88</v>
      </c>
      <c r="N52" s="2">
        <f>SUM(OSRRefE21_8x_0)</f>
        <v>1666</v>
      </c>
      <c r="O52" s="2">
        <f>SUM(OSRRefE21_8x_1)</f>
        <v>1674</v>
      </c>
      <c r="Q52" s="3">
        <f>SUM(OSRRefD20_8x)+IFERROR(SUM(OSRRefE20_8x),0)</f>
        <v>14902.890000000001</v>
      </c>
    </row>
    <row r="53" spans="1:17" s="42" customFormat="1" ht="15" hidden="1" customHeight="1" outlineLevel="1" x14ac:dyDescent="0.3">
      <c r="A53" s="34"/>
      <c r="B53" s="11" t="str">
        <f>CONCATENATE("          ","6332"," - ","CONSULTANT FEES")</f>
        <v xml:space="preserve">          6332 - CONSULTANT FEES</v>
      </c>
      <c r="C53" s="15"/>
      <c r="D53" s="3"/>
      <c r="E53" s="3"/>
      <c r="F53" s="3"/>
      <c r="G53" s="3"/>
      <c r="H53" s="3"/>
      <c r="I53" s="3"/>
      <c r="J53" s="3"/>
      <c r="K53" s="3"/>
      <c r="L53" s="3"/>
      <c r="M53" s="3"/>
      <c r="N53" s="3">
        <v>0</v>
      </c>
      <c r="O53" s="3">
        <v>0</v>
      </c>
      <c r="P53" s="10"/>
      <c r="Q53" s="3">
        <f>SUM(OSRRefD21_8_0x)+IFERROR(SUM(OSRRefE21_8_0x),0)</f>
        <v>0</v>
      </c>
    </row>
    <row r="54" spans="1:17" s="42" customFormat="1" ht="15" hidden="1" customHeight="1" outlineLevel="1" x14ac:dyDescent="0.3">
      <c r="A54" s="34"/>
      <c r="B54" s="11" t="str">
        <f>CONCATENATE("          ","6334"," - ","LEGAL COUNCIL EXPENSE")</f>
        <v xml:space="preserve">          6334 - LEGAL COUNCIL EXPENSE</v>
      </c>
      <c r="C54" s="15"/>
      <c r="D54" s="3">
        <v>3255</v>
      </c>
      <c r="E54" s="3"/>
      <c r="F54" s="3"/>
      <c r="G54" s="3"/>
      <c r="H54" s="3"/>
      <c r="I54" s="3"/>
      <c r="J54" s="3"/>
      <c r="K54" s="3"/>
      <c r="L54" s="3"/>
      <c r="M54" s="3"/>
      <c r="N54" s="3">
        <v>833</v>
      </c>
      <c r="O54" s="3">
        <v>837</v>
      </c>
      <c r="P54" s="10"/>
      <c r="Q54" s="3">
        <f>SUM(OSRRefD21_8_1x)+IFERROR(SUM(OSRRefE21_8_1x),0)</f>
        <v>4925</v>
      </c>
    </row>
    <row r="55" spans="1:17" s="42" customFormat="1" ht="15" hidden="1" customHeight="1" outlineLevel="1" x14ac:dyDescent="0.3">
      <c r="A55" s="34"/>
      <c r="B55" s="11" t="str">
        <f>CONCATENATE("          ","6336"," - ","PROFESSIONAL SERVICES")</f>
        <v xml:space="preserve">          6336 - PROFESSIONAL SERVICES</v>
      </c>
      <c r="C55" s="15"/>
      <c r="D55" s="3">
        <v>1695</v>
      </c>
      <c r="E55" s="3"/>
      <c r="F55" s="3">
        <v>1253.8499999999999</v>
      </c>
      <c r="G55" s="3">
        <v>3410.52</v>
      </c>
      <c r="H55" s="3"/>
      <c r="I55" s="3">
        <v>693.21</v>
      </c>
      <c r="J55" s="3">
        <v>251.1</v>
      </c>
      <c r="K55" s="3"/>
      <c r="L55" s="3">
        <v>617.33000000000004</v>
      </c>
      <c r="M55" s="3">
        <v>386.88</v>
      </c>
      <c r="N55" s="3">
        <v>833</v>
      </c>
      <c r="O55" s="3">
        <v>837</v>
      </c>
      <c r="P55" s="10"/>
      <c r="Q55" s="3">
        <f>SUM(OSRRefD21_8_2x)+IFERROR(SUM(OSRRefE21_8_2x),0)</f>
        <v>9977.89</v>
      </c>
    </row>
    <row r="56" spans="1:17" s="42" customFormat="1" ht="15" customHeight="1" collapsed="1" x14ac:dyDescent="0.3">
      <c r="A56" s="34"/>
      <c r="B56" s="15" t="str">
        <f>CONCATENATE("     ","Repair and Maintenance                            ")</f>
        <v xml:space="preserve">     Repair and Maintenance                            </v>
      </c>
      <c r="C56" s="15"/>
      <c r="D56" s="2">
        <f>SUM(OSRRefD21_9x_0)</f>
        <v>3624.93</v>
      </c>
      <c r="E56" s="2">
        <f>SUM(OSRRefD21_9x_1)</f>
        <v>5273.52</v>
      </c>
      <c r="F56" s="2">
        <f>SUM(OSRRefD21_9x_2)</f>
        <v>4894.6899999999996</v>
      </c>
      <c r="G56" s="2">
        <f>SUM(OSRRefD21_9x_3)</f>
        <v>5962.94</v>
      </c>
      <c r="H56" s="2">
        <f>SUM(OSRRefD21_9x_4)</f>
        <v>6605.92</v>
      </c>
      <c r="I56" s="2">
        <f>SUM(OSRRefD21_9x_5)</f>
        <v>8154.97</v>
      </c>
      <c r="J56" s="2">
        <f>SUM(OSRRefD21_9x_6)</f>
        <v>7050.61</v>
      </c>
      <c r="K56" s="2">
        <f>SUM(OSRRefD21_9x_7)</f>
        <v>10476.230000000001</v>
      </c>
      <c r="L56" s="2">
        <f>SUM(OSRRefD21_9x_8)</f>
        <v>7771.38</v>
      </c>
      <c r="M56" s="2">
        <f>SUM(OSRRefD21_9x_9)</f>
        <v>7927.75</v>
      </c>
      <c r="N56" s="2">
        <f>SUM(OSRRefE21_9x_0)</f>
        <v>7000</v>
      </c>
      <c r="O56" s="2">
        <f>SUM(OSRRefE21_9x_1)</f>
        <v>7000</v>
      </c>
      <c r="Q56" s="3">
        <f>SUM(OSRRefD20_9x)+IFERROR(SUM(OSRRefE20_9x),0)</f>
        <v>81742.94</v>
      </c>
    </row>
    <row r="57" spans="1:17" s="42" customFormat="1" ht="15" hidden="1" customHeight="1" outlineLevel="1" x14ac:dyDescent="0.3">
      <c r="A57" s="34"/>
      <c r="B57" s="11" t="str">
        <f>CONCATENATE("          ","6371"," - ","COMPUTER SOFTWARE MAINTENANCE")</f>
        <v xml:space="preserve">          6371 - COMPUTER SOFTWARE MAINTENANCE</v>
      </c>
      <c r="C57" s="15"/>
      <c r="D57" s="3">
        <v>3624.93</v>
      </c>
      <c r="E57" s="3">
        <v>5174.93</v>
      </c>
      <c r="F57" s="3">
        <v>4894.6899999999996</v>
      </c>
      <c r="G57" s="3">
        <v>5962.94</v>
      </c>
      <c r="H57" s="3">
        <v>6406.17</v>
      </c>
      <c r="I57" s="3">
        <v>8154.97</v>
      </c>
      <c r="J57" s="3">
        <v>7050.61</v>
      </c>
      <c r="K57" s="3">
        <v>10341.94</v>
      </c>
      <c r="L57" s="3">
        <v>7771.38</v>
      </c>
      <c r="M57" s="3">
        <v>7927.75</v>
      </c>
      <c r="N57" s="3">
        <v>7000</v>
      </c>
      <c r="O57" s="3">
        <v>7000</v>
      </c>
      <c r="P57" s="10"/>
      <c r="Q57" s="3">
        <f>SUM(OSRRefD21_9_0x)+IFERROR(SUM(OSRRefE21_9_0x),0)</f>
        <v>81310.31</v>
      </c>
    </row>
    <row r="58" spans="1:17" s="42" customFormat="1" ht="15" hidden="1" customHeight="1" outlineLevel="1" x14ac:dyDescent="0.3">
      <c r="A58" s="34"/>
      <c r="B58" s="11" t="str">
        <f>CONCATENATE("          ","6373"," - ","MAINTENANCE CONTRACTS")</f>
        <v xml:space="preserve">          6373 - MAINTENANCE CONTRACTS</v>
      </c>
      <c r="C58" s="15"/>
      <c r="D58" s="3"/>
      <c r="E58" s="3">
        <v>98.59</v>
      </c>
      <c r="F58" s="3"/>
      <c r="G58" s="3"/>
      <c r="H58" s="3">
        <v>199.75</v>
      </c>
      <c r="I58" s="3"/>
      <c r="J58" s="3"/>
      <c r="K58" s="3">
        <v>134.29</v>
      </c>
      <c r="L58" s="3"/>
      <c r="M58" s="3"/>
      <c r="N58" s="3"/>
      <c r="O58" s="3"/>
      <c r="P58" s="10"/>
      <c r="Q58" s="3">
        <f>SUM(OSRRefD21_9_1x)+IFERROR(SUM(OSRRefE21_9_1x),0)</f>
        <v>432.63</v>
      </c>
    </row>
    <row r="59" spans="1:17" s="42" customFormat="1" ht="15" customHeight="1" collapsed="1" x14ac:dyDescent="0.3">
      <c r="A59" s="34"/>
      <c r="B59" s="15" t="str">
        <f>CONCATENATE("     ","Subscriptions &amp; Dues                              ")</f>
        <v xml:space="preserve">     Subscriptions &amp; Dues                              </v>
      </c>
      <c r="C59" s="15"/>
      <c r="D59" s="2">
        <f>SUM(OSRRefD21_10x_0)</f>
        <v>219</v>
      </c>
      <c r="E59" s="2">
        <f>SUM(OSRRefD21_10x_1)</f>
        <v>0</v>
      </c>
      <c r="F59" s="2">
        <f>SUM(OSRRefD21_10x_2)</f>
        <v>0</v>
      </c>
      <c r="G59" s="2">
        <f>SUM(OSRRefD21_10x_3)</f>
        <v>438</v>
      </c>
      <c r="H59" s="2">
        <f>SUM(OSRRefD21_10x_4)</f>
        <v>0</v>
      </c>
      <c r="I59" s="2">
        <f>SUM(OSRRefD21_10x_5)</f>
        <v>795</v>
      </c>
      <c r="J59" s="2">
        <f>SUM(OSRRefD21_10x_6)</f>
        <v>0</v>
      </c>
      <c r="K59" s="2">
        <f>SUM(OSRRefD21_10x_7)</f>
        <v>1278.9000000000001</v>
      </c>
      <c r="L59" s="2">
        <f>SUM(OSRRefD21_10x_8)</f>
        <v>0</v>
      </c>
      <c r="M59" s="2">
        <f>SUM(OSRRefD21_10x_9)</f>
        <v>0</v>
      </c>
      <c r="N59" s="2">
        <f>SUM(OSRRefE21_10x_0)</f>
        <v>0</v>
      </c>
      <c r="O59" s="2">
        <f>SUM(OSRRefE21_10x_1)</f>
        <v>0</v>
      </c>
      <c r="Q59" s="3">
        <f>SUM(OSRRefD20_10x)+IFERROR(SUM(OSRRefE20_10x),0)</f>
        <v>2730.9</v>
      </c>
    </row>
    <row r="60" spans="1:17" s="42" customFormat="1" ht="15" hidden="1" customHeight="1" outlineLevel="1" x14ac:dyDescent="0.3">
      <c r="A60" s="34"/>
      <c r="B60" s="11" t="str">
        <f>CONCATENATE("          ","6258"," - ","MEMBERSHIP DUES")</f>
        <v xml:space="preserve">          6258 - MEMBERSHIP DUES</v>
      </c>
      <c r="C60" s="15"/>
      <c r="D60" s="3">
        <v>219</v>
      </c>
      <c r="E60" s="3"/>
      <c r="F60" s="3"/>
      <c r="G60" s="3">
        <v>438</v>
      </c>
      <c r="H60" s="3"/>
      <c r="I60" s="3">
        <v>795</v>
      </c>
      <c r="J60" s="3"/>
      <c r="K60" s="3"/>
      <c r="L60" s="3"/>
      <c r="M60" s="3"/>
      <c r="N60" s="3"/>
      <c r="O60" s="3"/>
      <c r="P60" s="10"/>
      <c r="Q60" s="3">
        <f>SUM(OSRRefD21_10_0x)+IFERROR(SUM(OSRRefE21_10_0x),0)</f>
        <v>1452</v>
      </c>
    </row>
    <row r="61" spans="1:17" s="42" customFormat="1" ht="15" hidden="1" customHeight="1" outlineLevel="1" x14ac:dyDescent="0.3">
      <c r="A61" s="34"/>
      <c r="B61" s="11" t="str">
        <f>CONCATENATE("          ","6275"," - ","SUBSCRIPTIONS")</f>
        <v xml:space="preserve">          6275 - SUBSCRIPTIONS</v>
      </c>
      <c r="C61" s="15"/>
      <c r="D61" s="3"/>
      <c r="E61" s="3"/>
      <c r="F61" s="3"/>
      <c r="G61" s="3"/>
      <c r="H61" s="3"/>
      <c r="I61" s="3"/>
      <c r="J61" s="3"/>
      <c r="K61" s="3">
        <v>1278.9000000000001</v>
      </c>
      <c r="L61" s="3"/>
      <c r="M61" s="3"/>
      <c r="N61" s="3"/>
      <c r="O61" s="3"/>
      <c r="P61" s="10"/>
      <c r="Q61" s="3">
        <f>SUM(OSRRefD21_10_1x)+IFERROR(SUM(OSRRefE21_10_1x),0)</f>
        <v>1278.9000000000001</v>
      </c>
    </row>
    <row r="62" spans="1:17" s="42" customFormat="1" ht="15" customHeight="1" collapsed="1" x14ac:dyDescent="0.3">
      <c r="A62" s="34"/>
      <c r="B62" s="15" t="str">
        <f>CONCATENATE("     ","Supplies                                          ")</f>
        <v xml:space="preserve">     Supplies                                          </v>
      </c>
      <c r="C62" s="15"/>
      <c r="D62" s="2">
        <f>SUM(OSRRefD21_11x_0)</f>
        <v>2798.89</v>
      </c>
      <c r="E62" s="2">
        <f>SUM(OSRRefD21_11x_1)</f>
        <v>1785.91</v>
      </c>
      <c r="F62" s="2">
        <f>SUM(OSRRefD21_11x_2)</f>
        <v>254.38</v>
      </c>
      <c r="G62" s="2">
        <f>SUM(OSRRefD21_11x_3)</f>
        <v>1896.1100000000001</v>
      </c>
      <c r="H62" s="2">
        <f>SUM(OSRRefD21_11x_4)</f>
        <v>505.25</v>
      </c>
      <c r="I62" s="2">
        <f>SUM(OSRRefD21_11x_5)</f>
        <v>583.22</v>
      </c>
      <c r="J62" s="2">
        <f>SUM(OSRRefD21_11x_6)</f>
        <v>280.08999999999997</v>
      </c>
      <c r="K62" s="2">
        <f>SUM(OSRRefD21_11x_7)</f>
        <v>8825.0600000000013</v>
      </c>
      <c r="L62" s="2">
        <f>SUM(OSRRefD21_11x_8)</f>
        <v>96.78</v>
      </c>
      <c r="M62" s="2">
        <f>SUM(OSRRefD21_11x_9)</f>
        <v>1188.9299999999998</v>
      </c>
      <c r="N62" s="2">
        <f>SUM(OSRRefE21_11x_0)</f>
        <v>1834</v>
      </c>
      <c r="O62" s="2">
        <f>SUM(OSRRefE21_11x_1)</f>
        <v>1826</v>
      </c>
      <c r="Q62" s="3">
        <f>SUM(OSRRefD20_11x)+IFERROR(SUM(OSRRefE20_11x),0)</f>
        <v>21874.620000000003</v>
      </c>
    </row>
    <row r="63" spans="1:17" s="42" customFormat="1" ht="15" hidden="1" customHeight="1" outlineLevel="1" x14ac:dyDescent="0.3">
      <c r="A63" s="34"/>
      <c r="B63" s="11" t="str">
        <f>CONCATENATE("          ","6235"," - ","COVID-19 EXPENSES")</f>
        <v xml:space="preserve">          6235 - COVID-19 EXPENSES</v>
      </c>
      <c r="C63" s="15"/>
      <c r="D63" s="3">
        <v>2447.77</v>
      </c>
      <c r="E63" s="3"/>
      <c r="F63" s="3"/>
      <c r="G63" s="3"/>
      <c r="H63" s="3"/>
      <c r="I63" s="3"/>
      <c r="J63" s="3"/>
      <c r="K63" s="3">
        <v>188.36</v>
      </c>
      <c r="L63" s="3"/>
      <c r="M63" s="3"/>
      <c r="N63" s="3"/>
      <c r="O63" s="3"/>
      <c r="P63" s="10"/>
      <c r="Q63" s="3">
        <f>SUM(OSRRefD21_11_0x)+IFERROR(SUM(OSRRefE21_11_0x),0)</f>
        <v>2636.13</v>
      </c>
    </row>
    <row r="64" spans="1:17" s="42" customFormat="1" ht="15" hidden="1" customHeight="1" outlineLevel="1" x14ac:dyDescent="0.3">
      <c r="A64" s="34"/>
      <c r="B64" s="11" t="str">
        <f>CONCATENATE("          ","6241"," - ","OFFICE EXPENSE")</f>
        <v xml:space="preserve">          6241 - OFFICE EXPENSE</v>
      </c>
      <c r="C64" s="15"/>
      <c r="D64" s="3">
        <v>176.12</v>
      </c>
      <c r="E64" s="3">
        <v>549.22</v>
      </c>
      <c r="F64" s="3">
        <v>79.38</v>
      </c>
      <c r="G64" s="3">
        <v>148.11000000000001</v>
      </c>
      <c r="H64" s="3">
        <v>455.25</v>
      </c>
      <c r="I64" s="3">
        <v>583.22</v>
      </c>
      <c r="J64" s="3">
        <v>280.08999999999997</v>
      </c>
      <c r="K64" s="3">
        <v>85.1</v>
      </c>
      <c r="L64" s="3">
        <v>96.78</v>
      </c>
      <c r="M64" s="3">
        <v>117.79</v>
      </c>
      <c r="N64" s="3">
        <v>1417</v>
      </c>
      <c r="O64" s="3">
        <v>1413</v>
      </c>
      <c r="P64" s="10"/>
      <c r="Q64" s="3">
        <f>SUM(OSRRefD21_11_1x)+IFERROR(SUM(OSRRefE21_11_1x),0)</f>
        <v>5401.0599999999995</v>
      </c>
    </row>
    <row r="65" spans="1:17" s="42" customFormat="1" ht="15" hidden="1" customHeight="1" outlineLevel="1" x14ac:dyDescent="0.3">
      <c r="A65" s="34"/>
      <c r="B65" s="11" t="str">
        <f>CONCATENATE("          ","6244"," - ","SAFETY SUPPLY EXPENSE")</f>
        <v xml:space="preserve">          6244 - SAFETY SUPPLY EXPENSE</v>
      </c>
      <c r="C65" s="15"/>
      <c r="D65" s="3">
        <v>175</v>
      </c>
      <c r="E65" s="3">
        <v>25</v>
      </c>
      <c r="F65" s="3">
        <v>175</v>
      </c>
      <c r="G65" s="3">
        <v>175</v>
      </c>
      <c r="H65" s="3">
        <v>50</v>
      </c>
      <c r="I65" s="3"/>
      <c r="J65" s="3"/>
      <c r="K65" s="3">
        <v>50</v>
      </c>
      <c r="L65" s="3"/>
      <c r="M65" s="3">
        <v>511.27</v>
      </c>
      <c r="N65" s="3">
        <v>417</v>
      </c>
      <c r="O65" s="3">
        <v>413</v>
      </c>
      <c r="P65" s="10"/>
      <c r="Q65" s="3">
        <f>SUM(OSRRefD21_11_2x)+IFERROR(SUM(OSRRefE21_11_2x),0)</f>
        <v>1991.27</v>
      </c>
    </row>
    <row r="66" spans="1:17" s="42" customFormat="1" ht="15" hidden="1" customHeight="1" outlineLevel="1" x14ac:dyDescent="0.3">
      <c r="A66" s="34"/>
      <c r="B66" s="11" t="str">
        <f>CONCATENATE("          ","6248"," - ","UNIFORMS")</f>
        <v xml:space="preserve">          6248 - UNIFORMS</v>
      </c>
      <c r="C66" s="15"/>
      <c r="D66" s="3">
        <v>0</v>
      </c>
      <c r="E66" s="3">
        <v>1211.69</v>
      </c>
      <c r="F66" s="3"/>
      <c r="G66" s="3">
        <v>1573</v>
      </c>
      <c r="H66" s="3"/>
      <c r="I66" s="3"/>
      <c r="J66" s="3"/>
      <c r="K66" s="3">
        <v>8501.6</v>
      </c>
      <c r="L66" s="3"/>
      <c r="M66" s="3">
        <v>559.87</v>
      </c>
      <c r="N66" s="3"/>
      <c r="O66" s="3"/>
      <c r="P66" s="10"/>
      <c r="Q66" s="3">
        <f>SUM(OSRRefD21_11_3x)+IFERROR(SUM(OSRRefE21_11_3x),0)</f>
        <v>11846.160000000002</v>
      </c>
    </row>
    <row r="67" spans="1:17" s="42" customFormat="1" ht="15" customHeight="1" collapsed="1" x14ac:dyDescent="0.3">
      <c r="A67" s="34"/>
      <c r="B67" s="15" t="str">
        <f>CONCATENATE("     ","Telephone/Data Lines                              ")</f>
        <v xml:space="preserve">     Telephone/Data Lines                              </v>
      </c>
      <c r="C67" s="15"/>
      <c r="D67" s="2">
        <f>SUM(OSRRefD21_12x_0)</f>
        <v>342.3</v>
      </c>
      <c r="E67" s="2">
        <f>SUM(OSRRefD21_12x_1)</f>
        <v>366.05</v>
      </c>
      <c r="F67" s="2">
        <f>SUM(OSRRefD21_12x_2)</f>
        <v>358.95</v>
      </c>
      <c r="G67" s="2">
        <f>SUM(OSRRefD21_12x_3)</f>
        <v>892.75</v>
      </c>
      <c r="H67" s="2">
        <f>SUM(OSRRefD21_12x_4)</f>
        <v>579.29999999999995</v>
      </c>
      <c r="I67" s="2">
        <f>SUM(OSRRefD21_12x_5)</f>
        <v>282</v>
      </c>
      <c r="J67" s="2">
        <f>SUM(OSRRefD21_12x_6)</f>
        <v>577.85</v>
      </c>
      <c r="K67" s="2">
        <f>SUM(OSRRefD21_12x_7)</f>
        <v>578.6</v>
      </c>
      <c r="L67" s="2">
        <f>SUM(OSRRefD21_12x_8)</f>
        <v>573.4</v>
      </c>
      <c r="M67" s="2">
        <f>SUM(OSRRefD21_12x_9)</f>
        <v>880.7</v>
      </c>
      <c r="N67" s="2">
        <f>SUM(OSRRefE21_12x_0)</f>
        <v>283</v>
      </c>
      <c r="O67" s="2">
        <f>SUM(OSRRefE21_12x_1)</f>
        <v>283</v>
      </c>
      <c r="Q67" s="3">
        <f>SUM(OSRRefD20_12x)+IFERROR(SUM(OSRRefE20_12x),0)</f>
        <v>5997.9</v>
      </c>
    </row>
    <row r="68" spans="1:17" s="42" customFormat="1" ht="15" hidden="1" customHeight="1" outlineLevel="1" x14ac:dyDescent="0.3">
      <c r="A68" s="34"/>
      <c r="B68" s="11" t="str">
        <f>CONCATENATE("          ","6309"," - ","TELEPHONE")</f>
        <v xml:space="preserve">          6309 - TELEPHONE</v>
      </c>
      <c r="C68" s="15"/>
      <c r="D68" s="3">
        <v>342.3</v>
      </c>
      <c r="E68" s="3">
        <v>366.05</v>
      </c>
      <c r="F68" s="3">
        <v>358.95</v>
      </c>
      <c r="G68" s="3">
        <v>892.75</v>
      </c>
      <c r="H68" s="3">
        <v>579.29999999999995</v>
      </c>
      <c r="I68" s="3">
        <v>282</v>
      </c>
      <c r="J68" s="3">
        <v>577.85</v>
      </c>
      <c r="K68" s="3">
        <v>578.6</v>
      </c>
      <c r="L68" s="3">
        <v>573.4</v>
      </c>
      <c r="M68" s="3">
        <v>880.7</v>
      </c>
      <c r="N68" s="3">
        <v>283</v>
      </c>
      <c r="O68" s="3">
        <v>283</v>
      </c>
      <c r="P68" s="10"/>
      <c r="Q68" s="3">
        <f>SUM(OSRRefD21_12_0x)+IFERROR(SUM(OSRRefE21_12_0x),0)</f>
        <v>5997.9</v>
      </c>
    </row>
    <row r="69" spans="1:17" s="42" customFormat="1" ht="15" customHeight="1" collapsed="1" x14ac:dyDescent="0.3">
      <c r="A69" s="34"/>
      <c r="B69" s="15" t="str">
        <f>CONCATENATE("     ","Training                                          ")</f>
        <v xml:space="preserve">     Training                                          </v>
      </c>
      <c r="C69" s="15"/>
      <c r="D69" s="2">
        <f>SUM(OSRRefD21_13x_0)</f>
        <v>0</v>
      </c>
      <c r="E69" s="2">
        <f>SUM(OSRRefD21_13x_1)</f>
        <v>0</v>
      </c>
      <c r="F69" s="2">
        <f>SUM(OSRRefD21_13x_2)</f>
        <v>0</v>
      </c>
      <c r="G69" s="2">
        <f>SUM(OSRRefD21_13x_3)</f>
        <v>475</v>
      </c>
      <c r="H69" s="2">
        <f>SUM(OSRRefD21_13x_4)</f>
        <v>0</v>
      </c>
      <c r="I69" s="2">
        <f>SUM(OSRRefD21_13x_5)</f>
        <v>0</v>
      </c>
      <c r="J69" s="2">
        <f>SUM(OSRRefD21_13x_6)</f>
        <v>0</v>
      </c>
      <c r="K69" s="2">
        <f>SUM(OSRRefD21_13x_7)</f>
        <v>0</v>
      </c>
      <c r="L69" s="2">
        <f>SUM(OSRRefD21_13x_8)</f>
        <v>0</v>
      </c>
      <c r="M69" s="2">
        <f>SUM(OSRRefD21_13x_9)</f>
        <v>0</v>
      </c>
      <c r="N69" s="2">
        <f>SUM(OSRRefE21_13x_0)</f>
        <v>333</v>
      </c>
      <c r="O69" s="2">
        <f>SUM(OSRRefE21_13x_1)</f>
        <v>337</v>
      </c>
      <c r="Q69" s="3">
        <f>SUM(OSRRefD20_13x)+IFERROR(SUM(OSRRefE20_13x),0)</f>
        <v>1145</v>
      </c>
    </row>
    <row r="70" spans="1:17" s="42" customFormat="1" ht="15" hidden="1" customHeight="1" outlineLevel="1" x14ac:dyDescent="0.3">
      <c r="A70" s="34"/>
      <c r="B70" s="11" t="str">
        <f>CONCATENATE("          ","6376"," - ","TRAINING")</f>
        <v xml:space="preserve">          6376 - TRAINING</v>
      </c>
      <c r="C70" s="15"/>
      <c r="D70" s="3"/>
      <c r="E70" s="3"/>
      <c r="F70" s="3"/>
      <c r="G70" s="3">
        <v>475</v>
      </c>
      <c r="H70" s="3"/>
      <c r="I70" s="3"/>
      <c r="J70" s="3"/>
      <c r="K70" s="3"/>
      <c r="L70" s="3"/>
      <c r="M70" s="3"/>
      <c r="N70" s="3">
        <v>333</v>
      </c>
      <c r="O70" s="3">
        <v>337</v>
      </c>
      <c r="P70" s="10"/>
      <c r="Q70" s="3">
        <f>SUM(OSRRefD21_13_0x)+IFERROR(SUM(OSRRefE21_13_0x),0)</f>
        <v>1145</v>
      </c>
    </row>
    <row r="71" spans="1:17" s="40" customFormat="1" ht="15" customHeight="1" x14ac:dyDescent="0.3">
      <c r="A71" s="22"/>
      <c r="B71" s="22"/>
      <c r="C71" s="2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Q71" s="2"/>
    </row>
    <row r="72" spans="1:17" s="39" customFormat="1" ht="15" customHeight="1" x14ac:dyDescent="0.3">
      <c r="A72" s="24"/>
      <c r="B72" s="17" t="s">
        <v>287</v>
      </c>
      <c r="C72" s="23"/>
      <c r="D72" s="4">
        <f>0</f>
        <v>0</v>
      </c>
      <c r="E72" s="4">
        <f>0</f>
        <v>0</v>
      </c>
      <c r="F72" s="4">
        <f>0</f>
        <v>0</v>
      </c>
      <c r="G72" s="4">
        <f>0</f>
        <v>0</v>
      </c>
      <c r="H72" s="4">
        <f>0</f>
        <v>0</v>
      </c>
      <c r="I72" s="4">
        <f>0</f>
        <v>0</v>
      </c>
      <c r="J72" s="4">
        <f>0</f>
        <v>0</v>
      </c>
      <c r="K72" s="4">
        <f>0</f>
        <v>0</v>
      </c>
      <c r="L72" s="4">
        <f>0</f>
        <v>0</v>
      </c>
      <c r="M72" s="4">
        <f>0</f>
        <v>0</v>
      </c>
      <c r="N72" s="4"/>
      <c r="O72" s="4"/>
      <c r="Q72" s="3">
        <f>SUM(OSRRefD23_0x)+IFERROR(SUM(OSRRefE23_0x),0)</f>
        <v>0</v>
      </c>
    </row>
    <row r="73" spans="1:17" ht="15" customHeight="1" x14ac:dyDescent="0.3">
      <c r="A73" s="6"/>
      <c r="B73" s="7"/>
      <c r="C73" s="7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Q73" s="4"/>
    </row>
    <row r="74" spans="1:17" s="37" customFormat="1" ht="15" customHeight="1" x14ac:dyDescent="0.3">
      <c r="A74" s="7"/>
      <c r="B74" s="18" t="s">
        <v>288</v>
      </c>
      <c r="C74" s="18"/>
      <c r="D74" s="9">
        <f t="shared" ref="D74:O74" si="4">IFERROR(+D14-D17+D72,0)</f>
        <v>-58630.380000000005</v>
      </c>
      <c r="E74" s="9">
        <f t="shared" si="4"/>
        <v>-47897.97</v>
      </c>
      <c r="F74" s="9">
        <f t="shared" si="4"/>
        <v>-47199.6</v>
      </c>
      <c r="G74" s="9">
        <f t="shared" si="4"/>
        <v>-63484.42</v>
      </c>
      <c r="H74" s="9">
        <f t="shared" si="4"/>
        <v>-46633.59</v>
      </c>
      <c r="I74" s="9">
        <f t="shared" si="4"/>
        <v>-55888.94</v>
      </c>
      <c r="J74" s="9">
        <f t="shared" si="4"/>
        <v>-65576.819999999992</v>
      </c>
      <c r="K74" s="9">
        <f t="shared" si="4"/>
        <v>-63102.470000000008</v>
      </c>
      <c r="L74" s="9">
        <f t="shared" si="4"/>
        <v>-50925.130000000005</v>
      </c>
      <c r="M74" s="9">
        <f t="shared" si="4"/>
        <v>-68880.219999999987</v>
      </c>
      <c r="N74" s="9">
        <f t="shared" si="4"/>
        <v>-58934.26516968615</v>
      </c>
      <c r="O74" s="9">
        <f t="shared" si="4"/>
        <v>-46434.26516968615</v>
      </c>
      <c r="Q74" s="9">
        <f>IFERROR(+Q14-Q17+Q72,0)</f>
        <v>-673588.07033937227</v>
      </c>
    </row>
    <row r="75" spans="1:17" s="38" customFormat="1" ht="15" customHeight="1" x14ac:dyDescent="0.3">
      <c r="B75" s="17"/>
      <c r="C75" s="17"/>
      <c r="D75" s="5">
        <f t="shared" ref="D75:O75" si="5">IFERROR(D74/D10,0)</f>
        <v>0</v>
      </c>
      <c r="E75" s="5">
        <f t="shared" si="5"/>
        <v>0</v>
      </c>
      <c r="F75" s="5">
        <f t="shared" si="5"/>
        <v>0</v>
      </c>
      <c r="G75" s="5">
        <f t="shared" si="5"/>
        <v>0</v>
      </c>
      <c r="H75" s="5">
        <f t="shared" si="5"/>
        <v>0</v>
      </c>
      <c r="I75" s="5">
        <f t="shared" si="5"/>
        <v>0</v>
      </c>
      <c r="J75" s="5">
        <f t="shared" si="5"/>
        <v>0</v>
      </c>
      <c r="K75" s="5">
        <f t="shared" si="5"/>
        <v>0</v>
      </c>
      <c r="L75" s="5">
        <f t="shared" si="5"/>
        <v>0</v>
      </c>
      <c r="M75" s="5">
        <f t="shared" si="5"/>
        <v>0</v>
      </c>
      <c r="N75" s="5">
        <f t="shared" si="5"/>
        <v>0</v>
      </c>
      <c r="O75" s="5">
        <f t="shared" si="5"/>
        <v>0</v>
      </c>
      <c r="P75" s="19"/>
      <c r="Q75" s="5">
        <f>IFERROR(Q74/Q10,0)</f>
        <v>0</v>
      </c>
    </row>
    <row r="76" spans="1:17" ht="15" customHeight="1" x14ac:dyDescent="0.3">
      <c r="A76" s="6"/>
      <c r="B76" s="7"/>
      <c r="C76" s="6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Q76" s="4"/>
    </row>
    <row r="77" spans="1:17" s="37" customFormat="1" ht="15" customHeight="1" x14ac:dyDescent="0.3">
      <c r="A77" s="26"/>
      <c r="B77" s="7" t="s">
        <v>289</v>
      </c>
      <c r="C77" s="7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Q77" s="3">
        <f>SUM(OSRRefD28_0x)+IFERROR(SUM(OSRRefE28_0x),0)</f>
        <v>0</v>
      </c>
    </row>
    <row r="78" spans="1:17" ht="15" customHeight="1" x14ac:dyDescent="0.3">
      <c r="A78" s="6"/>
      <c r="B78" s="7"/>
      <c r="C78" s="7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Q78" s="4"/>
    </row>
    <row r="79" spans="1:17" s="37" customFormat="1" ht="15.75" customHeight="1" x14ac:dyDescent="0.3">
      <c r="A79" s="7"/>
      <c r="B79" s="18" t="s">
        <v>290</v>
      </c>
      <c r="C79" s="18"/>
      <c r="D79" s="8">
        <f t="shared" ref="D79:O79" si="6">IFERROR(+D74-D77,0)</f>
        <v>-58630.380000000005</v>
      </c>
      <c r="E79" s="8">
        <f t="shared" si="6"/>
        <v>-47897.97</v>
      </c>
      <c r="F79" s="8">
        <f t="shared" si="6"/>
        <v>-47199.6</v>
      </c>
      <c r="G79" s="8">
        <f t="shared" si="6"/>
        <v>-63484.42</v>
      </c>
      <c r="H79" s="8">
        <f t="shared" si="6"/>
        <v>-46633.59</v>
      </c>
      <c r="I79" s="8">
        <f t="shared" si="6"/>
        <v>-55888.94</v>
      </c>
      <c r="J79" s="8">
        <f t="shared" si="6"/>
        <v>-65576.819999999992</v>
      </c>
      <c r="K79" s="8">
        <f t="shared" si="6"/>
        <v>-63102.470000000008</v>
      </c>
      <c r="L79" s="8">
        <f t="shared" si="6"/>
        <v>-50925.130000000005</v>
      </c>
      <c r="M79" s="8">
        <f t="shared" si="6"/>
        <v>-68880.219999999987</v>
      </c>
      <c r="N79" s="8">
        <f t="shared" si="6"/>
        <v>-58934.26516968615</v>
      </c>
      <c r="O79" s="8">
        <f t="shared" si="6"/>
        <v>-46434.26516968615</v>
      </c>
      <c r="Q79" s="8">
        <f>IFERROR(+Q74-Q77,0)</f>
        <v>-673588.07033937227</v>
      </c>
    </row>
    <row r="80" spans="1:17" ht="15.75" customHeight="1" x14ac:dyDescent="0.3">
      <c r="A80" s="6"/>
      <c r="B80" s="6"/>
      <c r="C80" s="6"/>
      <c r="D80" s="5">
        <f t="shared" ref="D80:O80" si="7">IFERROR(D79/D10,0)</f>
        <v>0</v>
      </c>
      <c r="E80" s="5">
        <f t="shared" si="7"/>
        <v>0</v>
      </c>
      <c r="F80" s="5">
        <f t="shared" si="7"/>
        <v>0</v>
      </c>
      <c r="G80" s="5">
        <f t="shared" si="7"/>
        <v>0</v>
      </c>
      <c r="H80" s="5">
        <f t="shared" si="7"/>
        <v>0</v>
      </c>
      <c r="I80" s="5">
        <f t="shared" si="7"/>
        <v>0</v>
      </c>
      <c r="J80" s="5">
        <f t="shared" si="7"/>
        <v>0</v>
      </c>
      <c r="K80" s="5">
        <f t="shared" si="7"/>
        <v>0</v>
      </c>
      <c r="L80" s="5">
        <f t="shared" si="7"/>
        <v>0</v>
      </c>
      <c r="M80" s="5">
        <f t="shared" si="7"/>
        <v>0</v>
      </c>
      <c r="N80" s="5">
        <f t="shared" si="7"/>
        <v>0</v>
      </c>
      <c r="O80" s="5">
        <f t="shared" si="7"/>
        <v>0</v>
      </c>
      <c r="P80" s="19"/>
      <c r="Q80" s="5">
        <f>IFERROR(Q79/Q10,0)</f>
        <v>0</v>
      </c>
    </row>
    <row r="81" spans="1:17" ht="15" customHeight="1" x14ac:dyDescent="0.3">
      <c r="A81" s="6"/>
      <c r="B81" s="6"/>
      <c r="C81" s="6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Q81" s="4"/>
    </row>
    <row r="82" spans="1:17" ht="15" customHeight="1" x14ac:dyDescent="0.3">
      <c r="A82" s="6"/>
      <c r="B82" s="6"/>
      <c r="C82" s="6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Q82" s="4"/>
    </row>
    <row r="83" spans="1:17" s="37" customFormat="1" ht="15.75" customHeight="1" x14ac:dyDescent="0.3">
      <c r="A83" s="7"/>
      <c r="B83" s="18" t="s">
        <v>293</v>
      </c>
      <c r="C83" s="18"/>
      <c r="D83" s="8">
        <f t="shared" ref="D83:O83" si="8">IFERROR(SUM(D79:D82),0)</f>
        <v>-58630.380000000005</v>
      </c>
      <c r="E83" s="8">
        <f t="shared" si="8"/>
        <v>-47897.97</v>
      </c>
      <c r="F83" s="8">
        <f t="shared" si="8"/>
        <v>-47199.6</v>
      </c>
      <c r="G83" s="8">
        <f t="shared" si="8"/>
        <v>-63484.42</v>
      </c>
      <c r="H83" s="8">
        <f t="shared" si="8"/>
        <v>-46633.59</v>
      </c>
      <c r="I83" s="8">
        <f t="shared" si="8"/>
        <v>-55888.94</v>
      </c>
      <c r="J83" s="8">
        <f t="shared" si="8"/>
        <v>-65576.819999999992</v>
      </c>
      <c r="K83" s="8">
        <f t="shared" si="8"/>
        <v>-63102.470000000008</v>
      </c>
      <c r="L83" s="8">
        <f t="shared" si="8"/>
        <v>-50925.130000000005</v>
      </c>
      <c r="M83" s="8">
        <f t="shared" si="8"/>
        <v>-68880.219999999987</v>
      </c>
      <c r="N83" s="8">
        <f t="shared" si="8"/>
        <v>-58934.26516968615</v>
      </c>
      <c r="O83" s="8">
        <f t="shared" si="8"/>
        <v>-46434.26516968615</v>
      </c>
      <c r="Q83" s="8">
        <f>IFERROR(SUM(Q79:Q82),0)</f>
        <v>-673588.07033937227</v>
      </c>
    </row>
    <row r="84" spans="1:17" ht="15.75" customHeight="1" x14ac:dyDescent="0.3">
      <c r="A84" s="6"/>
      <c r="C84" s="6"/>
      <c r="D84" s="5">
        <f t="shared" ref="D84:O84" si="9">IFERROR(D83/D10,0)</f>
        <v>0</v>
      </c>
      <c r="E84" s="5">
        <f t="shared" si="9"/>
        <v>0</v>
      </c>
      <c r="F84" s="5">
        <f t="shared" si="9"/>
        <v>0</v>
      </c>
      <c r="G84" s="5">
        <f t="shared" si="9"/>
        <v>0</v>
      </c>
      <c r="H84" s="5">
        <f t="shared" si="9"/>
        <v>0</v>
      </c>
      <c r="I84" s="5">
        <f t="shared" si="9"/>
        <v>0</v>
      </c>
      <c r="J84" s="5">
        <f t="shared" si="9"/>
        <v>0</v>
      </c>
      <c r="K84" s="5">
        <f t="shared" si="9"/>
        <v>0</v>
      </c>
      <c r="L84" s="5">
        <f t="shared" si="9"/>
        <v>0</v>
      </c>
      <c r="M84" s="5">
        <f t="shared" si="9"/>
        <v>0</v>
      </c>
      <c r="N84" s="5">
        <f t="shared" si="9"/>
        <v>0</v>
      </c>
      <c r="O84" s="5">
        <f t="shared" si="9"/>
        <v>0</v>
      </c>
      <c r="P84" s="19"/>
      <c r="Q84" s="5">
        <f>IFERROR(Q83/Q10,0)</f>
        <v>0</v>
      </c>
    </row>
    <row r="85" spans="1:17" ht="15" customHeight="1" x14ac:dyDescent="0.3">
      <c r="A85" s="6"/>
      <c r="B85" s="33">
        <v>44694.892891863426</v>
      </c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Q85" s="14"/>
    </row>
    <row r="86" spans="1:17" ht="15" customHeight="1" x14ac:dyDescent="0.3">
      <c r="A86" s="6"/>
      <c r="B86" s="31" t="s">
        <v>294</v>
      </c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</row>
    <row r="87" spans="1:17" ht="15" customHeight="1" x14ac:dyDescent="0.3">
      <c r="A87" s="6"/>
      <c r="B87" s="27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Q87" s="14"/>
    </row>
    <row r="88" spans="1:17" ht="15" customHeight="1" x14ac:dyDescent="0.3"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Q88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E8FC1-660A-87D8-7C84-F835F7634763}">
  <sheetPr>
    <tabColor rgb="FF92D050"/>
    <outlinePr summaryBelow="0" summaryRight="0"/>
    <pageSetUpPr fitToPage="1"/>
  </sheetPr>
  <dimension ref="A2:R75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","204"," - ","Information Technology")</f>
        <v>Department 204 - Information Technology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9">
        <f t="shared" ref="D14:O14" si="2">IFERROR(+D10-D12,0)</f>
        <v>0</v>
      </c>
      <c r="E14" s="9">
        <f t="shared" si="2"/>
        <v>0</v>
      </c>
      <c r="F14" s="9">
        <f t="shared" si="2"/>
        <v>0</v>
      </c>
      <c r="G14" s="9">
        <f t="shared" si="2"/>
        <v>0</v>
      </c>
      <c r="H14" s="9">
        <f t="shared" si="2"/>
        <v>0</v>
      </c>
      <c r="I14" s="9">
        <f t="shared" si="2"/>
        <v>0</v>
      </c>
      <c r="J14" s="9">
        <f t="shared" si="2"/>
        <v>0</v>
      </c>
      <c r="K14" s="9">
        <f t="shared" si="2"/>
        <v>0</v>
      </c>
      <c r="L14" s="9">
        <f t="shared" si="2"/>
        <v>0</v>
      </c>
      <c r="M14" s="9">
        <f t="shared" si="2"/>
        <v>0</v>
      </c>
      <c r="N14" s="9">
        <f t="shared" si="2"/>
        <v>0</v>
      </c>
      <c r="O14" s="9">
        <f t="shared" si="2"/>
        <v>0</v>
      </c>
      <c r="Q14" s="9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2" cm="1">
        <f t="array" ref="D17">SUM(OSRRefD20x_0)</f>
        <v>47853.990000000005</v>
      </c>
      <c r="E17" s="12" cm="1">
        <f t="array" ref="E17">SUM(OSRRefD20x_1)</f>
        <v>43235.119999999995</v>
      </c>
      <c r="F17" s="12" cm="1">
        <f t="array" ref="F17">SUM(OSRRefD20x_2)</f>
        <v>42220.380000000005</v>
      </c>
      <c r="G17" s="12" cm="1">
        <f t="array" ref="G17">SUM(OSRRefD20x_3)</f>
        <v>49361.08</v>
      </c>
      <c r="H17" s="12" cm="1">
        <f t="array" ref="H17">SUM(OSRRefD20x_4)</f>
        <v>39757.269999999997</v>
      </c>
      <c r="I17" s="12" cm="1">
        <f t="array" ref="I17">SUM(OSRRefD20x_5)</f>
        <v>45531.519999999997</v>
      </c>
      <c r="J17" s="12" cm="1">
        <f t="array" ref="J17">SUM(OSRRefD20x_6)</f>
        <v>50768.030000000006</v>
      </c>
      <c r="K17" s="12" cm="1">
        <f t="array" ref="K17">SUM(OSRRefD20x_7)</f>
        <v>57203.450000000004</v>
      </c>
      <c r="L17" s="12" cm="1">
        <f t="array" ref="L17">SUM(OSRRefD20x_8)</f>
        <v>33133.78</v>
      </c>
      <c r="M17" s="12" cm="1">
        <f t="array" ref="M17">SUM(OSRRefD20x_9)</f>
        <v>47564.81</v>
      </c>
      <c r="N17" s="12" cm="1">
        <f t="array" ref="N17">SUM(OSRRefE20x_0)</f>
        <v>46302.666047384591</v>
      </c>
      <c r="O17" s="12" cm="1">
        <f t="array" ref="O17">SUM(OSRRefE20x_1)</f>
        <v>45828.666047384591</v>
      </c>
      <c r="Q17" s="12" cm="1">
        <f t="array" ref="Q17">SUM(OSRRefG20x)</f>
        <v>548760.76209476916</v>
      </c>
    </row>
    <row r="18" spans="1:17" s="42" customFormat="1" ht="15" customHeight="1" collapsed="1" x14ac:dyDescent="0.3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2">
        <f>SUM(OSRRefD21_0x_0)</f>
        <v>10721.180000000002</v>
      </c>
      <c r="E18" s="2">
        <f>SUM(OSRRefD21_0x_1)</f>
        <v>10818.99</v>
      </c>
      <c r="F18" s="2">
        <f>SUM(OSRRefD21_0x_2)</f>
        <v>10752.920000000002</v>
      </c>
      <c r="G18" s="2">
        <f>SUM(OSRRefD21_0x_3)</f>
        <v>12876.02</v>
      </c>
      <c r="H18" s="2">
        <f>SUM(OSRRefD21_0x_4)</f>
        <v>11076</v>
      </c>
      <c r="I18" s="2">
        <f>SUM(OSRRefD21_0x_5)</f>
        <v>11086.919999999998</v>
      </c>
      <c r="J18" s="2">
        <f>SUM(OSRRefD21_0x_6)</f>
        <v>13150.54</v>
      </c>
      <c r="K18" s="2">
        <f>SUM(OSRRefD21_0x_7)</f>
        <v>10856.75</v>
      </c>
      <c r="L18" s="2">
        <f>SUM(OSRRefD21_0x_8)</f>
        <v>10788.41</v>
      </c>
      <c r="M18" s="2">
        <f>SUM(OSRRefD21_0x_9)</f>
        <v>13244.4</v>
      </c>
      <c r="N18" s="2">
        <f>SUM(OSRRefE21_0x_0)</f>
        <v>11122.496816615394</v>
      </c>
      <c r="O18" s="2">
        <f>SUM(OSRRefE21_0x_1)</f>
        <v>11122.496816615394</v>
      </c>
      <c r="Q18" s="3">
        <f>SUM(OSRRefD20_0x)+IFERROR(SUM(OSRRefE20_0x),0)</f>
        <v>137617.1236332308</v>
      </c>
    </row>
    <row r="19" spans="1:17" s="42" customFormat="1" ht="15" hidden="1" customHeight="1" outlineLevel="1" x14ac:dyDescent="0.3">
      <c r="A19" s="34"/>
      <c r="B19" s="11" t="str">
        <f>CONCATENATE("          ","6111"," - ","F.I.C.A.")</f>
        <v xml:space="preserve">          6111 - F.I.C.A.</v>
      </c>
      <c r="C19" s="15"/>
      <c r="D19" s="3">
        <v>1399.92</v>
      </c>
      <c r="E19" s="3">
        <v>1417.14</v>
      </c>
      <c r="F19" s="3">
        <v>1417.14</v>
      </c>
      <c r="G19" s="3">
        <v>2134.3200000000002</v>
      </c>
      <c r="H19" s="3">
        <v>1475.97</v>
      </c>
      <c r="I19" s="3">
        <v>1498.83</v>
      </c>
      <c r="J19" s="3">
        <v>1474.55</v>
      </c>
      <c r="K19" s="3">
        <v>1474.55</v>
      </c>
      <c r="L19" s="3">
        <v>1474.55</v>
      </c>
      <c r="M19" s="3">
        <v>2221.14</v>
      </c>
      <c r="N19" s="3">
        <v>1810.8128289230799</v>
      </c>
      <c r="O19" s="3">
        <v>1810.8128289230799</v>
      </c>
      <c r="P19" s="10"/>
      <c r="Q19" s="3">
        <f>SUM(OSRRefD21_0_0x)+IFERROR(SUM(OSRRefE21_0_0x),0)</f>
        <v>19609.735657846155</v>
      </c>
    </row>
    <row r="20" spans="1:17" s="42" customFormat="1" ht="15" hidden="1" customHeight="1" outlineLevel="1" x14ac:dyDescent="0.3">
      <c r="A20" s="34"/>
      <c r="B20" s="11" t="str">
        <f>CONCATENATE("          ","6112"," - ","COMPENSATION INSURANCE")</f>
        <v xml:space="preserve">          6112 - COMPENSATION INSURANCE</v>
      </c>
      <c r="C20" s="15"/>
      <c r="D20" s="3">
        <v>236.07</v>
      </c>
      <c r="E20" s="3">
        <v>238.97</v>
      </c>
      <c r="F20" s="3">
        <v>238.97</v>
      </c>
      <c r="G20" s="3">
        <v>359.9</v>
      </c>
      <c r="H20" s="3">
        <v>248.89</v>
      </c>
      <c r="I20" s="3">
        <v>245.51</v>
      </c>
      <c r="J20" s="3">
        <v>248.65</v>
      </c>
      <c r="K20" s="3">
        <v>248.65</v>
      </c>
      <c r="L20" s="3">
        <v>248.65</v>
      </c>
      <c r="M20" s="3">
        <v>248.65</v>
      </c>
      <c r="N20" s="3">
        <v>73.350578461538504</v>
      </c>
      <c r="O20" s="3">
        <v>73.350578461538504</v>
      </c>
      <c r="P20" s="10"/>
      <c r="Q20" s="3">
        <f>SUM(OSRRefD21_0_1x)+IFERROR(SUM(OSRRefE21_0_1x),0)</f>
        <v>2709.611156923077</v>
      </c>
    </row>
    <row r="21" spans="1:17" s="42" customFormat="1" ht="15" hidden="1" customHeight="1" outlineLevel="1" x14ac:dyDescent="0.3">
      <c r="A21" s="34"/>
      <c r="B21" s="11" t="str">
        <f>CONCATENATE("          ","6113"," - ","GROUP INSURANCE")</f>
        <v xml:space="preserve">          6113 - GROUP INSURANCE</v>
      </c>
      <c r="C21" s="15"/>
      <c r="D21" s="3">
        <v>4833.2700000000004</v>
      </c>
      <c r="E21" s="3">
        <v>4833.2700000000004</v>
      </c>
      <c r="F21" s="3">
        <v>4867.0200000000004</v>
      </c>
      <c r="G21" s="3">
        <v>4833.2700000000004</v>
      </c>
      <c r="H21" s="3">
        <v>4833.2700000000004</v>
      </c>
      <c r="I21" s="3">
        <v>4833.2700000000004</v>
      </c>
      <c r="J21" s="3">
        <v>4446.67</v>
      </c>
      <c r="K21" s="3">
        <v>4446.67</v>
      </c>
      <c r="L21" s="3">
        <v>4446.67</v>
      </c>
      <c r="M21" s="3">
        <v>4446.67</v>
      </c>
      <c r="N21" s="3">
        <v>5336</v>
      </c>
      <c r="O21" s="3">
        <v>5336</v>
      </c>
      <c r="P21" s="10"/>
      <c r="Q21" s="3">
        <f>SUM(OSRRefD21_0_2x)+IFERROR(SUM(OSRRefE21_0_2x),0)</f>
        <v>57492.049999999996</v>
      </c>
    </row>
    <row r="22" spans="1:17" s="42" customFormat="1" ht="15" hidden="1" customHeight="1" outlineLevel="1" x14ac:dyDescent="0.3">
      <c r="A22" s="34"/>
      <c r="B22" s="11" t="str">
        <f>CONCATENATE("          ","6114"," - ","STATE UNEMPLOYMENT INSURANCE")</f>
        <v xml:space="preserve">          6114 - STATE UNEMPLOYMENT INSURANCE</v>
      </c>
      <c r="C22" s="15"/>
      <c r="D22" s="3">
        <v>47.58</v>
      </c>
      <c r="E22" s="3">
        <v>48.16</v>
      </c>
      <c r="F22" s="3">
        <v>48.16</v>
      </c>
      <c r="G22" s="3">
        <v>72.540000000000006</v>
      </c>
      <c r="H22" s="3">
        <v>50.16</v>
      </c>
      <c r="I22" s="3">
        <v>49.48</v>
      </c>
      <c r="J22" s="3">
        <v>50.12</v>
      </c>
      <c r="K22" s="3">
        <v>50.12</v>
      </c>
      <c r="L22" s="3">
        <v>50.12</v>
      </c>
      <c r="M22" s="3">
        <v>50.12</v>
      </c>
      <c r="N22" s="3">
        <v>49.6891015384615</v>
      </c>
      <c r="O22" s="3">
        <v>49.6891015384615</v>
      </c>
      <c r="P22" s="10"/>
      <c r="Q22" s="3">
        <f>SUM(OSRRefD21_0_3x)+IFERROR(SUM(OSRRefE21_0_3x),0)</f>
        <v>615.93820307692306</v>
      </c>
    </row>
    <row r="23" spans="1:17" s="42" customFormat="1" ht="15" hidden="1" customHeight="1" outlineLevel="1" x14ac:dyDescent="0.3">
      <c r="A23" s="34"/>
      <c r="B23" s="11" t="str">
        <f>CONCATENATE("          ","6115"," - ","P.E.R.S.")</f>
        <v xml:space="preserve">          6115 - P.E.R.S.</v>
      </c>
      <c r="C23" s="15"/>
      <c r="D23" s="3">
        <v>1834.11</v>
      </c>
      <c r="E23" s="3">
        <v>1834.11</v>
      </c>
      <c r="F23" s="3">
        <v>1834.11</v>
      </c>
      <c r="G23" s="3">
        <v>2751.15</v>
      </c>
      <c r="H23" s="3">
        <v>1907.46</v>
      </c>
      <c r="I23" s="3">
        <v>1907.46</v>
      </c>
      <c r="J23" s="3">
        <v>1907.46</v>
      </c>
      <c r="K23" s="3">
        <v>1907.46</v>
      </c>
      <c r="L23" s="3">
        <v>1888.64</v>
      </c>
      <c r="M23" s="3">
        <v>2336.54</v>
      </c>
      <c r="N23" s="3">
        <v>1567.18461538462</v>
      </c>
      <c r="O23" s="3">
        <v>1567.18461538462</v>
      </c>
      <c r="P23" s="10"/>
      <c r="Q23" s="3">
        <f>SUM(OSRRefD21_0_4x)+IFERROR(SUM(OSRRefE21_0_4x),0)</f>
        <v>23242.869230769236</v>
      </c>
    </row>
    <row r="24" spans="1:17" s="42" customFormat="1" ht="15" hidden="1" customHeight="1" outlineLevel="1" x14ac:dyDescent="0.3">
      <c r="A24" s="34"/>
      <c r="B24" s="11" t="str">
        <f>CONCATENATE("          ","6116"," - ","EDUCATIONAL BENEFITS")</f>
        <v xml:space="preserve">          6116 - EDUCATIONAL BENEFITS</v>
      </c>
      <c r="C24" s="15"/>
      <c r="D24" s="3"/>
      <c r="E24" s="3"/>
      <c r="F24" s="3"/>
      <c r="G24" s="3"/>
      <c r="H24" s="3"/>
      <c r="I24" s="3"/>
      <c r="J24" s="3"/>
      <c r="K24" s="3"/>
      <c r="L24" s="3"/>
      <c r="M24" s="3"/>
      <c r="N24" s="3">
        <v>0</v>
      </c>
      <c r="O24" s="3">
        <v>0</v>
      </c>
      <c r="P24" s="10"/>
      <c r="Q24" s="3">
        <f>SUM(OSRRefD21_0_5x)+IFERROR(SUM(OSRRefE21_0_5x),0)</f>
        <v>0</v>
      </c>
    </row>
    <row r="25" spans="1:17" s="42" customFormat="1" ht="15" hidden="1" customHeight="1" outlineLevel="1" x14ac:dyDescent="0.3">
      <c r="A25" s="34"/>
      <c r="B25" s="11" t="str">
        <f>CONCATENATE("          ","6118"," - ","VACATION")</f>
        <v xml:space="preserve">          6118 - VACATION</v>
      </c>
      <c r="C25" s="15"/>
      <c r="D25" s="3">
        <v>1390.88</v>
      </c>
      <c r="E25" s="3">
        <v>1349.22</v>
      </c>
      <c r="F25" s="3">
        <v>1324.09</v>
      </c>
      <c r="G25" s="3">
        <v>1106.1099999999999</v>
      </c>
      <c r="H25" s="3">
        <v>1493.96</v>
      </c>
      <c r="I25" s="3">
        <v>1493.96</v>
      </c>
      <c r="J25" s="3">
        <v>3077.73</v>
      </c>
      <c r="K25" s="3">
        <v>1493.96</v>
      </c>
      <c r="L25" s="3">
        <v>1464.36</v>
      </c>
      <c r="M25" s="3">
        <v>2240.94</v>
      </c>
      <c r="N25" s="3">
        <v>911.15384615384596</v>
      </c>
      <c r="O25" s="3">
        <v>911.15384615384596</v>
      </c>
      <c r="P25" s="10"/>
      <c r="Q25" s="3">
        <f>SUM(OSRRefD21_0_6x)+IFERROR(SUM(OSRRefE21_0_6x),0)</f>
        <v>18257.517692307691</v>
      </c>
    </row>
    <row r="26" spans="1:17" s="42" customFormat="1" ht="15" hidden="1" customHeight="1" outlineLevel="1" x14ac:dyDescent="0.3">
      <c r="A26" s="34"/>
      <c r="B26" s="11" t="str">
        <f>CONCATENATE("          ","6119"," - ","SICK LEAVE")</f>
        <v xml:space="preserve">          6119 - SICK LEAVE</v>
      </c>
      <c r="C26" s="15"/>
      <c r="D26" s="3">
        <v>844.06</v>
      </c>
      <c r="E26" s="3">
        <v>844.06</v>
      </c>
      <c r="F26" s="3">
        <v>844.06</v>
      </c>
      <c r="G26" s="3">
        <v>1266.0899999999999</v>
      </c>
      <c r="H26" s="3">
        <v>877.84</v>
      </c>
      <c r="I26" s="3">
        <v>877.84</v>
      </c>
      <c r="J26" s="3">
        <v>1773.2</v>
      </c>
      <c r="K26" s="3">
        <v>877.84</v>
      </c>
      <c r="L26" s="3">
        <v>877.84</v>
      </c>
      <c r="M26" s="3">
        <v>1316.76</v>
      </c>
      <c r="N26" s="3">
        <v>1074.3058461538501</v>
      </c>
      <c r="O26" s="3">
        <v>1074.3058461538501</v>
      </c>
      <c r="P26" s="10"/>
      <c r="Q26" s="3">
        <f>SUM(OSRRefD21_0_7x)+IFERROR(SUM(OSRRefE21_0_7x),0)</f>
        <v>12548.201692307701</v>
      </c>
    </row>
    <row r="27" spans="1:17" s="42" customFormat="1" ht="15" hidden="1" customHeight="1" outlineLevel="1" x14ac:dyDescent="0.3">
      <c r="A27" s="34"/>
      <c r="B27" s="11" t="str">
        <f>CONCATENATE("          ","6156"," - ","EMPLOYEE MEALS")</f>
        <v xml:space="preserve">          6156 - EMPLOYEE MEALS</v>
      </c>
      <c r="C27" s="15"/>
      <c r="D27" s="3">
        <v>135.29</v>
      </c>
      <c r="E27" s="3">
        <v>254.06</v>
      </c>
      <c r="F27" s="3">
        <v>179.37</v>
      </c>
      <c r="G27" s="3">
        <v>352.64</v>
      </c>
      <c r="H27" s="3">
        <v>188.45</v>
      </c>
      <c r="I27" s="3">
        <v>180.57</v>
      </c>
      <c r="J27" s="3">
        <v>172.16</v>
      </c>
      <c r="K27" s="3">
        <v>357.5</v>
      </c>
      <c r="L27" s="3">
        <v>337.58</v>
      </c>
      <c r="M27" s="3">
        <v>383.58</v>
      </c>
      <c r="N27" s="3">
        <v>300</v>
      </c>
      <c r="O27" s="3">
        <v>300</v>
      </c>
      <c r="P27" s="10"/>
      <c r="Q27" s="3">
        <f>SUM(OSRRefD21_0_8x)+IFERROR(SUM(OSRRefE21_0_8x),0)</f>
        <v>3141.2</v>
      </c>
    </row>
    <row r="28" spans="1:17" s="42" customFormat="1" ht="15" customHeight="1" collapsed="1" x14ac:dyDescent="0.3">
      <c r="A28" s="34"/>
      <c r="B28" s="15" t="str">
        <f>CONCATENATE("     ","*Payroll                                          ")</f>
        <v xml:space="preserve">     *Payroll                                          </v>
      </c>
      <c r="C28" s="15"/>
      <c r="D28" s="2">
        <f>SUM(OSRRefD21_1x_0)</f>
        <v>21142.27</v>
      </c>
      <c r="E28" s="2">
        <f>SUM(OSRRefD21_1x_1)</f>
        <v>17764.14</v>
      </c>
      <c r="F28" s="2">
        <f>SUM(OSRRefD21_1x_2)</f>
        <v>16172.63</v>
      </c>
      <c r="G28" s="2">
        <f>SUM(OSRRefD21_1x_3)</f>
        <v>21389</v>
      </c>
      <c r="H28" s="2">
        <f>SUM(OSRRefD21_1x_4)</f>
        <v>16170.85</v>
      </c>
      <c r="I28" s="2">
        <f>SUM(OSRRefD21_1x_5)</f>
        <v>18389.099999999999</v>
      </c>
      <c r="J28" s="2">
        <f>SUM(OSRRefD21_1x_6)</f>
        <v>21976.01</v>
      </c>
      <c r="K28" s="2">
        <f>SUM(OSRRefD21_1x_7)</f>
        <v>18052.18</v>
      </c>
      <c r="L28" s="2">
        <f>SUM(OSRRefD21_1x_8)</f>
        <v>17704.02</v>
      </c>
      <c r="M28" s="2">
        <f>SUM(OSRRefD21_1x_9)</f>
        <v>20755.439999999999</v>
      </c>
      <c r="N28" s="2">
        <f>SUM(OSRRefE21_1x_0)</f>
        <v>21839.169230769199</v>
      </c>
      <c r="O28" s="2">
        <f>SUM(OSRRefE21_1x_1)</f>
        <v>21839.169230769199</v>
      </c>
      <c r="Q28" s="3">
        <f>SUM(OSRRefD20_1x)+IFERROR(SUM(OSRRefE20_1x),0)</f>
        <v>233193.97846153841</v>
      </c>
    </row>
    <row r="29" spans="1:17" s="42" customFormat="1" ht="15" hidden="1" customHeight="1" outlineLevel="1" x14ac:dyDescent="0.3">
      <c r="A29" s="34"/>
      <c r="B29" s="11" t="str">
        <f>CONCATENATE("          ","6001"," - ","ADMINISTRATIVE SALARIES")</f>
        <v xml:space="preserve">          6001 - ADMINISTRATIVE SALARIES</v>
      </c>
      <c r="C29" s="15"/>
      <c r="D29" s="3"/>
      <c r="E29" s="3"/>
      <c r="F29" s="3"/>
      <c r="G29" s="3"/>
      <c r="H29" s="3"/>
      <c r="I29" s="3"/>
      <c r="J29" s="3"/>
      <c r="K29" s="3"/>
      <c r="L29" s="3"/>
      <c r="M29" s="3"/>
      <c r="N29" s="3">
        <v>0</v>
      </c>
      <c r="O29" s="3">
        <v>0</v>
      </c>
      <c r="P29" s="10"/>
      <c r="Q29" s="3">
        <f>SUM(OSRRefD21_1_0x)+IFERROR(SUM(OSRRefE21_1_0x),0)</f>
        <v>0</v>
      </c>
    </row>
    <row r="30" spans="1:17" s="42" customFormat="1" ht="15" hidden="1" customHeight="1" outlineLevel="1" x14ac:dyDescent="0.3">
      <c r="A30" s="34"/>
      <c r="B30" s="11" t="str">
        <f>CONCATENATE("          ","6002"," - ","STAFF SALARIES")</f>
        <v xml:space="preserve">          6002 - STAFF SALARIES</v>
      </c>
      <c r="C30" s="15"/>
      <c r="D30" s="3">
        <v>21142.27</v>
      </c>
      <c r="E30" s="3">
        <v>17764.14</v>
      </c>
      <c r="F30" s="3">
        <v>16172.63</v>
      </c>
      <c r="G30" s="3">
        <v>21389</v>
      </c>
      <c r="H30" s="3">
        <v>16170.85</v>
      </c>
      <c r="I30" s="3">
        <v>18389.099999999999</v>
      </c>
      <c r="J30" s="3">
        <v>20978.01</v>
      </c>
      <c r="K30" s="3">
        <v>19050.18</v>
      </c>
      <c r="L30" s="3">
        <v>17704.02</v>
      </c>
      <c r="M30" s="3">
        <v>20755.439999999999</v>
      </c>
      <c r="N30" s="3">
        <v>16400.769230769201</v>
      </c>
      <c r="O30" s="3">
        <v>16400.769230769201</v>
      </c>
      <c r="P30" s="10"/>
      <c r="Q30" s="3">
        <f>SUM(OSRRefD21_1_1x)+IFERROR(SUM(OSRRefE21_1_1x),0)</f>
        <v>222317.17846153842</v>
      </c>
    </row>
    <row r="31" spans="1:17" s="42" customFormat="1" ht="15" hidden="1" customHeight="1" outlineLevel="1" x14ac:dyDescent="0.3">
      <c r="A31" s="34"/>
      <c r="B31" s="11" t="str">
        <f>CONCATENATE("          ","6003"," - ","STAFF HOURLY-9 MONTH")</f>
        <v xml:space="preserve">          6003 - STAFF HOURLY-9 MONTH</v>
      </c>
      <c r="C31" s="15"/>
      <c r="D31" s="3"/>
      <c r="E31" s="3"/>
      <c r="F31" s="3"/>
      <c r="G31" s="3"/>
      <c r="H31" s="3"/>
      <c r="I31" s="3"/>
      <c r="J31" s="3"/>
      <c r="K31" s="3"/>
      <c r="L31" s="3"/>
      <c r="M31" s="3"/>
      <c r="N31" s="3">
        <v>0</v>
      </c>
      <c r="O31" s="3">
        <v>0</v>
      </c>
      <c r="P31" s="10"/>
      <c r="Q31" s="3">
        <f>SUM(OSRRefD21_1_2x)+IFERROR(SUM(OSRRefE21_1_2x),0)</f>
        <v>0</v>
      </c>
    </row>
    <row r="32" spans="1:17" s="42" customFormat="1" ht="15" hidden="1" customHeight="1" outlineLevel="1" x14ac:dyDescent="0.3">
      <c r="A32" s="34"/>
      <c r="B32" s="11" t="str">
        <f>CONCATENATE("          ","6004"," - ","STAFF HOURLY")</f>
        <v xml:space="preserve">          6004 - STAFF HOURLY</v>
      </c>
      <c r="C32" s="15"/>
      <c r="D32" s="3"/>
      <c r="E32" s="3"/>
      <c r="F32" s="3"/>
      <c r="G32" s="3"/>
      <c r="H32" s="3"/>
      <c r="I32" s="3"/>
      <c r="J32" s="3"/>
      <c r="K32" s="3"/>
      <c r="L32" s="3"/>
      <c r="M32" s="3"/>
      <c r="N32" s="3">
        <v>5438.4</v>
      </c>
      <c r="O32" s="3">
        <v>5438.4</v>
      </c>
      <c r="P32" s="10"/>
      <c r="Q32" s="3">
        <f>SUM(OSRRefD21_1_3x)+IFERROR(SUM(OSRRefE21_1_3x),0)</f>
        <v>10876.8</v>
      </c>
    </row>
    <row r="33" spans="1:17" s="42" customFormat="1" ht="15" hidden="1" customHeight="1" outlineLevel="1" x14ac:dyDescent="0.3">
      <c r="A33" s="34"/>
      <c r="B33" s="11" t="str">
        <f>CONCATENATE("          ","6005"," - ","TEMPORARY WAGES-HOURLY")</f>
        <v xml:space="preserve">          6005 - TEMPORARY WAGES-HOURLY</v>
      </c>
      <c r="C33" s="15"/>
      <c r="D33" s="3"/>
      <c r="E33" s="3"/>
      <c r="F33" s="3"/>
      <c r="G33" s="3"/>
      <c r="H33" s="3"/>
      <c r="I33" s="3"/>
      <c r="J33" s="3"/>
      <c r="K33" s="3"/>
      <c r="L33" s="3"/>
      <c r="M33" s="3"/>
      <c r="N33" s="3">
        <v>0</v>
      </c>
      <c r="O33" s="3">
        <v>0</v>
      </c>
      <c r="P33" s="10"/>
      <c r="Q33" s="3">
        <f>SUM(OSRRefD21_1_4x)+IFERROR(SUM(OSRRefE21_1_4x),0)</f>
        <v>0</v>
      </c>
    </row>
    <row r="34" spans="1:17" s="42" customFormat="1" ht="15" hidden="1" customHeight="1" outlineLevel="1" x14ac:dyDescent="0.3">
      <c r="A34" s="34"/>
      <c r="B34" s="11" t="str">
        <f>CONCATENATE("          ","6006"," - ","TEMPORARY PART TIME")</f>
        <v xml:space="preserve">          6006 - TEMPORARY PART TIME</v>
      </c>
      <c r="C34" s="15"/>
      <c r="D34" s="3"/>
      <c r="E34" s="3"/>
      <c r="F34" s="3"/>
      <c r="G34" s="3"/>
      <c r="H34" s="3"/>
      <c r="I34" s="3"/>
      <c r="J34" s="3"/>
      <c r="K34" s="3"/>
      <c r="L34" s="3"/>
      <c r="M34" s="3"/>
      <c r="N34" s="3">
        <v>0</v>
      </c>
      <c r="O34" s="3">
        <v>0</v>
      </c>
      <c r="P34" s="10"/>
      <c r="Q34" s="3">
        <f>SUM(OSRRefD21_1_5x)+IFERROR(SUM(OSRRefE21_1_5x),0)</f>
        <v>0</v>
      </c>
    </row>
    <row r="35" spans="1:17" s="42" customFormat="1" ht="15" hidden="1" customHeight="1" outlineLevel="1" x14ac:dyDescent="0.3">
      <c r="A35" s="34"/>
      <c r="B35" s="11" t="str">
        <f>CONCATENATE("          ","6007"," - ","STUDENT HOURLY")</f>
        <v xml:space="preserve">          6007 - STUDENT HOURLY</v>
      </c>
      <c r="C35" s="15"/>
      <c r="D35" s="3"/>
      <c r="E35" s="3"/>
      <c r="F35" s="3"/>
      <c r="G35" s="3"/>
      <c r="H35" s="3"/>
      <c r="I35" s="3"/>
      <c r="J35" s="3">
        <v>998</v>
      </c>
      <c r="K35" s="3">
        <v>-998</v>
      </c>
      <c r="L35" s="3"/>
      <c r="M35" s="3"/>
      <c r="N35" s="3">
        <v>0</v>
      </c>
      <c r="O35" s="3">
        <v>0</v>
      </c>
      <c r="P35" s="10"/>
      <c r="Q35" s="3">
        <f>SUM(OSRRefD21_1_6x)+IFERROR(SUM(OSRRefE21_1_6x),0)</f>
        <v>0</v>
      </c>
    </row>
    <row r="36" spans="1:17" s="42" customFormat="1" ht="15" hidden="1" customHeight="1" outlineLevel="1" x14ac:dyDescent="0.3">
      <c r="A36" s="34"/>
      <c r="B36" s="11" t="str">
        <f>CONCATENATE("          ","6008"," - ","STUDENT HOURLY-FICA EXEMPT")</f>
        <v xml:space="preserve">          6008 - STUDENT HOURLY-FICA EXEMPT</v>
      </c>
      <c r="C36" s="15"/>
      <c r="D36" s="3"/>
      <c r="E36" s="3"/>
      <c r="F36" s="3"/>
      <c r="G36" s="3"/>
      <c r="H36" s="3"/>
      <c r="I36" s="3"/>
      <c r="J36" s="3"/>
      <c r="K36" s="3"/>
      <c r="L36" s="3"/>
      <c r="M36" s="3"/>
      <c r="N36" s="3">
        <v>0</v>
      </c>
      <c r="O36" s="3">
        <v>0</v>
      </c>
      <c r="P36" s="10"/>
      <c r="Q36" s="3">
        <f>SUM(OSRRefD21_1_7x)+IFERROR(SUM(OSRRefE21_1_7x),0)</f>
        <v>0</v>
      </c>
    </row>
    <row r="37" spans="1:17" s="42" customFormat="1" ht="15" hidden="1" customHeight="1" outlineLevel="1" x14ac:dyDescent="0.3">
      <c r="A37" s="34"/>
      <c r="B37" s="11" t="str">
        <f>CONCATENATE("          ","6009"," - ","TEMPORARY-SEASONAL")</f>
        <v xml:space="preserve">          6009 - TEMPORARY-SEASONAL</v>
      </c>
      <c r="C37" s="15"/>
      <c r="D37" s="3"/>
      <c r="E37" s="3"/>
      <c r="F37" s="3"/>
      <c r="G37" s="3"/>
      <c r="H37" s="3"/>
      <c r="I37" s="3"/>
      <c r="J37" s="3"/>
      <c r="K37" s="3"/>
      <c r="L37" s="3"/>
      <c r="M37" s="3"/>
      <c r="N37" s="3">
        <v>0</v>
      </c>
      <c r="O37" s="3">
        <v>0</v>
      </c>
      <c r="P37" s="10"/>
      <c r="Q37" s="3">
        <f>SUM(OSRRefD21_1_8x)+IFERROR(SUM(OSRRefE21_1_8x),0)</f>
        <v>0</v>
      </c>
    </row>
    <row r="38" spans="1:17" s="42" customFormat="1" ht="15" hidden="1" customHeight="1" outlineLevel="1" x14ac:dyDescent="0.3">
      <c r="A38" s="34"/>
      <c r="B38" s="11" t="str">
        <f>CONCATENATE("          ","6010"," - ","GRATUITY")</f>
        <v xml:space="preserve">          6010 - GRATUITY</v>
      </c>
      <c r="C38" s="15"/>
      <c r="D38" s="3"/>
      <c r="E38" s="3"/>
      <c r="F38" s="3"/>
      <c r="G38" s="3"/>
      <c r="H38" s="3"/>
      <c r="I38" s="3"/>
      <c r="J38" s="3"/>
      <c r="K38" s="3"/>
      <c r="L38" s="3"/>
      <c r="M38" s="3"/>
      <c r="N38" s="3">
        <v>0</v>
      </c>
      <c r="O38" s="3">
        <v>0</v>
      </c>
      <c r="P38" s="10"/>
      <c r="Q38" s="3">
        <f>SUM(OSRRefD21_1_9x)+IFERROR(SUM(OSRRefE21_1_9x),0)</f>
        <v>0</v>
      </c>
    </row>
    <row r="39" spans="1:17" s="42" customFormat="1" ht="15" customHeight="1" collapsed="1" x14ac:dyDescent="0.3">
      <c r="A39" s="34"/>
      <c r="B39" s="15" t="str">
        <f>CONCATENATE("     ","Depreciation                                      ")</f>
        <v xml:space="preserve">     Depreciation                                      </v>
      </c>
      <c r="C39" s="15"/>
      <c r="D39" s="2">
        <f>SUM(OSRRefD21_2x_0)</f>
        <v>5098.37</v>
      </c>
      <c r="E39" s="2">
        <f>SUM(OSRRefD21_2x_1)</f>
        <v>5098.37</v>
      </c>
      <c r="F39" s="2">
        <f>SUM(OSRRefD21_2x_2)</f>
        <v>5098.3599999999997</v>
      </c>
      <c r="G39" s="2">
        <f>SUM(OSRRefD21_2x_3)</f>
        <v>2140.9</v>
      </c>
      <c r="H39" s="2">
        <f>SUM(OSRRefD21_2x_4)</f>
        <v>2140.89</v>
      </c>
      <c r="I39" s="2">
        <f>SUM(OSRRefD21_2x_5)</f>
        <v>2140.89</v>
      </c>
      <c r="J39" s="2">
        <f>SUM(OSRRefD21_2x_6)</f>
        <v>2140.89</v>
      </c>
      <c r="K39" s="2">
        <f>SUM(OSRRefD21_2x_7)</f>
        <v>2140.89</v>
      </c>
      <c r="L39" s="2">
        <f>SUM(OSRRefD21_2x_8)</f>
        <v>2140.89</v>
      </c>
      <c r="M39" s="2">
        <f>SUM(OSRRefD21_2x_9)</f>
        <v>2140.89</v>
      </c>
      <c r="N39" s="2">
        <f>SUM(OSRRefE21_2x_0)</f>
        <v>2099</v>
      </c>
      <c r="O39" s="2">
        <f>SUM(OSRRefE21_2x_1)</f>
        <v>1645</v>
      </c>
      <c r="Q39" s="3">
        <f>SUM(OSRRefD20_2x)+IFERROR(SUM(OSRRefE20_2x),0)</f>
        <v>34025.339999999997</v>
      </c>
    </row>
    <row r="40" spans="1:17" s="42" customFormat="1" ht="15" hidden="1" customHeight="1" outlineLevel="1" x14ac:dyDescent="0.3">
      <c r="A40" s="34"/>
      <c r="B40" s="11" t="str">
        <f>CONCATENATE("          ","6322"," - ","EQUIPMENT DEPRECIATION EXPENSE")</f>
        <v xml:space="preserve">          6322 - EQUIPMENT DEPRECIATION EXPENSE</v>
      </c>
      <c r="C40" s="15"/>
      <c r="D40" s="3">
        <v>5098.37</v>
      </c>
      <c r="E40" s="3">
        <v>5098.37</v>
      </c>
      <c r="F40" s="3">
        <v>5098.3599999999997</v>
      </c>
      <c r="G40" s="3">
        <v>2140.9</v>
      </c>
      <c r="H40" s="3">
        <v>2140.89</v>
      </c>
      <c r="I40" s="3">
        <v>2140.89</v>
      </c>
      <c r="J40" s="3">
        <v>2140.89</v>
      </c>
      <c r="K40" s="3">
        <v>2140.89</v>
      </c>
      <c r="L40" s="3">
        <v>2140.89</v>
      </c>
      <c r="M40" s="3">
        <v>2140.89</v>
      </c>
      <c r="N40" s="3">
        <v>1599</v>
      </c>
      <c r="O40" s="3">
        <v>1145</v>
      </c>
      <c r="P40" s="10"/>
      <c r="Q40" s="3">
        <f>SUM(OSRRefD21_2_0x)+IFERROR(SUM(OSRRefE21_2_0x),0)</f>
        <v>33025.339999999997</v>
      </c>
    </row>
    <row r="41" spans="1:17" s="42" customFormat="1" ht="15" hidden="1" customHeight="1" outlineLevel="1" x14ac:dyDescent="0.3">
      <c r="A41" s="34"/>
      <c r="B41" s="11" t="str">
        <f>CONCATENATE("          ","6324"," - ","FURNITURE + FIXT DEPRECIATION")</f>
        <v xml:space="preserve">          6324 - FURNITURE + FIXT DEPRECIATION</v>
      </c>
      <c r="C41" s="15"/>
      <c r="D41" s="3"/>
      <c r="E41" s="3"/>
      <c r="F41" s="3"/>
      <c r="G41" s="3"/>
      <c r="H41" s="3"/>
      <c r="I41" s="3"/>
      <c r="J41" s="3"/>
      <c r="K41" s="3"/>
      <c r="L41" s="3"/>
      <c r="M41" s="3"/>
      <c r="N41" s="3">
        <v>500</v>
      </c>
      <c r="O41" s="3">
        <v>500</v>
      </c>
      <c r="P41" s="10"/>
      <c r="Q41" s="3">
        <f>SUM(OSRRefD21_2_1x)+IFERROR(SUM(OSRRefE21_2_1x),0)</f>
        <v>1000</v>
      </c>
    </row>
    <row r="42" spans="1:17" s="42" customFormat="1" ht="15" customHeight="1" collapsed="1" x14ac:dyDescent="0.3">
      <c r="A42" s="34"/>
      <c r="B42" s="15" t="str">
        <f>CONCATENATE("     ","Insurance                                         ")</f>
        <v xml:space="preserve">     Insurance                                         </v>
      </c>
      <c r="C42" s="15"/>
      <c r="D42" s="2">
        <f>SUM(OSRRefD21_3x_0)</f>
        <v>76.569999999999993</v>
      </c>
      <c r="E42" s="2">
        <f>SUM(OSRRefD21_3x_1)</f>
        <v>76.569999999999993</v>
      </c>
      <c r="F42" s="2">
        <f>SUM(OSRRefD21_3x_2)</f>
        <v>76.569999999999993</v>
      </c>
      <c r="G42" s="2">
        <f>SUM(OSRRefD21_3x_3)</f>
        <v>76.569999999999993</v>
      </c>
      <c r="H42" s="2">
        <f>SUM(OSRRefD21_3x_4)</f>
        <v>76.569999999999993</v>
      </c>
      <c r="I42" s="2">
        <f>SUM(OSRRefD21_3x_5)</f>
        <v>76.569999999999993</v>
      </c>
      <c r="J42" s="2">
        <f>SUM(OSRRefD21_3x_6)</f>
        <v>76.569999999999993</v>
      </c>
      <c r="K42" s="2">
        <f>SUM(OSRRefD21_3x_7)</f>
        <v>76.569999999999993</v>
      </c>
      <c r="L42" s="2">
        <f>SUM(OSRRefD21_3x_8)</f>
        <v>76.569999999999993</v>
      </c>
      <c r="M42" s="2">
        <f>SUM(OSRRefD21_3x_9)</f>
        <v>76.569999999999993</v>
      </c>
      <c r="N42" s="2">
        <f>SUM(OSRRefE21_3x_0)</f>
        <v>75</v>
      </c>
      <c r="O42" s="2">
        <f>SUM(OSRRefE21_3x_1)</f>
        <v>75</v>
      </c>
      <c r="Q42" s="3">
        <f>SUM(OSRRefD20_3x)+IFERROR(SUM(OSRRefE20_3x),0)</f>
        <v>915.69999999999982</v>
      </c>
    </row>
    <row r="43" spans="1:17" s="42" customFormat="1" ht="15" hidden="1" customHeight="1" outlineLevel="1" x14ac:dyDescent="0.3">
      <c r="A43" s="34"/>
      <c r="B43" s="11" t="str">
        <f>CONCATENATE("          ","6314"," - ","LIABILITY INSURANCE")</f>
        <v xml:space="preserve">          6314 - LIABILITY INSURANCE</v>
      </c>
      <c r="C43" s="15"/>
      <c r="D43" s="3">
        <v>76.569999999999993</v>
      </c>
      <c r="E43" s="3">
        <v>76.569999999999993</v>
      </c>
      <c r="F43" s="3">
        <v>76.569999999999993</v>
      </c>
      <c r="G43" s="3">
        <v>76.569999999999993</v>
      </c>
      <c r="H43" s="3">
        <v>76.569999999999993</v>
      </c>
      <c r="I43" s="3">
        <v>76.569999999999993</v>
      </c>
      <c r="J43" s="3">
        <v>76.569999999999993</v>
      </c>
      <c r="K43" s="3">
        <v>76.569999999999993</v>
      </c>
      <c r="L43" s="3">
        <v>76.569999999999993</v>
      </c>
      <c r="M43" s="3">
        <v>76.569999999999993</v>
      </c>
      <c r="N43" s="3">
        <v>75</v>
      </c>
      <c r="O43" s="3">
        <v>75</v>
      </c>
      <c r="P43" s="10"/>
      <c r="Q43" s="3">
        <f>SUM(OSRRefD21_3_0x)+IFERROR(SUM(OSRRefE21_3_0x),0)</f>
        <v>915.69999999999982</v>
      </c>
    </row>
    <row r="44" spans="1:17" s="42" customFormat="1" ht="15" customHeight="1" collapsed="1" x14ac:dyDescent="0.3">
      <c r="A44" s="34"/>
      <c r="B44" s="15" t="str">
        <f>CONCATENATE("     ","Repair and Maintenance                            ")</f>
        <v xml:space="preserve">     Repair and Maintenance                            </v>
      </c>
      <c r="C44" s="15"/>
      <c r="D44" s="2">
        <f>SUM(OSRRefD21_4x_0)</f>
        <v>9565</v>
      </c>
      <c r="E44" s="2">
        <f>SUM(OSRRefD21_4x_1)</f>
        <v>8673.52</v>
      </c>
      <c r="F44" s="2">
        <f>SUM(OSRRefD21_4x_2)</f>
        <v>9466</v>
      </c>
      <c r="G44" s="2">
        <f>SUM(OSRRefD21_4x_3)</f>
        <v>10667.06</v>
      </c>
      <c r="H44" s="2">
        <f>SUM(OSRRefD21_4x_4)</f>
        <v>9466</v>
      </c>
      <c r="I44" s="2">
        <f>SUM(OSRRefD21_4x_5)</f>
        <v>13219.65</v>
      </c>
      <c r="J44" s="2">
        <f>SUM(OSRRefD21_4x_6)</f>
        <v>9534.9500000000007</v>
      </c>
      <c r="K44" s="2">
        <f>SUM(OSRRefD21_4x_7)</f>
        <v>9666.8700000000008</v>
      </c>
      <c r="L44" s="2">
        <f>SUM(OSRRefD21_4x_8)</f>
        <v>1.25</v>
      </c>
      <c r="M44" s="2">
        <f>SUM(OSRRefD21_4x_9)</f>
        <v>9796</v>
      </c>
      <c r="N44" s="2">
        <f>SUM(OSRRefE21_4x_0)</f>
        <v>10467</v>
      </c>
      <c r="O44" s="2">
        <f>SUM(OSRRefE21_4x_1)</f>
        <v>10467</v>
      </c>
      <c r="Q44" s="3">
        <f>SUM(OSRRefD20_4x)+IFERROR(SUM(OSRRefE20_4x),0)</f>
        <v>110990.3</v>
      </c>
    </row>
    <row r="45" spans="1:17" s="42" customFormat="1" ht="15" hidden="1" customHeight="1" outlineLevel="1" x14ac:dyDescent="0.3">
      <c r="A45" s="34"/>
      <c r="B45" s="11" t="str">
        <f>CONCATENATE("          ","6371"," - ","COMPUTER SOFTWARE MAINTENANCE")</f>
        <v xml:space="preserve">          6371 - COMPUTER SOFTWARE MAINTENANCE</v>
      </c>
      <c r="C45" s="15"/>
      <c r="D45" s="3">
        <v>99</v>
      </c>
      <c r="E45" s="3">
        <v>1560</v>
      </c>
      <c r="F45" s="3"/>
      <c r="G45" s="3">
        <v>165</v>
      </c>
      <c r="H45" s="3"/>
      <c r="I45" s="3"/>
      <c r="J45" s="3">
        <v>68.95</v>
      </c>
      <c r="K45" s="3">
        <v>200.87</v>
      </c>
      <c r="L45" s="3"/>
      <c r="M45" s="3">
        <v>330</v>
      </c>
      <c r="N45" s="3">
        <v>1000</v>
      </c>
      <c r="O45" s="3">
        <v>1000</v>
      </c>
      <c r="P45" s="10"/>
      <c r="Q45" s="3">
        <f>SUM(OSRRefD21_4_0x)+IFERROR(SUM(OSRRefE21_4_0x),0)</f>
        <v>4423.82</v>
      </c>
    </row>
    <row r="46" spans="1:17" s="42" customFormat="1" ht="15" hidden="1" customHeight="1" outlineLevel="1" x14ac:dyDescent="0.3">
      <c r="A46" s="34"/>
      <c r="B46" s="11" t="str">
        <f>CONCATENATE("          ","6372"," - ","COMPUTER HARDWARE MAINTENANCE")</f>
        <v xml:space="preserve">          6372 - COMPUTER HARDWARE MAINTENANCE</v>
      </c>
      <c r="C46" s="15"/>
      <c r="D46" s="3"/>
      <c r="E46" s="3"/>
      <c r="F46" s="3"/>
      <c r="G46" s="3">
        <v>1008.07</v>
      </c>
      <c r="H46" s="3"/>
      <c r="I46" s="3">
        <v>3752.4</v>
      </c>
      <c r="J46" s="3"/>
      <c r="K46" s="3"/>
      <c r="L46" s="3"/>
      <c r="M46" s="3"/>
      <c r="N46" s="3"/>
      <c r="O46" s="3"/>
      <c r="P46" s="10"/>
      <c r="Q46" s="3">
        <f>SUM(OSRRefD21_4_1x)+IFERROR(SUM(OSRRefE21_4_1x),0)</f>
        <v>4760.47</v>
      </c>
    </row>
    <row r="47" spans="1:17" s="42" customFormat="1" ht="15" hidden="1" customHeight="1" outlineLevel="1" x14ac:dyDescent="0.3">
      <c r="A47" s="34"/>
      <c r="B47" s="11" t="str">
        <f>CONCATENATE("          ","6373"," - ","MAINTENANCE CONTRACTS")</f>
        <v xml:space="preserve">          6373 - MAINTENANCE CONTRACTS</v>
      </c>
      <c r="C47" s="15"/>
      <c r="D47" s="3">
        <v>9466</v>
      </c>
      <c r="E47" s="3">
        <v>7066</v>
      </c>
      <c r="F47" s="3">
        <v>9466</v>
      </c>
      <c r="G47" s="3">
        <v>9493.99</v>
      </c>
      <c r="H47" s="3">
        <v>9466</v>
      </c>
      <c r="I47" s="3">
        <v>9467.25</v>
      </c>
      <c r="J47" s="3">
        <v>9466</v>
      </c>
      <c r="K47" s="3">
        <v>9466</v>
      </c>
      <c r="L47" s="3">
        <v>1.25</v>
      </c>
      <c r="M47" s="3">
        <v>9466</v>
      </c>
      <c r="N47" s="3">
        <v>9467</v>
      </c>
      <c r="O47" s="3">
        <v>9467</v>
      </c>
      <c r="P47" s="10"/>
      <c r="Q47" s="3">
        <f>SUM(OSRRefD21_4_2x)+IFERROR(SUM(OSRRefE21_4_2x),0)</f>
        <v>101758.48999999999</v>
      </c>
    </row>
    <row r="48" spans="1:17" s="42" customFormat="1" ht="15" hidden="1" customHeight="1" outlineLevel="1" x14ac:dyDescent="0.3">
      <c r="A48" s="34"/>
      <c r="B48" s="11" t="str">
        <f>CONCATENATE("          ","6375"," - ","OUTSIDE REPAIRS &amp; MAINTENANCE")</f>
        <v xml:space="preserve">          6375 - OUTSIDE REPAIRS &amp; MAINTENANCE</v>
      </c>
      <c r="C48" s="15"/>
      <c r="D48" s="3"/>
      <c r="E48" s="3">
        <v>47.52</v>
      </c>
      <c r="F48" s="3"/>
      <c r="G48" s="3"/>
      <c r="H48" s="3"/>
      <c r="I48" s="3"/>
      <c r="J48" s="3"/>
      <c r="K48" s="3"/>
      <c r="L48" s="3"/>
      <c r="M48" s="3"/>
      <c r="N48" s="3"/>
      <c r="O48" s="3"/>
      <c r="P48" s="10"/>
      <c r="Q48" s="3">
        <f>SUM(OSRRefD21_4_3x)+IFERROR(SUM(OSRRefE21_4_3x),0)</f>
        <v>47.52</v>
      </c>
    </row>
    <row r="49" spans="1:17" s="42" customFormat="1" ht="15" customHeight="1" collapsed="1" x14ac:dyDescent="0.3">
      <c r="A49" s="34"/>
      <c r="B49" s="15" t="str">
        <f>CONCATENATE("     ","Supplies                                          ")</f>
        <v xml:space="preserve">     Supplies                                          </v>
      </c>
      <c r="C49" s="15"/>
      <c r="D49" s="2">
        <f>SUM(OSRRefD21_5x_0)</f>
        <v>336.92</v>
      </c>
      <c r="E49" s="2">
        <f>SUM(OSRRefD21_5x_1)</f>
        <v>0</v>
      </c>
      <c r="F49" s="2">
        <f>SUM(OSRRefD21_5x_2)</f>
        <v>0</v>
      </c>
      <c r="G49" s="2">
        <f>SUM(OSRRefD21_5x_3)</f>
        <v>1012.82</v>
      </c>
      <c r="H49" s="2">
        <f>SUM(OSRRefD21_5x_4)</f>
        <v>5.83</v>
      </c>
      <c r="I49" s="2">
        <f>SUM(OSRRefD21_5x_5)</f>
        <v>0</v>
      </c>
      <c r="J49" s="2">
        <f>SUM(OSRRefD21_5x_6)</f>
        <v>3053.69</v>
      </c>
      <c r="K49" s="2">
        <f>SUM(OSRRefD21_5x_7)</f>
        <v>15484.97</v>
      </c>
      <c r="L49" s="2">
        <f>SUM(OSRRefD21_5x_8)</f>
        <v>1680.85</v>
      </c>
      <c r="M49" s="2">
        <f>SUM(OSRRefD21_5x_9)</f>
        <v>0</v>
      </c>
      <c r="N49" s="2">
        <f>SUM(OSRRefE21_5x_0)</f>
        <v>100</v>
      </c>
      <c r="O49" s="2">
        <f>SUM(OSRRefE21_5x_1)</f>
        <v>100</v>
      </c>
      <c r="Q49" s="3">
        <f>SUM(OSRRefD20_5x)+IFERROR(SUM(OSRRefE20_5x),0)</f>
        <v>21775.079999999998</v>
      </c>
    </row>
    <row r="50" spans="1:17" s="42" customFormat="1" ht="15" hidden="1" customHeight="1" outlineLevel="1" x14ac:dyDescent="0.3">
      <c r="A50" s="34"/>
      <c r="B50" s="11" t="str">
        <f>CONCATENATE("          ","6241"," - ","OFFICE EXPENSE")</f>
        <v xml:space="preserve">          6241 - OFFICE EXPENSE</v>
      </c>
      <c r="C50" s="15"/>
      <c r="D50" s="3">
        <v>336.92</v>
      </c>
      <c r="E50" s="3"/>
      <c r="F50" s="3"/>
      <c r="G50" s="3">
        <v>1012.82</v>
      </c>
      <c r="H50" s="3">
        <v>5.83</v>
      </c>
      <c r="I50" s="3"/>
      <c r="J50" s="3">
        <v>3053.69</v>
      </c>
      <c r="K50" s="3">
        <v>15484.97</v>
      </c>
      <c r="L50" s="3">
        <v>1680.85</v>
      </c>
      <c r="M50" s="3"/>
      <c r="N50" s="3">
        <v>100</v>
      </c>
      <c r="O50" s="3">
        <v>100</v>
      </c>
      <c r="P50" s="10"/>
      <c r="Q50" s="3">
        <f>SUM(OSRRefD21_5_0x)+IFERROR(SUM(OSRRefE21_5_0x),0)</f>
        <v>21775.079999999998</v>
      </c>
    </row>
    <row r="51" spans="1:17" s="42" customFormat="1" ht="15" customHeight="1" collapsed="1" x14ac:dyDescent="0.3">
      <c r="A51" s="34"/>
      <c r="B51" s="15" t="str">
        <f>CONCATENATE("     ","Telephone/Data Lines                              ")</f>
        <v xml:space="preserve">     Telephone/Data Lines                              </v>
      </c>
      <c r="C51" s="15"/>
      <c r="D51" s="2">
        <f>SUM(OSRRefD21_6x_0)</f>
        <v>913.68000000000006</v>
      </c>
      <c r="E51" s="2">
        <f>SUM(OSRRefD21_6x_1)</f>
        <v>803.53</v>
      </c>
      <c r="F51" s="2">
        <f>SUM(OSRRefD21_6x_2)</f>
        <v>653.9</v>
      </c>
      <c r="G51" s="2">
        <f>SUM(OSRRefD21_6x_3)</f>
        <v>1198.71</v>
      </c>
      <c r="H51" s="2">
        <f>SUM(OSRRefD21_6x_4)</f>
        <v>821.13</v>
      </c>
      <c r="I51" s="2">
        <f>SUM(OSRRefD21_6x_5)</f>
        <v>519.39</v>
      </c>
      <c r="J51" s="2">
        <f>SUM(OSRRefD21_6x_6)</f>
        <v>835.38</v>
      </c>
      <c r="K51" s="2">
        <f>SUM(OSRRefD21_6x_7)</f>
        <v>925.22</v>
      </c>
      <c r="L51" s="2">
        <f>SUM(OSRRefD21_6x_8)</f>
        <v>741.79</v>
      </c>
      <c r="M51" s="2">
        <f>SUM(OSRRefD21_6x_9)</f>
        <v>1152.51</v>
      </c>
      <c r="N51" s="2">
        <f>SUM(OSRRefE21_6x_0)</f>
        <v>600</v>
      </c>
      <c r="O51" s="2">
        <f>SUM(OSRRefE21_6x_1)</f>
        <v>580</v>
      </c>
      <c r="Q51" s="3">
        <f>SUM(OSRRefD20_6x)+IFERROR(SUM(OSRRefE20_6x),0)</f>
        <v>9745.24</v>
      </c>
    </row>
    <row r="52" spans="1:17" s="42" customFormat="1" ht="15" hidden="1" customHeight="1" outlineLevel="1" x14ac:dyDescent="0.3">
      <c r="A52" s="34"/>
      <c r="B52" s="11" t="str">
        <f>CONCATENATE("          ","6303"," - ","DATA PHONE LINES")</f>
        <v xml:space="preserve">          6303 - DATA PHONE LINES</v>
      </c>
      <c r="C52" s="15"/>
      <c r="D52" s="3">
        <v>161.97999999999999</v>
      </c>
      <c r="E52" s="3">
        <v>161.97999999999999</v>
      </c>
      <c r="F52" s="3"/>
      <c r="G52" s="3">
        <v>332.96</v>
      </c>
      <c r="H52" s="3">
        <v>170.98</v>
      </c>
      <c r="I52" s="3">
        <v>81.99</v>
      </c>
      <c r="J52" s="3">
        <v>171.98</v>
      </c>
      <c r="K52" s="3">
        <v>260.97000000000003</v>
      </c>
      <c r="L52" s="3">
        <v>81.99</v>
      </c>
      <c r="M52" s="3">
        <v>265.95999999999998</v>
      </c>
      <c r="N52" s="3">
        <v>300</v>
      </c>
      <c r="O52" s="3">
        <v>280</v>
      </c>
      <c r="P52" s="10"/>
      <c r="Q52" s="3">
        <f>SUM(OSRRefD21_6_0x)+IFERROR(SUM(OSRRefE21_6_0x),0)</f>
        <v>2270.79</v>
      </c>
    </row>
    <row r="53" spans="1:17" s="42" customFormat="1" ht="15" hidden="1" customHeight="1" outlineLevel="1" x14ac:dyDescent="0.3">
      <c r="A53" s="34"/>
      <c r="B53" s="11" t="str">
        <f>CONCATENATE("          ","6309"," - ","TELEPHONE")</f>
        <v xml:space="preserve">          6309 - TELEPHONE</v>
      </c>
      <c r="C53" s="15"/>
      <c r="D53" s="3">
        <v>751.7</v>
      </c>
      <c r="E53" s="3">
        <v>641.54999999999995</v>
      </c>
      <c r="F53" s="3">
        <v>653.9</v>
      </c>
      <c r="G53" s="3">
        <v>865.75</v>
      </c>
      <c r="H53" s="3">
        <v>650.15</v>
      </c>
      <c r="I53" s="3">
        <v>437.4</v>
      </c>
      <c r="J53" s="3">
        <v>663.4</v>
      </c>
      <c r="K53" s="3">
        <v>664.25</v>
      </c>
      <c r="L53" s="3">
        <v>659.8</v>
      </c>
      <c r="M53" s="3">
        <v>886.55</v>
      </c>
      <c r="N53" s="3">
        <v>300</v>
      </c>
      <c r="O53" s="3">
        <v>300</v>
      </c>
      <c r="P53" s="10"/>
      <c r="Q53" s="3">
        <f>SUM(OSRRefD21_6_1x)+IFERROR(SUM(OSRRefE21_6_1x),0)</f>
        <v>7474.4500000000007</v>
      </c>
    </row>
    <row r="54" spans="1:17" s="42" customFormat="1" ht="15" customHeight="1" collapsed="1" x14ac:dyDescent="0.3">
      <c r="A54" s="34"/>
      <c r="B54" s="15" t="str">
        <f>CONCATENATE("     ","Training                                          ")</f>
        <v xml:space="preserve">     Training                                          </v>
      </c>
      <c r="C54" s="15"/>
      <c r="D54" s="2">
        <f>SUM(OSRRefD21_7x_0)</f>
        <v>0</v>
      </c>
      <c r="E54" s="2">
        <f>SUM(OSRRefD21_7x_1)</f>
        <v>0</v>
      </c>
      <c r="F54" s="2">
        <f>SUM(OSRRefD21_7x_2)</f>
        <v>0</v>
      </c>
      <c r="G54" s="2">
        <f>SUM(OSRRefD21_7x_3)</f>
        <v>0</v>
      </c>
      <c r="H54" s="2">
        <f>SUM(OSRRefD21_7x_4)</f>
        <v>0</v>
      </c>
      <c r="I54" s="2">
        <f>SUM(OSRRefD21_7x_5)</f>
        <v>99</v>
      </c>
      <c r="J54" s="2">
        <f>SUM(OSRRefD21_7x_6)</f>
        <v>0</v>
      </c>
      <c r="K54" s="2">
        <f>SUM(OSRRefD21_7x_7)</f>
        <v>0</v>
      </c>
      <c r="L54" s="2">
        <f>SUM(OSRRefD21_7x_8)</f>
        <v>0</v>
      </c>
      <c r="M54" s="2">
        <f>SUM(OSRRefD21_7x_9)</f>
        <v>399</v>
      </c>
      <c r="N54" s="2">
        <f>SUM(OSRRefE21_7x_0)</f>
        <v>0</v>
      </c>
      <c r="O54" s="2">
        <f>SUM(OSRRefE21_7x_1)</f>
        <v>0</v>
      </c>
      <c r="Q54" s="3">
        <f>SUM(OSRRefD20_7x)+IFERROR(SUM(OSRRefE20_7x),0)</f>
        <v>498</v>
      </c>
    </row>
    <row r="55" spans="1:17" s="42" customFormat="1" ht="15" hidden="1" customHeight="1" outlineLevel="1" x14ac:dyDescent="0.3">
      <c r="A55" s="34"/>
      <c r="B55" s="11" t="str">
        <f>CONCATENATE("          ","6376"," - ","TRAINING")</f>
        <v xml:space="preserve">          6376 - TRAINING</v>
      </c>
      <c r="C55" s="15"/>
      <c r="D55" s="3"/>
      <c r="E55" s="3"/>
      <c r="F55" s="3"/>
      <c r="G55" s="3"/>
      <c r="H55" s="3"/>
      <c r="I55" s="3">
        <v>99</v>
      </c>
      <c r="J55" s="3"/>
      <c r="K55" s="3"/>
      <c r="L55" s="3"/>
      <c r="M55" s="3">
        <v>399</v>
      </c>
      <c r="N55" s="3"/>
      <c r="O55" s="3"/>
      <c r="P55" s="10"/>
      <c r="Q55" s="3">
        <f>SUM(OSRRefD21_7_0x)+IFERROR(SUM(OSRRefE21_7_0x),0)</f>
        <v>498</v>
      </c>
    </row>
    <row r="56" spans="1:17" s="42" customFormat="1" ht="15" customHeight="1" collapsed="1" x14ac:dyDescent="0.3">
      <c r="A56" s="34"/>
      <c r="B56" s="15" t="str">
        <f>CONCATENATE("     ","Travel                                            ")</f>
        <v xml:space="preserve">     Travel                                            </v>
      </c>
      <c r="C56" s="15"/>
      <c r="D56" s="2">
        <f>SUM(OSRRefD21_8x_0)</f>
        <v>0</v>
      </c>
      <c r="E56" s="2">
        <f>SUM(OSRRefD21_8x_1)</f>
        <v>0</v>
      </c>
      <c r="F56" s="2">
        <f>SUM(OSRRefD21_8x_2)</f>
        <v>0</v>
      </c>
      <c r="G56" s="2">
        <f>SUM(OSRRefD21_8x_3)</f>
        <v>0</v>
      </c>
      <c r="H56" s="2">
        <f>SUM(OSRRefD21_8x_4)</f>
        <v>0</v>
      </c>
      <c r="I56" s="2">
        <f>SUM(OSRRefD21_8x_5)</f>
        <v>0</v>
      </c>
      <c r="J56" s="2">
        <f>SUM(OSRRefD21_8x_6)</f>
        <v>0</v>
      </c>
      <c r="K56" s="2">
        <f>SUM(OSRRefD21_8x_7)</f>
        <v>0</v>
      </c>
      <c r="L56" s="2">
        <f>SUM(OSRRefD21_8x_8)</f>
        <v>0</v>
      </c>
      <c r="M56" s="2">
        <f>SUM(OSRRefD21_8x_9)</f>
        <v>0</v>
      </c>
      <c r="N56" s="2">
        <f>SUM(OSRRefE21_8x_0)</f>
        <v>0</v>
      </c>
      <c r="O56" s="2">
        <f>SUM(OSRRefE21_8x_1)</f>
        <v>0</v>
      </c>
      <c r="Q56" s="3">
        <f>SUM(OSRRefD20_8x)+IFERROR(SUM(OSRRefE20_8x),0)</f>
        <v>0</v>
      </c>
    </row>
    <row r="57" spans="1:17" s="42" customFormat="1" ht="15" hidden="1" customHeight="1" outlineLevel="1" x14ac:dyDescent="0.3">
      <c r="A57" s="34"/>
      <c r="B57" s="11" t="str">
        <f>CONCATENATE("          ","6292"," - ","TRAVEL/CONFERENCE")</f>
        <v xml:space="preserve">          6292 - TRAVEL/CONFERENCE</v>
      </c>
      <c r="C57" s="15"/>
      <c r="D57" s="3"/>
      <c r="E57" s="3"/>
      <c r="F57" s="3"/>
      <c r="G57" s="3"/>
      <c r="H57" s="3"/>
      <c r="I57" s="3"/>
      <c r="J57" s="3">
        <v>0</v>
      </c>
      <c r="K57" s="3"/>
      <c r="L57" s="3"/>
      <c r="M57" s="3"/>
      <c r="N57" s="3"/>
      <c r="O57" s="3"/>
      <c r="P57" s="10"/>
      <c r="Q57" s="3">
        <f>SUM(OSRRefD21_8_0x)+IFERROR(SUM(OSRRefE21_8_0x),0)</f>
        <v>0</v>
      </c>
    </row>
    <row r="58" spans="1:17" s="40" customFormat="1" ht="15" customHeight="1" x14ac:dyDescent="0.3">
      <c r="A58" s="22"/>
      <c r="B58" s="22"/>
      <c r="C58" s="2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Q58" s="2"/>
    </row>
    <row r="59" spans="1:17" s="39" customFormat="1" ht="15" customHeight="1" x14ac:dyDescent="0.3">
      <c r="A59" s="24"/>
      <c r="B59" s="17" t="s">
        <v>287</v>
      </c>
      <c r="C59" s="23"/>
      <c r="D59" s="4">
        <f>0</f>
        <v>0</v>
      </c>
      <c r="E59" s="4">
        <f>0</f>
        <v>0</v>
      </c>
      <c r="F59" s="4">
        <f>0</f>
        <v>0</v>
      </c>
      <c r="G59" s="4">
        <f>0</f>
        <v>0</v>
      </c>
      <c r="H59" s="4">
        <f>0</f>
        <v>0</v>
      </c>
      <c r="I59" s="4">
        <f>0</f>
        <v>0</v>
      </c>
      <c r="J59" s="4">
        <f>0</f>
        <v>0</v>
      </c>
      <c r="K59" s="4">
        <f>0</f>
        <v>0</v>
      </c>
      <c r="L59" s="4">
        <f>0</f>
        <v>0</v>
      </c>
      <c r="M59" s="4">
        <f>0</f>
        <v>0</v>
      </c>
      <c r="N59" s="4"/>
      <c r="O59" s="4"/>
      <c r="Q59" s="3">
        <f>SUM(OSRRefD23_0x)+IFERROR(SUM(OSRRefE23_0x),0)</f>
        <v>0</v>
      </c>
    </row>
    <row r="60" spans="1:17" ht="15" customHeight="1" x14ac:dyDescent="0.3">
      <c r="A60" s="6"/>
      <c r="B60" s="7"/>
      <c r="C60" s="7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Q60" s="4"/>
    </row>
    <row r="61" spans="1:17" s="37" customFormat="1" ht="15" customHeight="1" x14ac:dyDescent="0.3">
      <c r="A61" s="7"/>
      <c r="B61" s="18" t="s">
        <v>288</v>
      </c>
      <c r="C61" s="18"/>
      <c r="D61" s="9">
        <f t="shared" ref="D61:O61" si="4">IFERROR(+D14-D17+D59,0)</f>
        <v>-47853.990000000005</v>
      </c>
      <c r="E61" s="9">
        <f t="shared" si="4"/>
        <v>-43235.119999999995</v>
      </c>
      <c r="F61" s="9">
        <f t="shared" si="4"/>
        <v>-42220.380000000005</v>
      </c>
      <c r="G61" s="9">
        <f t="shared" si="4"/>
        <v>-49361.08</v>
      </c>
      <c r="H61" s="9">
        <f t="shared" si="4"/>
        <v>-39757.269999999997</v>
      </c>
      <c r="I61" s="9">
        <f t="shared" si="4"/>
        <v>-45531.519999999997</v>
      </c>
      <c r="J61" s="9">
        <f t="shared" si="4"/>
        <v>-50768.030000000006</v>
      </c>
      <c r="K61" s="9">
        <f t="shared" si="4"/>
        <v>-57203.450000000004</v>
      </c>
      <c r="L61" s="9">
        <f t="shared" si="4"/>
        <v>-33133.78</v>
      </c>
      <c r="M61" s="9">
        <f t="shared" si="4"/>
        <v>-47564.81</v>
      </c>
      <c r="N61" s="9">
        <f t="shared" si="4"/>
        <v>-46302.666047384591</v>
      </c>
      <c r="O61" s="9">
        <f t="shared" si="4"/>
        <v>-45828.666047384591</v>
      </c>
      <c r="Q61" s="9">
        <f>IFERROR(+Q14-Q17+Q59,0)</f>
        <v>-548760.76209476916</v>
      </c>
    </row>
    <row r="62" spans="1:17" s="38" customFormat="1" ht="15" customHeight="1" x14ac:dyDescent="0.3">
      <c r="B62" s="17"/>
      <c r="C62" s="17"/>
      <c r="D62" s="5">
        <f t="shared" ref="D62:O62" si="5">IFERROR(D61/D10,0)</f>
        <v>0</v>
      </c>
      <c r="E62" s="5">
        <f t="shared" si="5"/>
        <v>0</v>
      </c>
      <c r="F62" s="5">
        <f t="shared" si="5"/>
        <v>0</v>
      </c>
      <c r="G62" s="5">
        <f t="shared" si="5"/>
        <v>0</v>
      </c>
      <c r="H62" s="5">
        <f t="shared" si="5"/>
        <v>0</v>
      </c>
      <c r="I62" s="5">
        <f t="shared" si="5"/>
        <v>0</v>
      </c>
      <c r="J62" s="5">
        <f t="shared" si="5"/>
        <v>0</v>
      </c>
      <c r="K62" s="5">
        <f t="shared" si="5"/>
        <v>0</v>
      </c>
      <c r="L62" s="5">
        <f t="shared" si="5"/>
        <v>0</v>
      </c>
      <c r="M62" s="5">
        <f t="shared" si="5"/>
        <v>0</v>
      </c>
      <c r="N62" s="5">
        <f t="shared" si="5"/>
        <v>0</v>
      </c>
      <c r="O62" s="5">
        <f t="shared" si="5"/>
        <v>0</v>
      </c>
      <c r="P62" s="19"/>
      <c r="Q62" s="5">
        <f>IFERROR(Q61/Q10,0)</f>
        <v>0</v>
      </c>
    </row>
    <row r="63" spans="1:17" ht="15" customHeight="1" x14ac:dyDescent="0.3">
      <c r="A63" s="6"/>
      <c r="B63" s="7"/>
      <c r="C63" s="6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Q63" s="4"/>
    </row>
    <row r="64" spans="1:17" s="37" customFormat="1" ht="15" customHeight="1" x14ac:dyDescent="0.3">
      <c r="A64" s="26"/>
      <c r="B64" s="7" t="s">
        <v>289</v>
      </c>
      <c r="C64" s="7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Q64" s="3">
        <f>SUM(OSRRefD28_0x)+IFERROR(SUM(OSRRefE28_0x),0)</f>
        <v>0</v>
      </c>
    </row>
    <row r="65" spans="1:17" ht="15" customHeight="1" x14ac:dyDescent="0.3">
      <c r="A65" s="6"/>
      <c r="B65" s="7"/>
      <c r="C65" s="7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Q65" s="4"/>
    </row>
    <row r="66" spans="1:17" s="37" customFormat="1" ht="15.75" customHeight="1" x14ac:dyDescent="0.3">
      <c r="A66" s="7"/>
      <c r="B66" s="18" t="s">
        <v>290</v>
      </c>
      <c r="C66" s="18"/>
      <c r="D66" s="8">
        <f t="shared" ref="D66:O66" si="6">IFERROR(+D61-D64,0)</f>
        <v>-47853.990000000005</v>
      </c>
      <c r="E66" s="8">
        <f t="shared" si="6"/>
        <v>-43235.119999999995</v>
      </c>
      <c r="F66" s="8">
        <f t="shared" si="6"/>
        <v>-42220.380000000005</v>
      </c>
      <c r="G66" s="8">
        <f t="shared" si="6"/>
        <v>-49361.08</v>
      </c>
      <c r="H66" s="8">
        <f t="shared" si="6"/>
        <v>-39757.269999999997</v>
      </c>
      <c r="I66" s="8">
        <f t="shared" si="6"/>
        <v>-45531.519999999997</v>
      </c>
      <c r="J66" s="8">
        <f t="shared" si="6"/>
        <v>-50768.030000000006</v>
      </c>
      <c r="K66" s="8">
        <f t="shared" si="6"/>
        <v>-57203.450000000004</v>
      </c>
      <c r="L66" s="8">
        <f t="shared" si="6"/>
        <v>-33133.78</v>
      </c>
      <c r="M66" s="8">
        <f t="shared" si="6"/>
        <v>-47564.81</v>
      </c>
      <c r="N66" s="8">
        <f t="shared" si="6"/>
        <v>-46302.666047384591</v>
      </c>
      <c r="O66" s="8">
        <f t="shared" si="6"/>
        <v>-45828.666047384591</v>
      </c>
      <c r="Q66" s="8">
        <f>IFERROR(+Q61-Q64,0)</f>
        <v>-548760.76209476916</v>
      </c>
    </row>
    <row r="67" spans="1:17" ht="15.75" customHeight="1" x14ac:dyDescent="0.3">
      <c r="A67" s="6"/>
      <c r="B67" s="6"/>
      <c r="C67" s="6"/>
      <c r="D67" s="5">
        <f t="shared" ref="D67:O67" si="7">IFERROR(D66/D10,0)</f>
        <v>0</v>
      </c>
      <c r="E67" s="5">
        <f t="shared" si="7"/>
        <v>0</v>
      </c>
      <c r="F67" s="5">
        <f t="shared" si="7"/>
        <v>0</v>
      </c>
      <c r="G67" s="5">
        <f t="shared" si="7"/>
        <v>0</v>
      </c>
      <c r="H67" s="5">
        <f t="shared" si="7"/>
        <v>0</v>
      </c>
      <c r="I67" s="5">
        <f t="shared" si="7"/>
        <v>0</v>
      </c>
      <c r="J67" s="5">
        <f t="shared" si="7"/>
        <v>0</v>
      </c>
      <c r="K67" s="5">
        <f t="shared" si="7"/>
        <v>0</v>
      </c>
      <c r="L67" s="5">
        <f t="shared" si="7"/>
        <v>0</v>
      </c>
      <c r="M67" s="5">
        <f t="shared" si="7"/>
        <v>0</v>
      </c>
      <c r="N67" s="5">
        <f t="shared" si="7"/>
        <v>0</v>
      </c>
      <c r="O67" s="5">
        <f t="shared" si="7"/>
        <v>0</v>
      </c>
      <c r="P67" s="19"/>
      <c r="Q67" s="5">
        <f>IFERROR(Q66/Q10,0)</f>
        <v>0</v>
      </c>
    </row>
    <row r="68" spans="1:17" ht="15" customHeight="1" x14ac:dyDescent="0.3">
      <c r="A68" s="6"/>
      <c r="B68" s="6"/>
      <c r="C68" s="6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Q68" s="4"/>
    </row>
    <row r="69" spans="1:17" ht="15" customHeight="1" x14ac:dyDescent="0.3">
      <c r="A69" s="6"/>
      <c r="B69" s="6"/>
      <c r="C69" s="6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Q69" s="4"/>
    </row>
    <row r="70" spans="1:17" s="37" customFormat="1" ht="15.75" customHeight="1" x14ac:dyDescent="0.3">
      <c r="A70" s="7"/>
      <c r="B70" s="18" t="s">
        <v>293</v>
      </c>
      <c r="C70" s="18"/>
      <c r="D70" s="8">
        <f t="shared" ref="D70:O70" si="8">IFERROR(SUM(D66:D69),0)</f>
        <v>-47853.990000000005</v>
      </c>
      <c r="E70" s="8">
        <f t="shared" si="8"/>
        <v>-43235.119999999995</v>
      </c>
      <c r="F70" s="8">
        <f t="shared" si="8"/>
        <v>-42220.380000000005</v>
      </c>
      <c r="G70" s="8">
        <f t="shared" si="8"/>
        <v>-49361.08</v>
      </c>
      <c r="H70" s="8">
        <f t="shared" si="8"/>
        <v>-39757.269999999997</v>
      </c>
      <c r="I70" s="8">
        <f t="shared" si="8"/>
        <v>-45531.519999999997</v>
      </c>
      <c r="J70" s="8">
        <f t="shared" si="8"/>
        <v>-50768.030000000006</v>
      </c>
      <c r="K70" s="8">
        <f t="shared" si="8"/>
        <v>-57203.450000000004</v>
      </c>
      <c r="L70" s="8">
        <f t="shared" si="8"/>
        <v>-33133.78</v>
      </c>
      <c r="M70" s="8">
        <f t="shared" si="8"/>
        <v>-47564.81</v>
      </c>
      <c r="N70" s="8">
        <f t="shared" si="8"/>
        <v>-46302.666047384591</v>
      </c>
      <c r="O70" s="8">
        <f t="shared" si="8"/>
        <v>-45828.666047384591</v>
      </c>
      <c r="Q70" s="8">
        <f>IFERROR(SUM(Q66:Q69),0)</f>
        <v>-548760.76209476916</v>
      </c>
    </row>
    <row r="71" spans="1:17" ht="15.75" customHeight="1" x14ac:dyDescent="0.3">
      <c r="A71" s="6"/>
      <c r="C71" s="6"/>
      <c r="D71" s="5">
        <f t="shared" ref="D71:O71" si="9">IFERROR(D70/D10,0)</f>
        <v>0</v>
      </c>
      <c r="E71" s="5">
        <f t="shared" si="9"/>
        <v>0</v>
      </c>
      <c r="F71" s="5">
        <f t="shared" si="9"/>
        <v>0</v>
      </c>
      <c r="G71" s="5">
        <f t="shared" si="9"/>
        <v>0</v>
      </c>
      <c r="H71" s="5">
        <f t="shared" si="9"/>
        <v>0</v>
      </c>
      <c r="I71" s="5">
        <f t="shared" si="9"/>
        <v>0</v>
      </c>
      <c r="J71" s="5">
        <f t="shared" si="9"/>
        <v>0</v>
      </c>
      <c r="K71" s="5">
        <f t="shared" si="9"/>
        <v>0</v>
      </c>
      <c r="L71" s="5">
        <f t="shared" si="9"/>
        <v>0</v>
      </c>
      <c r="M71" s="5">
        <f t="shared" si="9"/>
        <v>0</v>
      </c>
      <c r="N71" s="5">
        <f t="shared" si="9"/>
        <v>0</v>
      </c>
      <c r="O71" s="5">
        <f t="shared" si="9"/>
        <v>0</v>
      </c>
      <c r="P71" s="19"/>
      <c r="Q71" s="5">
        <f>IFERROR(Q70/Q10,0)</f>
        <v>0</v>
      </c>
    </row>
    <row r="72" spans="1:17" ht="15" customHeight="1" x14ac:dyDescent="0.3">
      <c r="A72" s="6"/>
      <c r="B72" s="33">
        <v>44694.892891863426</v>
      </c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Q72" s="14"/>
    </row>
    <row r="73" spans="1:17" ht="15" customHeight="1" x14ac:dyDescent="0.3">
      <c r="A73" s="6"/>
      <c r="B73" s="31" t="s">
        <v>294</v>
      </c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Q73" s="14"/>
    </row>
    <row r="74" spans="1:17" ht="15" customHeight="1" x14ac:dyDescent="0.3">
      <c r="A74" s="6"/>
      <c r="B74" s="27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Q74" s="14"/>
    </row>
    <row r="75" spans="1:17" ht="15" customHeight="1" x14ac:dyDescent="0.3"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Q75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2DBE7-510E-C388-27C7-504BB6FF6586}">
  <sheetPr>
    <tabColor rgb="FF92D050"/>
    <outlinePr summaryBelow="0" summaryRight="0"/>
    <pageSetUpPr fitToPage="1"/>
  </sheetPr>
  <dimension ref="A2:R70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","205"," - ","Maintenance")</f>
        <v>Department 205 - Maintenance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9">
        <f t="shared" ref="D14:O14" si="2">IFERROR(+D10-D12,0)</f>
        <v>0</v>
      </c>
      <c r="E14" s="9">
        <f t="shared" si="2"/>
        <v>0</v>
      </c>
      <c r="F14" s="9">
        <f t="shared" si="2"/>
        <v>0</v>
      </c>
      <c r="G14" s="9">
        <f t="shared" si="2"/>
        <v>0</v>
      </c>
      <c r="H14" s="9">
        <f t="shared" si="2"/>
        <v>0</v>
      </c>
      <c r="I14" s="9">
        <f t="shared" si="2"/>
        <v>0</v>
      </c>
      <c r="J14" s="9">
        <f t="shared" si="2"/>
        <v>0</v>
      </c>
      <c r="K14" s="9">
        <f t="shared" si="2"/>
        <v>0</v>
      </c>
      <c r="L14" s="9">
        <f t="shared" si="2"/>
        <v>0</v>
      </c>
      <c r="M14" s="9">
        <f t="shared" si="2"/>
        <v>0</v>
      </c>
      <c r="N14" s="9">
        <f t="shared" si="2"/>
        <v>0</v>
      </c>
      <c r="O14" s="9">
        <f t="shared" si="2"/>
        <v>0</v>
      </c>
      <c r="Q14" s="9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2" cm="1">
        <f t="array" ref="D17">SUM(OSRRefD20x_0)</f>
        <v>8183.68</v>
      </c>
      <c r="E17" s="12" cm="1">
        <f t="array" ref="E17">SUM(OSRRefD20x_1)</f>
        <v>7758.59</v>
      </c>
      <c r="F17" s="12" cm="1">
        <f t="array" ref="F17">SUM(OSRRefD20x_2)</f>
        <v>6279.6600000000008</v>
      </c>
      <c r="G17" s="12" cm="1">
        <f t="array" ref="G17">SUM(OSRRefD20x_3)</f>
        <v>9218.3900000000012</v>
      </c>
      <c r="H17" s="12" cm="1">
        <f t="array" ref="H17">SUM(OSRRefD20x_4)</f>
        <v>6608.87</v>
      </c>
      <c r="I17" s="12" cm="1">
        <f t="array" ref="I17">SUM(OSRRefD20x_5)</f>
        <v>7684.0999999999995</v>
      </c>
      <c r="J17" s="12" cm="1">
        <f t="array" ref="J17">SUM(OSRRefD20x_6)</f>
        <v>12857.57</v>
      </c>
      <c r="K17" s="12" cm="1">
        <f t="array" ref="K17">SUM(OSRRefD20x_7)</f>
        <v>7873.39</v>
      </c>
      <c r="L17" s="12" cm="1">
        <f t="array" ref="L17">SUM(OSRRefD20x_8)</f>
        <v>7088.09</v>
      </c>
      <c r="M17" s="12" cm="1">
        <f t="array" ref="M17">SUM(OSRRefD20x_9)</f>
        <v>7389.5300000000007</v>
      </c>
      <c r="N17" s="12" cm="1">
        <f t="array" ref="N17">SUM(OSRRefE20x_0)</f>
        <v>7587.9665799999993</v>
      </c>
      <c r="O17" s="12" cm="1">
        <f t="array" ref="O17">SUM(OSRRefE20x_1)</f>
        <v>7587.9665799999993</v>
      </c>
      <c r="Q17" s="12" cm="1">
        <f t="array" ref="Q17">SUM(OSRRefG20x)</f>
        <v>96117.80316000001</v>
      </c>
    </row>
    <row r="18" spans="1:17" s="42" customFormat="1" ht="15" customHeight="1" collapsed="1" x14ac:dyDescent="0.3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2">
        <f>SUM(OSRRefD21_0x_0)</f>
        <v>2170.5699999999997</v>
      </c>
      <c r="E18" s="2">
        <f>SUM(OSRRefD21_0x_1)</f>
        <v>2128.25</v>
      </c>
      <c r="F18" s="2">
        <f>SUM(OSRRefD21_0x_2)</f>
        <v>2079.7400000000002</v>
      </c>
      <c r="G18" s="2">
        <f>SUM(OSRRefD21_0x_3)</f>
        <v>3867.69</v>
      </c>
      <c r="H18" s="2">
        <f>SUM(OSRRefD21_0x_4)</f>
        <v>2501.3500000000004</v>
      </c>
      <c r="I18" s="2">
        <f>SUM(OSRRefD21_0x_5)</f>
        <v>2506.41</v>
      </c>
      <c r="J18" s="2">
        <f>SUM(OSRRefD21_0x_6)</f>
        <v>3743.08</v>
      </c>
      <c r="K18" s="2">
        <f>SUM(OSRRefD21_0x_7)</f>
        <v>2577.7200000000003</v>
      </c>
      <c r="L18" s="2">
        <f>SUM(OSRRefD21_0x_8)</f>
        <v>2549.3799999999997</v>
      </c>
      <c r="M18" s="2">
        <f>SUM(OSRRefD21_0x_9)</f>
        <v>3179.52</v>
      </c>
      <c r="N18" s="2">
        <f>SUM(OSRRefE21_0x_0)</f>
        <v>1854.7865799999997</v>
      </c>
      <c r="O18" s="2">
        <f>SUM(OSRRefE21_0x_1)</f>
        <v>1854.7865799999997</v>
      </c>
      <c r="Q18" s="3">
        <f>SUM(OSRRefD20_0x)+IFERROR(SUM(OSRRefE20_0x),0)</f>
        <v>31013.283160000003</v>
      </c>
    </row>
    <row r="19" spans="1:17" s="42" customFormat="1" ht="15" hidden="1" customHeight="1" outlineLevel="1" x14ac:dyDescent="0.3">
      <c r="A19" s="34"/>
      <c r="B19" s="11" t="str">
        <f>CONCATENATE("          ","6111"," - ","F.I.C.A.")</f>
        <v xml:space="preserve">          6111 - F.I.C.A.</v>
      </c>
      <c r="C19" s="15"/>
      <c r="D19" s="3">
        <v>318.92</v>
      </c>
      <c r="E19" s="3">
        <v>349.41</v>
      </c>
      <c r="F19" s="3">
        <v>322.3</v>
      </c>
      <c r="G19" s="3">
        <v>487.83</v>
      </c>
      <c r="H19" s="3">
        <v>335.16</v>
      </c>
      <c r="I19" s="3">
        <v>336.48</v>
      </c>
      <c r="J19" s="3">
        <v>341.44</v>
      </c>
      <c r="K19" s="3">
        <v>343.94</v>
      </c>
      <c r="L19" s="3">
        <v>341.44</v>
      </c>
      <c r="M19" s="3">
        <v>512.66999999999996</v>
      </c>
      <c r="N19" s="3">
        <v>331.06878</v>
      </c>
      <c r="O19" s="3">
        <v>331.06878</v>
      </c>
      <c r="P19" s="10"/>
      <c r="Q19" s="3">
        <f>SUM(OSRRefD21_0_0x)+IFERROR(SUM(OSRRefE21_0_0x),0)</f>
        <v>4351.7275600000003</v>
      </c>
    </row>
    <row r="20" spans="1:17" s="42" customFormat="1" ht="15" hidden="1" customHeight="1" outlineLevel="1" x14ac:dyDescent="0.3">
      <c r="A20" s="34"/>
      <c r="B20" s="11" t="str">
        <f>CONCATENATE("          ","6112"," - ","COMPENSATION INSURANCE")</f>
        <v xml:space="preserve">          6112 - COMPENSATION INSURANCE</v>
      </c>
      <c r="C20" s="15"/>
      <c r="D20" s="3">
        <v>230.54</v>
      </c>
      <c r="E20" s="3">
        <v>246.05</v>
      </c>
      <c r="F20" s="3">
        <v>232.98</v>
      </c>
      <c r="G20" s="3">
        <v>352.28</v>
      </c>
      <c r="H20" s="3">
        <v>242.27</v>
      </c>
      <c r="I20" s="3">
        <v>242.1</v>
      </c>
      <c r="J20" s="3">
        <v>246.44</v>
      </c>
      <c r="K20" s="3">
        <v>247.65</v>
      </c>
      <c r="L20" s="3">
        <v>246.44</v>
      </c>
      <c r="M20" s="3">
        <v>245.68</v>
      </c>
      <c r="N20" s="3">
        <v>295.03320000000002</v>
      </c>
      <c r="O20" s="3">
        <v>295.03320000000002</v>
      </c>
      <c r="P20" s="10"/>
      <c r="Q20" s="3">
        <f>SUM(OSRRefD21_0_1x)+IFERROR(SUM(OSRRefE21_0_1x),0)</f>
        <v>3122.4964</v>
      </c>
    </row>
    <row r="21" spans="1:17" s="42" customFormat="1" ht="15" hidden="1" customHeight="1" outlineLevel="1" x14ac:dyDescent="0.3">
      <c r="A21" s="34"/>
      <c r="B21" s="11" t="str">
        <f>CONCATENATE("          ","6113"," - ","GROUP INSURANCE")</f>
        <v xml:space="preserve">          6113 - GROUP INSURANCE</v>
      </c>
      <c r="C21" s="15"/>
      <c r="D21" s="3">
        <v>696.16</v>
      </c>
      <c r="E21" s="3">
        <v>696.16</v>
      </c>
      <c r="F21" s="3">
        <v>707.41</v>
      </c>
      <c r="G21" s="3">
        <v>696.16</v>
      </c>
      <c r="H21" s="3">
        <v>696.16</v>
      </c>
      <c r="I21" s="3">
        <v>696.16</v>
      </c>
      <c r="J21" s="3">
        <v>694.36</v>
      </c>
      <c r="K21" s="3">
        <v>694.36</v>
      </c>
      <c r="L21" s="3">
        <v>694.36</v>
      </c>
      <c r="M21" s="3">
        <v>694.36</v>
      </c>
      <c r="N21" s="3">
        <v>612</v>
      </c>
      <c r="O21" s="3">
        <v>612</v>
      </c>
      <c r="P21" s="10"/>
      <c r="Q21" s="3">
        <f>SUM(OSRRefD21_0_2x)+IFERROR(SUM(OSRRefE21_0_2x),0)</f>
        <v>8189.6499999999987</v>
      </c>
    </row>
    <row r="22" spans="1:17" s="42" customFormat="1" ht="15" hidden="1" customHeight="1" outlineLevel="1" x14ac:dyDescent="0.3">
      <c r="A22" s="34"/>
      <c r="B22" s="11" t="str">
        <f>CONCATENATE("          ","6114"," - ","STATE UNEMPLOYMENT INSURANCE")</f>
        <v xml:space="preserve">          6114 - STATE UNEMPLOYMENT INSURANCE</v>
      </c>
      <c r="C22" s="15"/>
      <c r="D22" s="3">
        <v>10.84</v>
      </c>
      <c r="E22" s="3">
        <v>11.57</v>
      </c>
      <c r="F22" s="3">
        <v>10.95</v>
      </c>
      <c r="G22" s="3">
        <v>16.559999999999999</v>
      </c>
      <c r="H22" s="3">
        <v>11.39</v>
      </c>
      <c r="I22" s="3">
        <v>11.38</v>
      </c>
      <c r="J22" s="3">
        <v>11.59</v>
      </c>
      <c r="K22" s="3">
        <v>11.64</v>
      </c>
      <c r="L22" s="3">
        <v>11.59</v>
      </c>
      <c r="M22" s="3">
        <v>11.55</v>
      </c>
      <c r="N22" s="3">
        <v>9.0846</v>
      </c>
      <c r="O22" s="3">
        <v>9.0846</v>
      </c>
      <c r="P22" s="10"/>
      <c r="Q22" s="3">
        <f>SUM(OSRRefD21_0_3x)+IFERROR(SUM(OSRRefE21_0_3x),0)</f>
        <v>137.22919999999999</v>
      </c>
    </row>
    <row r="23" spans="1:17" s="42" customFormat="1" ht="15" hidden="1" customHeight="1" outlineLevel="1" x14ac:dyDescent="0.3">
      <c r="A23" s="34"/>
      <c r="B23" s="11" t="str">
        <f>CONCATENATE("          ","6115"," - ","P.E.R.S.")</f>
        <v xml:space="preserve">          6115 - P.E.R.S.</v>
      </c>
      <c r="C23" s="15"/>
      <c r="D23" s="3">
        <v>456.93</v>
      </c>
      <c r="E23" s="3">
        <v>456.93</v>
      </c>
      <c r="F23" s="3">
        <v>456.93</v>
      </c>
      <c r="G23" s="3">
        <v>685.4</v>
      </c>
      <c r="H23" s="3">
        <v>475.21</v>
      </c>
      <c r="I23" s="3">
        <v>475.21</v>
      </c>
      <c r="J23" s="3">
        <v>475.21</v>
      </c>
      <c r="K23" s="3">
        <v>475.21</v>
      </c>
      <c r="L23" s="3">
        <v>451.45</v>
      </c>
      <c r="M23" s="3">
        <v>689.05</v>
      </c>
      <c r="N23" s="3">
        <v>0</v>
      </c>
      <c r="O23" s="3">
        <v>0</v>
      </c>
      <c r="P23" s="10"/>
      <c r="Q23" s="3">
        <f>SUM(OSRRefD21_0_4x)+IFERROR(SUM(OSRRefE21_0_4x),0)</f>
        <v>5097.5300000000007</v>
      </c>
    </row>
    <row r="24" spans="1:17" s="42" customFormat="1" ht="15" hidden="1" customHeight="1" outlineLevel="1" x14ac:dyDescent="0.3">
      <c r="A24" s="34"/>
      <c r="B24" s="11" t="str">
        <f>CONCATENATE("          ","6116"," - ","EDUCATIONAL BENEFITS")</f>
        <v xml:space="preserve">          6116 - EDUCATIONAL BENEFITS</v>
      </c>
      <c r="C24" s="15"/>
      <c r="D24" s="3"/>
      <c r="E24" s="3"/>
      <c r="F24" s="3"/>
      <c r="G24" s="3"/>
      <c r="H24" s="3"/>
      <c r="I24" s="3"/>
      <c r="J24" s="3"/>
      <c r="K24" s="3"/>
      <c r="L24" s="3"/>
      <c r="M24" s="3"/>
      <c r="N24" s="3">
        <v>0</v>
      </c>
      <c r="O24" s="3">
        <v>0</v>
      </c>
      <c r="P24" s="10"/>
      <c r="Q24" s="3">
        <f>SUM(OSRRefD21_0_5x)+IFERROR(SUM(OSRRefE21_0_5x),0)</f>
        <v>0</v>
      </c>
    </row>
    <row r="25" spans="1:17" s="42" customFormat="1" ht="15" hidden="1" customHeight="1" outlineLevel="1" x14ac:dyDescent="0.3">
      <c r="A25" s="34"/>
      <c r="B25" s="11" t="str">
        <f>CONCATENATE("          ","6118"," - ","VACATION")</f>
        <v xml:space="preserve">          6118 - VACATION</v>
      </c>
      <c r="C25" s="15"/>
      <c r="D25" s="3">
        <v>88.46</v>
      </c>
      <c r="E25" s="3"/>
      <c r="F25" s="3"/>
      <c r="G25" s="3">
        <v>1163.8800000000001</v>
      </c>
      <c r="H25" s="3">
        <v>403.46</v>
      </c>
      <c r="I25" s="3">
        <v>403.46</v>
      </c>
      <c r="J25" s="3">
        <v>846.05</v>
      </c>
      <c r="K25" s="3">
        <v>403.46</v>
      </c>
      <c r="L25" s="3">
        <v>403.46</v>
      </c>
      <c r="M25" s="3">
        <v>605.19000000000005</v>
      </c>
      <c r="N25" s="3">
        <v>346.08</v>
      </c>
      <c r="O25" s="3">
        <v>346.08</v>
      </c>
      <c r="P25" s="10"/>
      <c r="Q25" s="3">
        <f>SUM(OSRRefD21_0_6x)+IFERROR(SUM(OSRRefE21_0_6x),0)</f>
        <v>5009.58</v>
      </c>
    </row>
    <row r="26" spans="1:17" s="42" customFormat="1" ht="15" hidden="1" customHeight="1" outlineLevel="1" x14ac:dyDescent="0.3">
      <c r="A26" s="34"/>
      <c r="B26" s="11" t="str">
        <f>CONCATENATE("          ","6119"," - ","SICK LEAVE")</f>
        <v xml:space="preserve">          6119 - SICK LEAVE</v>
      </c>
      <c r="C26" s="15"/>
      <c r="D26" s="3">
        <v>193.72</v>
      </c>
      <c r="E26" s="3">
        <v>193.72</v>
      </c>
      <c r="F26" s="3">
        <v>193.72</v>
      </c>
      <c r="G26" s="3">
        <v>290.58</v>
      </c>
      <c r="H26" s="3">
        <v>201.46</v>
      </c>
      <c r="I26" s="3">
        <v>201.46</v>
      </c>
      <c r="J26" s="3">
        <v>955.73</v>
      </c>
      <c r="K26" s="3">
        <v>201.46</v>
      </c>
      <c r="L26" s="3">
        <v>201.46</v>
      </c>
      <c r="M26" s="3">
        <v>302.19</v>
      </c>
      <c r="N26" s="3">
        <v>86.52</v>
      </c>
      <c r="O26" s="3">
        <v>86.52</v>
      </c>
      <c r="P26" s="10"/>
      <c r="Q26" s="3">
        <f>SUM(OSRRefD21_0_7x)+IFERROR(SUM(OSRRefE21_0_7x),0)</f>
        <v>3108.5400000000004</v>
      </c>
    </row>
    <row r="27" spans="1:17" s="42" customFormat="1" ht="15" hidden="1" customHeight="1" outlineLevel="1" x14ac:dyDescent="0.3">
      <c r="A27" s="34"/>
      <c r="B27" s="11" t="str">
        <f>CONCATENATE("          ","6156"," - ","EMPLOYEE MEALS")</f>
        <v xml:space="preserve">          6156 - EMPLOYEE MEALS</v>
      </c>
      <c r="C27" s="15"/>
      <c r="D27" s="3">
        <v>175</v>
      </c>
      <c r="E27" s="3">
        <v>174.41</v>
      </c>
      <c r="F27" s="3">
        <v>155.44999999999999</v>
      </c>
      <c r="G27" s="3">
        <v>175</v>
      </c>
      <c r="H27" s="3">
        <v>136.24</v>
      </c>
      <c r="I27" s="3">
        <v>140.16</v>
      </c>
      <c r="J27" s="3">
        <v>172.26</v>
      </c>
      <c r="K27" s="3">
        <v>200</v>
      </c>
      <c r="L27" s="3">
        <v>199.18</v>
      </c>
      <c r="M27" s="3">
        <v>118.83</v>
      </c>
      <c r="N27" s="3">
        <v>175</v>
      </c>
      <c r="O27" s="3">
        <v>175</v>
      </c>
      <c r="P27" s="10"/>
      <c r="Q27" s="3">
        <f>SUM(OSRRefD21_0_8x)+IFERROR(SUM(OSRRefE21_0_8x),0)</f>
        <v>1996.53</v>
      </c>
    </row>
    <row r="28" spans="1:17" s="42" customFormat="1" ht="15" customHeight="1" collapsed="1" x14ac:dyDescent="0.3">
      <c r="A28" s="34"/>
      <c r="B28" s="15" t="str">
        <f>CONCATENATE("     ","*Payroll                                          ")</f>
        <v xml:space="preserve">     *Payroll                                          </v>
      </c>
      <c r="C28" s="15"/>
      <c r="D28" s="2">
        <f>SUM(OSRRefD21_1x_0)</f>
        <v>5039.75</v>
      </c>
      <c r="E28" s="2">
        <f>SUM(OSRRefD21_1x_1)</f>
        <v>4554.12</v>
      </c>
      <c r="F28" s="2">
        <f>SUM(OSRRefD21_1x_2)</f>
        <v>3149.8</v>
      </c>
      <c r="G28" s="2">
        <f>SUM(OSRRefD21_1x_3)</f>
        <v>5059.3100000000004</v>
      </c>
      <c r="H28" s="2">
        <f>SUM(OSRRefD21_1x_4)</f>
        <v>3057.4</v>
      </c>
      <c r="I28" s="2">
        <f>SUM(OSRRefD21_1x_5)</f>
        <v>3992.37</v>
      </c>
      <c r="J28" s="2">
        <f>SUM(OSRRefD21_1x_6)</f>
        <v>5261.81</v>
      </c>
      <c r="K28" s="2">
        <f>SUM(OSRRefD21_1x_7)</f>
        <v>4202.57</v>
      </c>
      <c r="L28" s="2">
        <f>SUM(OSRRefD21_1x_8)</f>
        <v>3951.43</v>
      </c>
      <c r="M28" s="2">
        <f>SUM(OSRRefD21_1x_9)</f>
        <v>3057.33</v>
      </c>
      <c r="N28" s="2">
        <f>SUM(OSRRefE21_1x_0)</f>
        <v>4023.18</v>
      </c>
      <c r="O28" s="2">
        <f>SUM(OSRRefE21_1x_1)</f>
        <v>4023.18</v>
      </c>
      <c r="Q28" s="3">
        <f>SUM(OSRRefD20_1x)+IFERROR(SUM(OSRRefE20_1x),0)</f>
        <v>49372.250000000007</v>
      </c>
    </row>
    <row r="29" spans="1:17" s="42" customFormat="1" ht="15" hidden="1" customHeight="1" outlineLevel="1" x14ac:dyDescent="0.3">
      <c r="A29" s="34"/>
      <c r="B29" s="11" t="str">
        <f>CONCATENATE("          ","6001"," - ","ADMINISTRATIVE SALARIES")</f>
        <v xml:space="preserve">          6001 - ADMINISTRATIVE SALARIES</v>
      </c>
      <c r="C29" s="15"/>
      <c r="D29" s="3"/>
      <c r="E29" s="3"/>
      <c r="F29" s="3"/>
      <c r="G29" s="3"/>
      <c r="H29" s="3"/>
      <c r="I29" s="3"/>
      <c r="J29" s="3"/>
      <c r="K29" s="3"/>
      <c r="L29" s="3"/>
      <c r="M29" s="3"/>
      <c r="N29" s="3">
        <v>0</v>
      </c>
      <c r="O29" s="3">
        <v>0</v>
      </c>
      <c r="P29" s="10"/>
      <c r="Q29" s="3">
        <f>SUM(OSRRefD21_1_0x)+IFERROR(SUM(OSRRefE21_1_0x),0)</f>
        <v>0</v>
      </c>
    </row>
    <row r="30" spans="1:17" s="42" customFormat="1" ht="15" hidden="1" customHeight="1" outlineLevel="1" x14ac:dyDescent="0.3">
      <c r="A30" s="34"/>
      <c r="B30" s="11" t="str">
        <f>CONCATENATE("          ","6002"," - ","STAFF SALARIES")</f>
        <v xml:space="preserve">          6002 - STAFF SALARIES</v>
      </c>
      <c r="C30" s="15"/>
      <c r="D30" s="3">
        <v>5039.75</v>
      </c>
      <c r="E30" s="3">
        <v>4554.12</v>
      </c>
      <c r="F30" s="3">
        <v>3149.8</v>
      </c>
      <c r="G30" s="3">
        <v>5059.3100000000004</v>
      </c>
      <c r="H30" s="3">
        <v>3057.4</v>
      </c>
      <c r="I30" s="3">
        <v>3992.37</v>
      </c>
      <c r="J30" s="3">
        <v>5261.81</v>
      </c>
      <c r="K30" s="3">
        <v>4202.57</v>
      </c>
      <c r="L30" s="3">
        <v>3951.43</v>
      </c>
      <c r="M30" s="3">
        <v>3057.33</v>
      </c>
      <c r="N30" s="3">
        <v>0</v>
      </c>
      <c r="O30" s="3">
        <v>0</v>
      </c>
      <c r="P30" s="10"/>
      <c r="Q30" s="3">
        <f>SUM(OSRRefD21_1_1x)+IFERROR(SUM(OSRRefE21_1_1x),0)</f>
        <v>41325.890000000007</v>
      </c>
    </row>
    <row r="31" spans="1:17" s="42" customFormat="1" ht="15" hidden="1" customHeight="1" outlineLevel="1" x14ac:dyDescent="0.3">
      <c r="A31" s="34"/>
      <c r="B31" s="11" t="str">
        <f>CONCATENATE("          ","6003"," - ","STAFF HOURLY-9 MONTH")</f>
        <v xml:space="preserve">          6003 - STAFF HOURLY-9 MONTH</v>
      </c>
      <c r="C31" s="15"/>
      <c r="D31" s="3"/>
      <c r="E31" s="3"/>
      <c r="F31" s="3"/>
      <c r="G31" s="3"/>
      <c r="H31" s="3"/>
      <c r="I31" s="3"/>
      <c r="J31" s="3"/>
      <c r="K31" s="3"/>
      <c r="L31" s="3"/>
      <c r="M31" s="3"/>
      <c r="N31" s="3">
        <v>0</v>
      </c>
      <c r="O31" s="3">
        <v>0</v>
      </c>
      <c r="P31" s="10"/>
      <c r="Q31" s="3">
        <f>SUM(OSRRefD21_1_2x)+IFERROR(SUM(OSRRefE21_1_2x),0)</f>
        <v>0</v>
      </c>
    </row>
    <row r="32" spans="1:17" s="42" customFormat="1" ht="15" hidden="1" customHeight="1" outlineLevel="1" x14ac:dyDescent="0.3">
      <c r="A32" s="34"/>
      <c r="B32" s="11" t="str">
        <f>CONCATENATE("          ","6004"," - ","STAFF HOURLY")</f>
        <v xml:space="preserve">          6004 - STAFF HOURLY</v>
      </c>
      <c r="C32" s="15"/>
      <c r="D32" s="3"/>
      <c r="E32" s="3"/>
      <c r="F32" s="3"/>
      <c r="G32" s="3"/>
      <c r="H32" s="3"/>
      <c r="I32" s="3"/>
      <c r="J32" s="3"/>
      <c r="K32" s="3"/>
      <c r="L32" s="3"/>
      <c r="M32" s="3"/>
      <c r="N32" s="3">
        <v>4023.18</v>
      </c>
      <c r="O32" s="3">
        <v>4023.18</v>
      </c>
      <c r="P32" s="10"/>
      <c r="Q32" s="3">
        <f>SUM(OSRRefD21_1_3x)+IFERROR(SUM(OSRRefE21_1_3x),0)</f>
        <v>8046.36</v>
      </c>
    </row>
    <row r="33" spans="1:17" s="42" customFormat="1" ht="15" hidden="1" customHeight="1" outlineLevel="1" x14ac:dyDescent="0.3">
      <c r="A33" s="34"/>
      <c r="B33" s="11" t="str">
        <f>CONCATENATE("          ","6005"," - ","TEMPORARY WAGES-HOURLY")</f>
        <v xml:space="preserve">          6005 - TEMPORARY WAGES-HOURLY</v>
      </c>
      <c r="C33" s="15"/>
      <c r="D33" s="3"/>
      <c r="E33" s="3"/>
      <c r="F33" s="3"/>
      <c r="G33" s="3"/>
      <c r="H33" s="3"/>
      <c r="I33" s="3"/>
      <c r="J33" s="3"/>
      <c r="K33" s="3"/>
      <c r="L33" s="3"/>
      <c r="M33" s="3"/>
      <c r="N33" s="3">
        <v>0</v>
      </c>
      <c r="O33" s="3">
        <v>0</v>
      </c>
      <c r="P33" s="10"/>
      <c r="Q33" s="3">
        <f>SUM(OSRRefD21_1_4x)+IFERROR(SUM(OSRRefE21_1_4x),0)</f>
        <v>0</v>
      </c>
    </row>
    <row r="34" spans="1:17" s="42" customFormat="1" ht="15" hidden="1" customHeight="1" outlineLevel="1" x14ac:dyDescent="0.3">
      <c r="A34" s="34"/>
      <c r="B34" s="11" t="str">
        <f>CONCATENATE("          ","6006"," - ","TEMPORARY PART TIME")</f>
        <v xml:space="preserve">          6006 - TEMPORARY PART TIME</v>
      </c>
      <c r="C34" s="15"/>
      <c r="D34" s="3"/>
      <c r="E34" s="3"/>
      <c r="F34" s="3"/>
      <c r="G34" s="3"/>
      <c r="H34" s="3"/>
      <c r="I34" s="3"/>
      <c r="J34" s="3"/>
      <c r="K34" s="3"/>
      <c r="L34" s="3"/>
      <c r="M34" s="3"/>
      <c r="N34" s="3">
        <v>0</v>
      </c>
      <c r="O34" s="3">
        <v>0</v>
      </c>
      <c r="P34" s="10"/>
      <c r="Q34" s="3">
        <f>SUM(OSRRefD21_1_5x)+IFERROR(SUM(OSRRefE21_1_5x),0)</f>
        <v>0</v>
      </c>
    </row>
    <row r="35" spans="1:17" s="42" customFormat="1" ht="15" hidden="1" customHeight="1" outlineLevel="1" x14ac:dyDescent="0.3">
      <c r="A35" s="34"/>
      <c r="B35" s="11" t="str">
        <f>CONCATENATE("          ","6007"," - ","STUDENT HOURLY")</f>
        <v xml:space="preserve">          6007 - STUDENT HOURLY</v>
      </c>
      <c r="C35" s="15"/>
      <c r="D35" s="3"/>
      <c r="E35" s="3"/>
      <c r="F35" s="3"/>
      <c r="G35" s="3"/>
      <c r="H35" s="3"/>
      <c r="I35" s="3"/>
      <c r="J35" s="3"/>
      <c r="K35" s="3"/>
      <c r="L35" s="3"/>
      <c r="M35" s="3"/>
      <c r="N35" s="3">
        <v>0</v>
      </c>
      <c r="O35" s="3">
        <v>0</v>
      </c>
      <c r="P35" s="10"/>
      <c r="Q35" s="3">
        <f>SUM(OSRRefD21_1_6x)+IFERROR(SUM(OSRRefE21_1_6x),0)</f>
        <v>0</v>
      </c>
    </row>
    <row r="36" spans="1:17" s="42" customFormat="1" ht="15" hidden="1" customHeight="1" outlineLevel="1" x14ac:dyDescent="0.3">
      <c r="A36" s="34"/>
      <c r="B36" s="11" t="str">
        <f>CONCATENATE("          ","6008"," - ","STUDENT HOURLY-FICA EXEMPT")</f>
        <v xml:space="preserve">          6008 - STUDENT HOURLY-FICA EXEMPT</v>
      </c>
      <c r="C36" s="15"/>
      <c r="D36" s="3"/>
      <c r="E36" s="3"/>
      <c r="F36" s="3"/>
      <c r="G36" s="3"/>
      <c r="H36" s="3"/>
      <c r="I36" s="3"/>
      <c r="J36" s="3"/>
      <c r="K36" s="3"/>
      <c r="L36" s="3"/>
      <c r="M36" s="3"/>
      <c r="N36" s="3">
        <v>0</v>
      </c>
      <c r="O36" s="3">
        <v>0</v>
      </c>
      <c r="P36" s="10"/>
      <c r="Q36" s="3">
        <f>SUM(OSRRefD21_1_7x)+IFERROR(SUM(OSRRefE21_1_7x),0)</f>
        <v>0</v>
      </c>
    </row>
    <row r="37" spans="1:17" s="42" customFormat="1" ht="15" hidden="1" customHeight="1" outlineLevel="1" x14ac:dyDescent="0.3">
      <c r="A37" s="34"/>
      <c r="B37" s="11" t="str">
        <f>CONCATENATE("          ","6009"," - ","TEMPORARY-SEASONAL")</f>
        <v xml:space="preserve">          6009 - TEMPORARY-SEASONAL</v>
      </c>
      <c r="C37" s="15"/>
      <c r="D37" s="3"/>
      <c r="E37" s="3"/>
      <c r="F37" s="3"/>
      <c r="G37" s="3"/>
      <c r="H37" s="3"/>
      <c r="I37" s="3"/>
      <c r="J37" s="3"/>
      <c r="K37" s="3"/>
      <c r="L37" s="3"/>
      <c r="M37" s="3"/>
      <c r="N37" s="3">
        <v>0</v>
      </c>
      <c r="O37" s="3">
        <v>0</v>
      </c>
      <c r="P37" s="10"/>
      <c r="Q37" s="3">
        <f>SUM(OSRRefD21_1_8x)+IFERROR(SUM(OSRRefE21_1_8x),0)</f>
        <v>0</v>
      </c>
    </row>
    <row r="38" spans="1:17" s="42" customFormat="1" ht="15" hidden="1" customHeight="1" outlineLevel="1" x14ac:dyDescent="0.3">
      <c r="A38" s="34"/>
      <c r="B38" s="11" t="str">
        <f>CONCATENATE("          ","6010"," - ","GRATUITY")</f>
        <v xml:space="preserve">          6010 - GRATUITY</v>
      </c>
      <c r="C38" s="15"/>
      <c r="D38" s="3"/>
      <c r="E38" s="3"/>
      <c r="F38" s="3"/>
      <c r="G38" s="3"/>
      <c r="H38" s="3"/>
      <c r="I38" s="3"/>
      <c r="J38" s="3"/>
      <c r="K38" s="3"/>
      <c r="L38" s="3"/>
      <c r="M38" s="3"/>
      <c r="N38" s="3">
        <v>0</v>
      </c>
      <c r="O38" s="3">
        <v>0</v>
      </c>
      <c r="P38" s="10"/>
      <c r="Q38" s="3">
        <f>SUM(OSRRefD21_1_9x)+IFERROR(SUM(OSRRefE21_1_9x),0)</f>
        <v>0</v>
      </c>
    </row>
    <row r="39" spans="1:17" s="42" customFormat="1" ht="15" customHeight="1" collapsed="1" x14ac:dyDescent="0.3">
      <c r="A39" s="34"/>
      <c r="B39" s="15" t="str">
        <f>CONCATENATE("     ","General                                           ")</f>
        <v xml:space="preserve">     General                                           </v>
      </c>
      <c r="C39" s="15"/>
      <c r="D39" s="2">
        <f>SUM(OSRRefD21_2x_0)</f>
        <v>0</v>
      </c>
      <c r="E39" s="2">
        <f>SUM(OSRRefD21_2x_1)</f>
        <v>0</v>
      </c>
      <c r="F39" s="2">
        <f>SUM(OSRRefD21_2x_2)</f>
        <v>0</v>
      </c>
      <c r="G39" s="2">
        <f>SUM(OSRRefD21_2x_3)</f>
        <v>-906.57</v>
      </c>
      <c r="H39" s="2">
        <f>SUM(OSRRefD21_2x_4)</f>
        <v>0</v>
      </c>
      <c r="I39" s="2">
        <f>SUM(OSRRefD21_2x_5)</f>
        <v>0</v>
      </c>
      <c r="J39" s="2">
        <f>SUM(OSRRefD21_2x_6)</f>
        <v>0</v>
      </c>
      <c r="K39" s="2">
        <f>SUM(OSRRefD21_2x_7)</f>
        <v>0</v>
      </c>
      <c r="L39" s="2">
        <f>SUM(OSRRefD21_2x_8)</f>
        <v>-706.65</v>
      </c>
      <c r="M39" s="2">
        <f>SUM(OSRRefD21_2x_9)</f>
        <v>0</v>
      </c>
      <c r="N39" s="2">
        <f>SUM(OSRRefE21_2x_0)</f>
        <v>0</v>
      </c>
      <c r="O39" s="2">
        <f>SUM(OSRRefE21_2x_1)</f>
        <v>0</v>
      </c>
      <c r="Q39" s="3">
        <f>SUM(OSRRefD20_2x)+IFERROR(SUM(OSRRefE20_2x),0)</f>
        <v>-1613.22</v>
      </c>
    </row>
    <row r="40" spans="1:17" s="42" customFormat="1" ht="15" hidden="1" customHeight="1" outlineLevel="1" x14ac:dyDescent="0.3">
      <c r="A40" s="34"/>
      <c r="B40" s="11" t="str">
        <f>CONCATENATE("          ","6279"," - ","GENERAL EXPENSE")</f>
        <v xml:space="preserve">          6279 - GENERAL EXPENSE</v>
      </c>
      <c r="C40" s="15"/>
      <c r="D40" s="3"/>
      <c r="E40" s="3"/>
      <c r="F40" s="3"/>
      <c r="G40" s="3">
        <v>-906.57</v>
      </c>
      <c r="H40" s="3"/>
      <c r="I40" s="3"/>
      <c r="J40" s="3"/>
      <c r="K40" s="3"/>
      <c r="L40" s="3">
        <v>-706.65</v>
      </c>
      <c r="M40" s="3"/>
      <c r="N40" s="3">
        <v>0</v>
      </c>
      <c r="O40" s="3">
        <v>0</v>
      </c>
      <c r="P40" s="10"/>
      <c r="Q40" s="3">
        <f>SUM(OSRRefD21_2_0x)+IFERROR(SUM(OSRRefE21_2_0x),0)</f>
        <v>-1613.22</v>
      </c>
    </row>
    <row r="41" spans="1:17" s="42" customFormat="1" ht="15" customHeight="1" collapsed="1" x14ac:dyDescent="0.3">
      <c r="A41" s="34"/>
      <c r="B41" s="15" t="str">
        <f>CONCATENATE("     ","Insurance                                         ")</f>
        <v xml:space="preserve">     Insurance                                         </v>
      </c>
      <c r="C41" s="15"/>
      <c r="D41" s="2">
        <f>SUM(OSRRefD21_3x_0)</f>
        <v>33.380000000000003</v>
      </c>
      <c r="E41" s="2">
        <f>SUM(OSRRefD21_3x_1)</f>
        <v>33.380000000000003</v>
      </c>
      <c r="F41" s="2">
        <f>SUM(OSRRefD21_3x_2)</f>
        <v>33.380000000000003</v>
      </c>
      <c r="G41" s="2">
        <f>SUM(OSRRefD21_3x_3)</f>
        <v>33.380000000000003</v>
      </c>
      <c r="H41" s="2">
        <f>SUM(OSRRefD21_3x_4)</f>
        <v>33.380000000000003</v>
      </c>
      <c r="I41" s="2">
        <f>SUM(OSRRefD21_3x_5)</f>
        <v>33.380000000000003</v>
      </c>
      <c r="J41" s="2">
        <f>SUM(OSRRefD21_3x_6)</f>
        <v>33.380000000000003</v>
      </c>
      <c r="K41" s="2">
        <f>SUM(OSRRefD21_3x_7)</f>
        <v>33.380000000000003</v>
      </c>
      <c r="L41" s="2">
        <f>SUM(OSRRefD21_3x_8)</f>
        <v>33.380000000000003</v>
      </c>
      <c r="M41" s="2">
        <f>SUM(OSRRefD21_3x_9)</f>
        <v>33.380000000000003</v>
      </c>
      <c r="N41" s="2">
        <f>SUM(OSRRefE21_3x_0)</f>
        <v>35</v>
      </c>
      <c r="O41" s="2">
        <f>SUM(OSRRefE21_3x_1)</f>
        <v>35</v>
      </c>
      <c r="Q41" s="3">
        <f>SUM(OSRRefD20_3x)+IFERROR(SUM(OSRRefE20_3x),0)</f>
        <v>403.8</v>
      </c>
    </row>
    <row r="42" spans="1:17" s="42" customFormat="1" ht="15" hidden="1" customHeight="1" outlineLevel="1" x14ac:dyDescent="0.3">
      <c r="A42" s="34"/>
      <c r="B42" s="11" t="str">
        <f>CONCATENATE("          ","6314"," - ","LIABILITY INSURANCE")</f>
        <v xml:space="preserve">          6314 - LIABILITY INSURANCE</v>
      </c>
      <c r="C42" s="15"/>
      <c r="D42" s="3">
        <v>33.380000000000003</v>
      </c>
      <c r="E42" s="3">
        <v>33.380000000000003</v>
      </c>
      <c r="F42" s="3">
        <v>33.380000000000003</v>
      </c>
      <c r="G42" s="3">
        <v>33.380000000000003</v>
      </c>
      <c r="H42" s="3">
        <v>33.380000000000003</v>
      </c>
      <c r="I42" s="3">
        <v>33.380000000000003</v>
      </c>
      <c r="J42" s="3">
        <v>33.380000000000003</v>
      </c>
      <c r="K42" s="3">
        <v>33.380000000000003</v>
      </c>
      <c r="L42" s="3">
        <v>33.380000000000003</v>
      </c>
      <c r="M42" s="3">
        <v>33.380000000000003</v>
      </c>
      <c r="N42" s="3">
        <v>35</v>
      </c>
      <c r="O42" s="3">
        <v>35</v>
      </c>
      <c r="P42" s="10"/>
      <c r="Q42" s="3">
        <f>SUM(OSRRefD21_3_0x)+IFERROR(SUM(OSRRefE21_3_0x),0)</f>
        <v>403.8</v>
      </c>
    </row>
    <row r="43" spans="1:17" s="42" customFormat="1" ht="15" customHeight="1" collapsed="1" x14ac:dyDescent="0.3">
      <c r="A43" s="34"/>
      <c r="B43" s="15" t="str">
        <f>CONCATENATE("     ","Repair and Maintenance                            ")</f>
        <v xml:space="preserve">     Repair and Maintenance                            </v>
      </c>
      <c r="C43" s="15"/>
      <c r="D43" s="2">
        <f>SUM(OSRRefD21_4x_0)</f>
        <v>891.98</v>
      </c>
      <c r="E43" s="2">
        <f>SUM(OSRRefD21_4x_1)</f>
        <v>918.74</v>
      </c>
      <c r="F43" s="2">
        <f>SUM(OSRRefD21_4x_2)</f>
        <v>918.74</v>
      </c>
      <c r="G43" s="2">
        <f>SUM(OSRRefD21_4x_3)</f>
        <v>991.58</v>
      </c>
      <c r="H43" s="2">
        <f>SUM(OSRRefD21_4x_4)</f>
        <v>918.74</v>
      </c>
      <c r="I43" s="2">
        <f>SUM(OSRRefD21_4x_5)</f>
        <v>918.74</v>
      </c>
      <c r="J43" s="2">
        <f>SUM(OSRRefD21_4x_6)</f>
        <v>3721.3</v>
      </c>
      <c r="K43" s="2">
        <f>SUM(OSRRefD21_4x_7)</f>
        <v>961.71999999999991</v>
      </c>
      <c r="L43" s="2">
        <f>SUM(OSRRefD21_4x_8)</f>
        <v>946.3</v>
      </c>
      <c r="M43" s="2">
        <f>SUM(OSRRefD21_4x_9)</f>
        <v>946.3</v>
      </c>
      <c r="N43" s="2">
        <f>SUM(OSRRefE21_4x_0)</f>
        <v>1500</v>
      </c>
      <c r="O43" s="2">
        <f>SUM(OSRRefE21_4x_1)</f>
        <v>1500</v>
      </c>
      <c r="Q43" s="3">
        <f>SUM(OSRRefD20_4x)+IFERROR(SUM(OSRRefE20_4x),0)</f>
        <v>15134.139999999998</v>
      </c>
    </row>
    <row r="44" spans="1:17" s="42" customFormat="1" ht="15" hidden="1" customHeight="1" outlineLevel="1" x14ac:dyDescent="0.3">
      <c r="A44" s="34"/>
      <c r="B44" s="11" t="str">
        <f>CONCATENATE("          ","6373"," - ","MAINTENANCE CONTRACTS")</f>
        <v xml:space="preserve">          6373 - MAINTENANCE CONTRACTS</v>
      </c>
      <c r="C44" s="15"/>
      <c r="D44" s="3">
        <v>891.98</v>
      </c>
      <c r="E44" s="3">
        <v>918.74</v>
      </c>
      <c r="F44" s="3">
        <v>918.74</v>
      </c>
      <c r="G44" s="3">
        <v>918.74</v>
      </c>
      <c r="H44" s="3">
        <v>918.74</v>
      </c>
      <c r="I44" s="3">
        <v>918.74</v>
      </c>
      <c r="J44" s="3">
        <v>3721.3</v>
      </c>
      <c r="K44" s="3">
        <v>946.3</v>
      </c>
      <c r="L44" s="3">
        <v>946.3</v>
      </c>
      <c r="M44" s="3">
        <v>946.3</v>
      </c>
      <c r="N44" s="3">
        <v>1500</v>
      </c>
      <c r="O44" s="3">
        <v>1500</v>
      </c>
      <c r="P44" s="10"/>
      <c r="Q44" s="3">
        <f>SUM(OSRRefD21_4_0x)+IFERROR(SUM(OSRRefE21_4_0x),0)</f>
        <v>15045.879999999997</v>
      </c>
    </row>
    <row r="45" spans="1:17" s="42" customFormat="1" ht="15" hidden="1" customHeight="1" outlineLevel="1" x14ac:dyDescent="0.3">
      <c r="A45" s="34"/>
      <c r="B45" s="11" t="str">
        <f>CONCATENATE("          ","6375"," - ","OUTSIDE REPAIRS &amp; MAINTENANCE")</f>
        <v xml:space="preserve">          6375 - OUTSIDE REPAIRS &amp; MAINTENANCE</v>
      </c>
      <c r="C45" s="15"/>
      <c r="D45" s="3">
        <v>0</v>
      </c>
      <c r="E45" s="3">
        <v>0</v>
      </c>
      <c r="F45" s="3"/>
      <c r="G45" s="3">
        <v>72.84</v>
      </c>
      <c r="H45" s="3"/>
      <c r="I45" s="3"/>
      <c r="J45" s="3"/>
      <c r="K45" s="3">
        <v>15.42</v>
      </c>
      <c r="L45" s="3"/>
      <c r="M45" s="3">
        <v>0</v>
      </c>
      <c r="N45" s="3"/>
      <c r="O45" s="3"/>
      <c r="P45" s="10"/>
      <c r="Q45" s="3">
        <f>SUM(OSRRefD21_4_1x)+IFERROR(SUM(OSRRefE21_4_1x),0)</f>
        <v>88.26</v>
      </c>
    </row>
    <row r="46" spans="1:17" s="42" customFormat="1" ht="15" customHeight="1" collapsed="1" x14ac:dyDescent="0.3">
      <c r="A46" s="34"/>
      <c r="B46" s="15" t="str">
        <f>CONCATENATE("     ","Services                                          ")</f>
        <v xml:space="preserve">     Services                                          </v>
      </c>
      <c r="C46" s="15"/>
      <c r="D46" s="2">
        <f>SUM(OSRRefD21_5x_0)</f>
        <v>0</v>
      </c>
      <c r="E46" s="2">
        <f>SUM(OSRRefD21_5x_1)</f>
        <v>0</v>
      </c>
      <c r="F46" s="2">
        <f>SUM(OSRRefD21_5x_2)</f>
        <v>0</v>
      </c>
      <c r="G46" s="2">
        <f>SUM(OSRRefD21_5x_3)</f>
        <v>0</v>
      </c>
      <c r="H46" s="2">
        <f>SUM(OSRRefD21_5x_4)</f>
        <v>0</v>
      </c>
      <c r="I46" s="2">
        <f>SUM(OSRRefD21_5x_5)</f>
        <v>0</v>
      </c>
      <c r="J46" s="2">
        <f>SUM(OSRRefD21_5x_6)</f>
        <v>0</v>
      </c>
      <c r="K46" s="2">
        <f>SUM(OSRRefD21_5x_7)</f>
        <v>0</v>
      </c>
      <c r="L46" s="2">
        <f>SUM(OSRRefD21_5x_8)</f>
        <v>0</v>
      </c>
      <c r="M46" s="2">
        <f>SUM(OSRRefD21_5x_9)</f>
        <v>0</v>
      </c>
      <c r="N46" s="2">
        <f>SUM(OSRRefE21_5x_0)</f>
        <v>25</v>
      </c>
      <c r="O46" s="2">
        <f>SUM(OSRRefE21_5x_1)</f>
        <v>25</v>
      </c>
      <c r="Q46" s="3">
        <f>SUM(OSRRefD20_5x)+IFERROR(SUM(OSRRefE20_5x),0)</f>
        <v>50</v>
      </c>
    </row>
    <row r="47" spans="1:17" s="42" customFormat="1" ht="15" hidden="1" customHeight="1" outlineLevel="1" x14ac:dyDescent="0.3">
      <c r="A47" s="34"/>
      <c r="B47" s="11" t="str">
        <f>CONCATENATE("          ","6286"," - ","LAUNDRY EXPENSE")</f>
        <v xml:space="preserve">          6286 - LAUNDRY EXPENSE</v>
      </c>
      <c r="C47" s="15"/>
      <c r="D47" s="3"/>
      <c r="E47" s="3"/>
      <c r="F47" s="3"/>
      <c r="G47" s="3"/>
      <c r="H47" s="3"/>
      <c r="I47" s="3"/>
      <c r="J47" s="3"/>
      <c r="K47" s="3"/>
      <c r="L47" s="3"/>
      <c r="M47" s="3"/>
      <c r="N47" s="3">
        <v>25</v>
      </c>
      <c r="O47" s="3">
        <v>25</v>
      </c>
      <c r="P47" s="10"/>
      <c r="Q47" s="3">
        <f>SUM(OSRRefD21_5_0x)+IFERROR(SUM(OSRRefE21_5_0x),0)</f>
        <v>50</v>
      </c>
    </row>
    <row r="48" spans="1:17" s="42" customFormat="1" ht="15" customHeight="1" collapsed="1" x14ac:dyDescent="0.3">
      <c r="A48" s="34"/>
      <c r="B48" s="15" t="str">
        <f>CONCATENATE("     ","Supplies                                          ")</f>
        <v xml:space="preserve">     Supplies                                          </v>
      </c>
      <c r="C48" s="15"/>
      <c r="D48" s="2">
        <f>SUM(OSRRefD21_6x_0)</f>
        <v>0</v>
      </c>
      <c r="E48" s="2">
        <f>SUM(OSRRefD21_6x_1)</f>
        <v>26.1</v>
      </c>
      <c r="F48" s="2">
        <f>SUM(OSRRefD21_6x_2)</f>
        <v>0</v>
      </c>
      <c r="G48" s="2">
        <f>SUM(OSRRefD21_6x_3)</f>
        <v>0</v>
      </c>
      <c r="H48" s="2">
        <f>SUM(OSRRefD21_6x_4)</f>
        <v>0</v>
      </c>
      <c r="I48" s="2">
        <f>SUM(OSRRefD21_6x_5)</f>
        <v>210.2</v>
      </c>
      <c r="J48" s="2">
        <f>SUM(OSRRefD21_6x_6)</f>
        <v>0</v>
      </c>
      <c r="K48" s="2">
        <f>SUM(OSRRefD21_6x_7)</f>
        <v>0</v>
      </c>
      <c r="L48" s="2">
        <f>SUM(OSRRefD21_6x_8)</f>
        <v>216.25</v>
      </c>
      <c r="M48" s="2">
        <f>SUM(OSRRefD21_6x_9)</f>
        <v>0</v>
      </c>
      <c r="N48" s="2">
        <f>SUM(OSRRefE21_6x_0)</f>
        <v>25</v>
      </c>
      <c r="O48" s="2">
        <f>SUM(OSRRefE21_6x_1)</f>
        <v>25</v>
      </c>
      <c r="Q48" s="3">
        <f>SUM(OSRRefD20_6x)+IFERROR(SUM(OSRRefE20_6x),0)</f>
        <v>502.54999999999995</v>
      </c>
    </row>
    <row r="49" spans="1:17" s="42" customFormat="1" ht="15" hidden="1" customHeight="1" outlineLevel="1" x14ac:dyDescent="0.3">
      <c r="A49" s="34"/>
      <c r="B49" s="11" t="str">
        <f>CONCATENATE("          ","6234"," - ","EXPENDABLE SUPPLIES &amp; EQUIPMEN")</f>
        <v xml:space="preserve">          6234 - EXPENDABLE SUPPLIES &amp; EQUIPMEN</v>
      </c>
      <c r="C49" s="15"/>
      <c r="D49" s="3"/>
      <c r="E49" s="3">
        <v>26.1</v>
      </c>
      <c r="F49" s="3"/>
      <c r="G49" s="3"/>
      <c r="H49" s="3"/>
      <c r="I49" s="3"/>
      <c r="J49" s="3"/>
      <c r="K49" s="3"/>
      <c r="L49" s="3">
        <v>216.25</v>
      </c>
      <c r="M49" s="3"/>
      <c r="N49" s="3"/>
      <c r="O49" s="3"/>
      <c r="P49" s="10"/>
      <c r="Q49" s="3">
        <f>SUM(OSRRefD21_6_0x)+IFERROR(SUM(OSRRefE21_6_0x),0)</f>
        <v>242.35</v>
      </c>
    </row>
    <row r="50" spans="1:17" s="42" customFormat="1" ht="15" hidden="1" customHeight="1" outlineLevel="1" x14ac:dyDescent="0.3">
      <c r="A50" s="34"/>
      <c r="B50" s="11" t="str">
        <f>CONCATENATE("          ","6241"," - ","OFFICE EXPENSE")</f>
        <v xml:space="preserve">          6241 - OFFICE EXPENSE</v>
      </c>
      <c r="C50" s="15"/>
      <c r="D50" s="3"/>
      <c r="E50" s="3"/>
      <c r="F50" s="3"/>
      <c r="G50" s="3"/>
      <c r="H50" s="3"/>
      <c r="I50" s="3">
        <v>210.2</v>
      </c>
      <c r="J50" s="3"/>
      <c r="K50" s="3"/>
      <c r="L50" s="3"/>
      <c r="M50" s="3"/>
      <c r="N50" s="3">
        <v>25</v>
      </c>
      <c r="O50" s="3">
        <v>25</v>
      </c>
      <c r="P50" s="10"/>
      <c r="Q50" s="3">
        <f>SUM(OSRRefD21_6_1x)+IFERROR(SUM(OSRRefE21_6_1x),0)</f>
        <v>260.2</v>
      </c>
    </row>
    <row r="51" spans="1:17" s="42" customFormat="1" ht="15" customHeight="1" collapsed="1" x14ac:dyDescent="0.3">
      <c r="A51" s="34"/>
      <c r="B51" s="15" t="str">
        <f>CONCATENATE("     ","Telephone/Data Lines                              ")</f>
        <v xml:space="preserve">     Telephone/Data Lines                              </v>
      </c>
      <c r="C51" s="15"/>
      <c r="D51" s="2">
        <f>SUM(OSRRefD21_7x_0)</f>
        <v>48</v>
      </c>
      <c r="E51" s="2">
        <f>SUM(OSRRefD21_7x_1)</f>
        <v>98</v>
      </c>
      <c r="F51" s="2">
        <f>SUM(OSRRefD21_7x_2)</f>
        <v>98</v>
      </c>
      <c r="G51" s="2">
        <f>SUM(OSRRefD21_7x_3)</f>
        <v>173</v>
      </c>
      <c r="H51" s="2">
        <f>SUM(OSRRefD21_7x_4)</f>
        <v>98</v>
      </c>
      <c r="I51" s="2">
        <f>SUM(OSRRefD21_7x_5)</f>
        <v>23</v>
      </c>
      <c r="J51" s="2">
        <f>SUM(OSRRefD21_7x_6)</f>
        <v>98</v>
      </c>
      <c r="K51" s="2">
        <f>SUM(OSRRefD21_7x_7)</f>
        <v>98</v>
      </c>
      <c r="L51" s="2">
        <f>SUM(OSRRefD21_7x_8)</f>
        <v>98</v>
      </c>
      <c r="M51" s="2">
        <f>SUM(OSRRefD21_7x_9)</f>
        <v>173</v>
      </c>
      <c r="N51" s="2">
        <f>SUM(OSRRefE21_7x_0)</f>
        <v>125</v>
      </c>
      <c r="O51" s="2">
        <f>SUM(OSRRefE21_7x_1)</f>
        <v>125</v>
      </c>
      <c r="Q51" s="3">
        <f>SUM(OSRRefD20_7x)+IFERROR(SUM(OSRRefE20_7x),0)</f>
        <v>1255</v>
      </c>
    </row>
    <row r="52" spans="1:17" s="42" customFormat="1" ht="15" hidden="1" customHeight="1" outlineLevel="1" x14ac:dyDescent="0.3">
      <c r="A52" s="34"/>
      <c r="B52" s="11" t="str">
        <f>CONCATENATE("          ","6309"," - ","TELEPHONE")</f>
        <v xml:space="preserve">          6309 - TELEPHONE</v>
      </c>
      <c r="C52" s="15"/>
      <c r="D52" s="3">
        <v>48</v>
      </c>
      <c r="E52" s="3">
        <v>98</v>
      </c>
      <c r="F52" s="3">
        <v>98</v>
      </c>
      <c r="G52" s="3">
        <v>173</v>
      </c>
      <c r="H52" s="3">
        <v>98</v>
      </c>
      <c r="I52" s="3">
        <v>23</v>
      </c>
      <c r="J52" s="3">
        <v>98</v>
      </c>
      <c r="K52" s="3">
        <v>98</v>
      </c>
      <c r="L52" s="3">
        <v>98</v>
      </c>
      <c r="M52" s="3">
        <v>173</v>
      </c>
      <c r="N52" s="3">
        <v>125</v>
      </c>
      <c r="O52" s="3">
        <v>125</v>
      </c>
      <c r="P52" s="10"/>
      <c r="Q52" s="3">
        <f>SUM(OSRRefD21_7_0x)+IFERROR(SUM(OSRRefE21_7_0x),0)</f>
        <v>1255</v>
      </c>
    </row>
    <row r="53" spans="1:17" s="40" customFormat="1" ht="15" customHeight="1" x14ac:dyDescent="0.3">
      <c r="A53" s="22"/>
      <c r="B53" s="22"/>
      <c r="C53" s="2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Q53" s="2"/>
    </row>
    <row r="54" spans="1:17" s="39" customFormat="1" ht="15" customHeight="1" x14ac:dyDescent="0.3">
      <c r="A54" s="24"/>
      <c r="B54" s="17" t="s">
        <v>287</v>
      </c>
      <c r="C54" s="23"/>
      <c r="D54" s="4">
        <f>0</f>
        <v>0</v>
      </c>
      <c r="E54" s="4">
        <f>0</f>
        <v>0</v>
      </c>
      <c r="F54" s="4">
        <f>0</f>
        <v>0</v>
      </c>
      <c r="G54" s="4">
        <f>0</f>
        <v>0</v>
      </c>
      <c r="H54" s="4">
        <f>0</f>
        <v>0</v>
      </c>
      <c r="I54" s="4">
        <f>0</f>
        <v>0</v>
      </c>
      <c r="J54" s="4">
        <f>0</f>
        <v>0</v>
      </c>
      <c r="K54" s="4">
        <f>0</f>
        <v>0</v>
      </c>
      <c r="L54" s="4">
        <f>0</f>
        <v>0</v>
      </c>
      <c r="M54" s="4">
        <f>0</f>
        <v>0</v>
      </c>
      <c r="N54" s="4"/>
      <c r="O54" s="4"/>
      <c r="Q54" s="3">
        <f>SUM(OSRRefD23_0x)+IFERROR(SUM(OSRRefE23_0x),0)</f>
        <v>0</v>
      </c>
    </row>
    <row r="55" spans="1:17" ht="15" customHeight="1" x14ac:dyDescent="0.3">
      <c r="A55" s="6"/>
      <c r="B55" s="7"/>
      <c r="C55" s="7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Q55" s="4"/>
    </row>
    <row r="56" spans="1:17" s="37" customFormat="1" ht="15" customHeight="1" x14ac:dyDescent="0.3">
      <c r="A56" s="7"/>
      <c r="B56" s="18" t="s">
        <v>288</v>
      </c>
      <c r="C56" s="18"/>
      <c r="D56" s="9">
        <f t="shared" ref="D56:O56" si="4">IFERROR(+D14-D17+D54,0)</f>
        <v>-8183.68</v>
      </c>
      <c r="E56" s="9">
        <f t="shared" si="4"/>
        <v>-7758.59</v>
      </c>
      <c r="F56" s="9">
        <f t="shared" si="4"/>
        <v>-6279.6600000000008</v>
      </c>
      <c r="G56" s="9">
        <f t="shared" si="4"/>
        <v>-9218.3900000000012</v>
      </c>
      <c r="H56" s="9">
        <f t="shared" si="4"/>
        <v>-6608.87</v>
      </c>
      <c r="I56" s="9">
        <f t="shared" si="4"/>
        <v>-7684.0999999999995</v>
      </c>
      <c r="J56" s="9">
        <f t="shared" si="4"/>
        <v>-12857.57</v>
      </c>
      <c r="K56" s="9">
        <f t="shared" si="4"/>
        <v>-7873.39</v>
      </c>
      <c r="L56" s="9">
        <f t="shared" si="4"/>
        <v>-7088.09</v>
      </c>
      <c r="M56" s="9">
        <f t="shared" si="4"/>
        <v>-7389.5300000000007</v>
      </c>
      <c r="N56" s="9">
        <f t="shared" si="4"/>
        <v>-7587.9665799999993</v>
      </c>
      <c r="O56" s="9">
        <f t="shared" si="4"/>
        <v>-7587.9665799999993</v>
      </c>
      <c r="Q56" s="9">
        <f>IFERROR(+Q14-Q17+Q54,0)</f>
        <v>-96117.80316000001</v>
      </c>
    </row>
    <row r="57" spans="1:17" s="38" customFormat="1" ht="15" customHeight="1" x14ac:dyDescent="0.3">
      <c r="B57" s="17"/>
      <c r="C57" s="17"/>
      <c r="D57" s="5">
        <f t="shared" ref="D57:O57" si="5">IFERROR(D56/D10,0)</f>
        <v>0</v>
      </c>
      <c r="E57" s="5">
        <f t="shared" si="5"/>
        <v>0</v>
      </c>
      <c r="F57" s="5">
        <f t="shared" si="5"/>
        <v>0</v>
      </c>
      <c r="G57" s="5">
        <f t="shared" si="5"/>
        <v>0</v>
      </c>
      <c r="H57" s="5">
        <f t="shared" si="5"/>
        <v>0</v>
      </c>
      <c r="I57" s="5">
        <f t="shared" si="5"/>
        <v>0</v>
      </c>
      <c r="J57" s="5">
        <f t="shared" si="5"/>
        <v>0</v>
      </c>
      <c r="K57" s="5">
        <f t="shared" si="5"/>
        <v>0</v>
      </c>
      <c r="L57" s="5">
        <f t="shared" si="5"/>
        <v>0</v>
      </c>
      <c r="M57" s="5">
        <f t="shared" si="5"/>
        <v>0</v>
      </c>
      <c r="N57" s="5">
        <f t="shared" si="5"/>
        <v>0</v>
      </c>
      <c r="O57" s="5">
        <f t="shared" si="5"/>
        <v>0</v>
      </c>
      <c r="P57" s="19"/>
      <c r="Q57" s="5">
        <f>IFERROR(Q56/Q10,0)</f>
        <v>0</v>
      </c>
    </row>
    <row r="58" spans="1:17" ht="15" customHeight="1" x14ac:dyDescent="0.3">
      <c r="A58" s="6"/>
      <c r="B58" s="7"/>
      <c r="C58" s="6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Q58" s="4"/>
    </row>
    <row r="59" spans="1:17" s="37" customFormat="1" ht="15" customHeight="1" x14ac:dyDescent="0.3">
      <c r="A59" s="26"/>
      <c r="B59" s="7" t="s">
        <v>289</v>
      </c>
      <c r="C59" s="7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Q59" s="3">
        <f>SUM(OSRRefD28_0x)+IFERROR(SUM(OSRRefE28_0x),0)</f>
        <v>0</v>
      </c>
    </row>
    <row r="60" spans="1:17" ht="15" customHeight="1" x14ac:dyDescent="0.3">
      <c r="A60" s="6"/>
      <c r="B60" s="7"/>
      <c r="C60" s="7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Q60" s="4"/>
    </row>
    <row r="61" spans="1:17" s="37" customFormat="1" ht="15.75" customHeight="1" x14ac:dyDescent="0.3">
      <c r="A61" s="7"/>
      <c r="B61" s="18" t="s">
        <v>290</v>
      </c>
      <c r="C61" s="18"/>
      <c r="D61" s="8">
        <f t="shared" ref="D61:O61" si="6">IFERROR(+D56-D59,0)</f>
        <v>-8183.68</v>
      </c>
      <c r="E61" s="8">
        <f t="shared" si="6"/>
        <v>-7758.59</v>
      </c>
      <c r="F61" s="8">
        <f t="shared" si="6"/>
        <v>-6279.6600000000008</v>
      </c>
      <c r="G61" s="8">
        <f t="shared" si="6"/>
        <v>-9218.3900000000012</v>
      </c>
      <c r="H61" s="8">
        <f t="shared" si="6"/>
        <v>-6608.87</v>
      </c>
      <c r="I61" s="8">
        <f t="shared" si="6"/>
        <v>-7684.0999999999995</v>
      </c>
      <c r="J61" s="8">
        <f t="shared" si="6"/>
        <v>-12857.57</v>
      </c>
      <c r="K61" s="8">
        <f t="shared" si="6"/>
        <v>-7873.39</v>
      </c>
      <c r="L61" s="8">
        <f t="shared" si="6"/>
        <v>-7088.09</v>
      </c>
      <c r="M61" s="8">
        <f t="shared" si="6"/>
        <v>-7389.5300000000007</v>
      </c>
      <c r="N61" s="8">
        <f t="shared" si="6"/>
        <v>-7587.9665799999993</v>
      </c>
      <c r="O61" s="8">
        <f t="shared" si="6"/>
        <v>-7587.9665799999993</v>
      </c>
      <c r="Q61" s="8">
        <f>IFERROR(+Q56-Q59,0)</f>
        <v>-96117.80316000001</v>
      </c>
    </row>
    <row r="62" spans="1:17" ht="15.75" customHeight="1" x14ac:dyDescent="0.3">
      <c r="A62" s="6"/>
      <c r="B62" s="6"/>
      <c r="C62" s="6"/>
      <c r="D62" s="5">
        <f t="shared" ref="D62:O62" si="7">IFERROR(D61/D10,0)</f>
        <v>0</v>
      </c>
      <c r="E62" s="5">
        <f t="shared" si="7"/>
        <v>0</v>
      </c>
      <c r="F62" s="5">
        <f t="shared" si="7"/>
        <v>0</v>
      </c>
      <c r="G62" s="5">
        <f t="shared" si="7"/>
        <v>0</v>
      </c>
      <c r="H62" s="5">
        <f t="shared" si="7"/>
        <v>0</v>
      </c>
      <c r="I62" s="5">
        <f t="shared" si="7"/>
        <v>0</v>
      </c>
      <c r="J62" s="5">
        <f t="shared" si="7"/>
        <v>0</v>
      </c>
      <c r="K62" s="5">
        <f t="shared" si="7"/>
        <v>0</v>
      </c>
      <c r="L62" s="5">
        <f t="shared" si="7"/>
        <v>0</v>
      </c>
      <c r="M62" s="5">
        <f t="shared" si="7"/>
        <v>0</v>
      </c>
      <c r="N62" s="5">
        <f t="shared" si="7"/>
        <v>0</v>
      </c>
      <c r="O62" s="5">
        <f t="shared" si="7"/>
        <v>0</v>
      </c>
      <c r="P62" s="19"/>
      <c r="Q62" s="5">
        <f>IFERROR(Q61/Q10,0)</f>
        <v>0</v>
      </c>
    </row>
    <row r="63" spans="1:17" ht="15" customHeight="1" x14ac:dyDescent="0.3">
      <c r="A63" s="6"/>
      <c r="B63" s="6"/>
      <c r="C63" s="6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Q63" s="4"/>
    </row>
    <row r="64" spans="1:17" ht="15" customHeight="1" x14ac:dyDescent="0.3">
      <c r="A64" s="6"/>
      <c r="B64" s="6"/>
      <c r="C64" s="6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Q64" s="4"/>
    </row>
    <row r="65" spans="1:17" s="37" customFormat="1" ht="15.75" customHeight="1" x14ac:dyDescent="0.3">
      <c r="A65" s="7"/>
      <c r="B65" s="18" t="s">
        <v>293</v>
      </c>
      <c r="C65" s="18"/>
      <c r="D65" s="8">
        <f t="shared" ref="D65:O65" si="8">IFERROR(SUM(D61:D64),0)</f>
        <v>-8183.68</v>
      </c>
      <c r="E65" s="8">
        <f t="shared" si="8"/>
        <v>-7758.59</v>
      </c>
      <c r="F65" s="8">
        <f t="shared" si="8"/>
        <v>-6279.6600000000008</v>
      </c>
      <c r="G65" s="8">
        <f t="shared" si="8"/>
        <v>-9218.3900000000012</v>
      </c>
      <c r="H65" s="8">
        <f t="shared" si="8"/>
        <v>-6608.87</v>
      </c>
      <c r="I65" s="8">
        <f t="shared" si="8"/>
        <v>-7684.0999999999995</v>
      </c>
      <c r="J65" s="8">
        <f t="shared" si="8"/>
        <v>-12857.57</v>
      </c>
      <c r="K65" s="8">
        <f t="shared" si="8"/>
        <v>-7873.39</v>
      </c>
      <c r="L65" s="8">
        <f t="shared" si="8"/>
        <v>-7088.09</v>
      </c>
      <c r="M65" s="8">
        <f t="shared" si="8"/>
        <v>-7389.5300000000007</v>
      </c>
      <c r="N65" s="8">
        <f t="shared" si="8"/>
        <v>-7587.9665799999993</v>
      </c>
      <c r="O65" s="8">
        <f t="shared" si="8"/>
        <v>-7587.9665799999993</v>
      </c>
      <c r="Q65" s="8">
        <f>IFERROR(SUM(Q61:Q64),0)</f>
        <v>-96117.80316000001</v>
      </c>
    </row>
    <row r="66" spans="1:17" ht="15.75" customHeight="1" x14ac:dyDescent="0.3">
      <c r="A66" s="6"/>
      <c r="C66" s="6"/>
      <c r="D66" s="5">
        <f t="shared" ref="D66:O66" si="9">IFERROR(D65/D10,0)</f>
        <v>0</v>
      </c>
      <c r="E66" s="5">
        <f t="shared" si="9"/>
        <v>0</v>
      </c>
      <c r="F66" s="5">
        <f t="shared" si="9"/>
        <v>0</v>
      </c>
      <c r="G66" s="5">
        <f t="shared" si="9"/>
        <v>0</v>
      </c>
      <c r="H66" s="5">
        <f t="shared" si="9"/>
        <v>0</v>
      </c>
      <c r="I66" s="5">
        <f t="shared" si="9"/>
        <v>0</v>
      </c>
      <c r="J66" s="5">
        <f t="shared" si="9"/>
        <v>0</v>
      </c>
      <c r="K66" s="5">
        <f t="shared" si="9"/>
        <v>0</v>
      </c>
      <c r="L66" s="5">
        <f t="shared" si="9"/>
        <v>0</v>
      </c>
      <c r="M66" s="5">
        <f t="shared" si="9"/>
        <v>0</v>
      </c>
      <c r="N66" s="5">
        <f t="shared" si="9"/>
        <v>0</v>
      </c>
      <c r="O66" s="5">
        <f t="shared" si="9"/>
        <v>0</v>
      </c>
      <c r="P66" s="19"/>
      <c r="Q66" s="5">
        <f>IFERROR(Q65/Q10,0)</f>
        <v>0</v>
      </c>
    </row>
    <row r="67" spans="1:17" ht="15" customHeight="1" x14ac:dyDescent="0.3">
      <c r="A67" s="6"/>
      <c r="B67" s="33">
        <v>44694.892891863426</v>
      </c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Q67" s="14"/>
    </row>
    <row r="68" spans="1:17" ht="15" customHeight="1" x14ac:dyDescent="0.3">
      <c r="A68" s="6"/>
      <c r="B68" s="31" t="s">
        <v>294</v>
      </c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Q68" s="14"/>
    </row>
    <row r="69" spans="1:17" ht="15" customHeight="1" x14ac:dyDescent="0.3">
      <c r="A69" s="6"/>
      <c r="B69" s="27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Q69" s="14"/>
    </row>
    <row r="70" spans="1:17" ht="15" customHeight="1" x14ac:dyDescent="0.3"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Q70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4B6AED-E1B4-2199-0343-9E699AE630BF}">
  <sheetPr>
    <tabColor rgb="FF92D050"/>
    <outlinePr summaryBelow="0" summaryRight="0"/>
    <pageSetUpPr fitToPage="1"/>
  </sheetPr>
  <dimension ref="A2:R66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","206"," - ","Communications")</f>
        <v>Department 206 - Communications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9">
        <f t="shared" ref="D14:O14" si="2">IFERROR(+D10-D12,0)</f>
        <v>0</v>
      </c>
      <c r="E14" s="9">
        <f t="shared" si="2"/>
        <v>0</v>
      </c>
      <c r="F14" s="9">
        <f t="shared" si="2"/>
        <v>0</v>
      </c>
      <c r="G14" s="9">
        <f t="shared" si="2"/>
        <v>0</v>
      </c>
      <c r="H14" s="9">
        <f t="shared" si="2"/>
        <v>0</v>
      </c>
      <c r="I14" s="9">
        <f t="shared" si="2"/>
        <v>0</v>
      </c>
      <c r="J14" s="9">
        <f t="shared" si="2"/>
        <v>0</v>
      </c>
      <c r="K14" s="9">
        <f t="shared" si="2"/>
        <v>0</v>
      </c>
      <c r="L14" s="9">
        <f t="shared" si="2"/>
        <v>0</v>
      </c>
      <c r="M14" s="9">
        <f t="shared" si="2"/>
        <v>0</v>
      </c>
      <c r="N14" s="9">
        <f t="shared" si="2"/>
        <v>0</v>
      </c>
      <c r="O14" s="9">
        <f t="shared" si="2"/>
        <v>0</v>
      </c>
      <c r="Q14" s="9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2" cm="1">
        <f t="array" ref="D17">SUM(OSRRefD20x_0)</f>
        <v>10470.700000000001</v>
      </c>
      <c r="E17" s="12" cm="1">
        <f t="array" ref="E17">SUM(OSRRefD20x_1)</f>
        <v>7822.7099999999991</v>
      </c>
      <c r="F17" s="12" cm="1">
        <f t="array" ref="F17">SUM(OSRRefD20x_2)</f>
        <v>7247.0000000000009</v>
      </c>
      <c r="G17" s="12" cm="1">
        <f t="array" ref="G17">SUM(OSRRefD20x_3)</f>
        <v>10350.699999999999</v>
      </c>
      <c r="H17" s="12" cm="1">
        <f t="array" ref="H17">SUM(OSRRefD20x_4)</f>
        <v>9325.01</v>
      </c>
      <c r="I17" s="12" cm="1">
        <f t="array" ref="I17">SUM(OSRRefD20x_5)</f>
        <v>8783.9900000000016</v>
      </c>
      <c r="J17" s="12" cm="1">
        <f t="array" ref="J17">SUM(OSRRefD20x_6)</f>
        <v>6888.15</v>
      </c>
      <c r="K17" s="12" cm="1">
        <f t="array" ref="K17">SUM(OSRRefD20x_7)</f>
        <v>7505.9599999999991</v>
      </c>
      <c r="L17" s="12" cm="1">
        <f t="array" ref="L17">SUM(OSRRefD20x_8)</f>
        <v>9673.34</v>
      </c>
      <c r="M17" s="12" cm="1">
        <f t="array" ref="M17">SUM(OSRRefD20x_9)</f>
        <v>11543.349999999999</v>
      </c>
      <c r="N17" s="12" cm="1">
        <f t="array" ref="N17">SUM(OSRRefE20x_0)</f>
        <v>12236.75742769231</v>
      </c>
      <c r="O17" s="12" cm="1">
        <f t="array" ref="O17">SUM(OSRRefE20x_1)</f>
        <v>12232.75742769231</v>
      </c>
      <c r="Q17" s="12" cm="1">
        <f t="array" ref="Q17">SUM(OSRRefG20x)</f>
        <v>114080.42485538461</v>
      </c>
    </row>
    <row r="18" spans="1:17" s="42" customFormat="1" ht="15" customHeight="1" collapsed="1" x14ac:dyDescent="0.3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2">
        <f>SUM(OSRRefD21_0x_0)</f>
        <v>1886.62</v>
      </c>
      <c r="E18" s="2">
        <f>SUM(OSRRefD21_0x_1)</f>
        <v>1942.2400000000002</v>
      </c>
      <c r="F18" s="2">
        <f>SUM(OSRRefD21_0x_2)</f>
        <v>1787.88</v>
      </c>
      <c r="G18" s="2">
        <f>SUM(OSRRefD21_0x_3)</f>
        <v>2327.62</v>
      </c>
      <c r="H18" s="2">
        <f>SUM(OSRRefD21_0x_4)</f>
        <v>1880.25</v>
      </c>
      <c r="I18" s="2">
        <f>SUM(OSRRefD21_0x_5)</f>
        <v>1807.08</v>
      </c>
      <c r="J18" s="2">
        <f>SUM(OSRRefD21_0x_6)</f>
        <v>1531.66</v>
      </c>
      <c r="K18" s="2">
        <f>SUM(OSRRefD21_0x_7)</f>
        <v>1221.8999999999999</v>
      </c>
      <c r="L18" s="2">
        <f>SUM(OSRRefD21_0x_8)</f>
        <v>1507.9</v>
      </c>
      <c r="M18" s="2">
        <f>SUM(OSRRefD21_0x_9)</f>
        <v>2090.77</v>
      </c>
      <c r="N18" s="2">
        <f>SUM(OSRRefE21_0x_0)</f>
        <v>2192.0774276923098</v>
      </c>
      <c r="O18" s="2">
        <f>SUM(OSRRefE21_0x_1)</f>
        <v>2192.0774276923098</v>
      </c>
      <c r="Q18" s="3">
        <f>SUM(OSRRefD20_0x)+IFERROR(SUM(OSRRefE20_0x),0)</f>
        <v>22368.074855384617</v>
      </c>
    </row>
    <row r="19" spans="1:17" s="42" customFormat="1" ht="15" hidden="1" customHeight="1" outlineLevel="1" x14ac:dyDescent="0.3">
      <c r="A19" s="34"/>
      <c r="B19" s="11" t="str">
        <f>CONCATENATE("          ","6111"," - ","F.I.C.A.")</f>
        <v xml:space="preserve">          6111 - F.I.C.A.</v>
      </c>
      <c r="C19" s="15"/>
      <c r="D19" s="3">
        <v>498.51</v>
      </c>
      <c r="E19" s="3">
        <v>483.01</v>
      </c>
      <c r="F19" s="3">
        <v>342.58</v>
      </c>
      <c r="G19" s="3">
        <v>524.72</v>
      </c>
      <c r="H19" s="3">
        <v>363.08</v>
      </c>
      <c r="I19" s="3">
        <v>371.86</v>
      </c>
      <c r="J19" s="3">
        <v>393.74</v>
      </c>
      <c r="K19" s="3">
        <v>400.55</v>
      </c>
      <c r="L19" s="3">
        <v>619.17999999999995</v>
      </c>
      <c r="M19" s="3">
        <v>938.33</v>
      </c>
      <c r="N19" s="3">
        <v>378.36432000000002</v>
      </c>
      <c r="O19" s="3">
        <v>378.36432000000002</v>
      </c>
      <c r="P19" s="10"/>
      <c r="Q19" s="3">
        <f>SUM(OSRRefD21_0_0x)+IFERROR(SUM(OSRRefE21_0_0x),0)</f>
        <v>5692.2886400000007</v>
      </c>
    </row>
    <row r="20" spans="1:17" s="42" customFormat="1" ht="15" hidden="1" customHeight="1" outlineLevel="1" x14ac:dyDescent="0.3">
      <c r="A20" s="34"/>
      <c r="B20" s="11" t="str">
        <f>CONCATENATE("          ","6112"," - ","COMPENSATION INSURANCE")</f>
        <v xml:space="preserve">          6112 - COMPENSATION INSURANCE</v>
      </c>
      <c r="C20" s="15"/>
      <c r="D20" s="3">
        <v>83.68</v>
      </c>
      <c r="E20" s="3">
        <v>81.349999999999994</v>
      </c>
      <c r="F20" s="3">
        <v>74.17</v>
      </c>
      <c r="G20" s="3">
        <v>117.5</v>
      </c>
      <c r="H20" s="3">
        <v>87.67</v>
      </c>
      <c r="I20" s="3">
        <v>90.98</v>
      </c>
      <c r="J20" s="3">
        <v>66.33</v>
      </c>
      <c r="K20" s="3">
        <v>67.45</v>
      </c>
      <c r="L20" s="3">
        <v>104.27</v>
      </c>
      <c r="M20" s="3">
        <v>106.63</v>
      </c>
      <c r="N20" s="3">
        <v>23.2624</v>
      </c>
      <c r="O20" s="3">
        <v>23.2624</v>
      </c>
      <c r="P20" s="10"/>
      <c r="Q20" s="3">
        <f>SUM(OSRRefD21_0_1x)+IFERROR(SUM(OSRRefE21_0_1x),0)</f>
        <v>926.55480000000011</v>
      </c>
    </row>
    <row r="21" spans="1:17" s="42" customFormat="1" ht="15" hidden="1" customHeight="1" outlineLevel="1" x14ac:dyDescent="0.3">
      <c r="A21" s="34"/>
      <c r="B21" s="11" t="str">
        <f>CONCATENATE("          ","6113"," - ","GROUP INSURANCE")</f>
        <v xml:space="preserve">          6113 - GROUP INSURANCE</v>
      </c>
      <c r="C21" s="15"/>
      <c r="D21" s="3">
        <v>700.87</v>
      </c>
      <c r="E21" s="3">
        <v>700.87</v>
      </c>
      <c r="F21" s="3">
        <v>712.12</v>
      </c>
      <c r="G21" s="3">
        <v>700.87</v>
      </c>
      <c r="H21" s="3">
        <v>700.87</v>
      </c>
      <c r="I21" s="3">
        <v>700.87</v>
      </c>
      <c r="J21" s="3">
        <v>39.83</v>
      </c>
      <c r="K21" s="3">
        <v>39.83</v>
      </c>
      <c r="L21" s="3">
        <v>39.83</v>
      </c>
      <c r="M21" s="3">
        <v>39.83</v>
      </c>
      <c r="N21" s="3">
        <v>1275.6923076923099</v>
      </c>
      <c r="O21" s="3">
        <v>1275.6923076923099</v>
      </c>
      <c r="P21" s="10"/>
      <c r="Q21" s="3">
        <f>SUM(OSRRefD21_0_2x)+IFERROR(SUM(OSRRefE21_0_2x),0)</f>
        <v>6927.1746153846198</v>
      </c>
    </row>
    <row r="22" spans="1:17" s="42" customFormat="1" ht="15" hidden="1" customHeight="1" outlineLevel="1" x14ac:dyDescent="0.3">
      <c r="A22" s="34"/>
      <c r="B22" s="11" t="str">
        <f>CONCATENATE("          ","6114"," - ","STATE UNEMPLOYMENT INSURANCE")</f>
        <v xml:space="preserve">          6114 - STATE UNEMPLOYMENT INSURANCE</v>
      </c>
      <c r="C22" s="15"/>
      <c r="D22" s="3">
        <v>16.87</v>
      </c>
      <c r="E22" s="3">
        <v>16.399999999999999</v>
      </c>
      <c r="F22" s="3">
        <v>14.95</v>
      </c>
      <c r="G22" s="3">
        <v>23.68</v>
      </c>
      <c r="H22" s="3">
        <v>17.670000000000002</v>
      </c>
      <c r="I22" s="3">
        <v>18.34</v>
      </c>
      <c r="J22" s="3">
        <v>13.37</v>
      </c>
      <c r="K22" s="3">
        <v>13.59</v>
      </c>
      <c r="L22" s="3">
        <v>21.02</v>
      </c>
      <c r="M22" s="3">
        <v>21.49</v>
      </c>
      <c r="N22" s="3">
        <v>15.7584</v>
      </c>
      <c r="O22" s="3">
        <v>15.7584</v>
      </c>
      <c r="P22" s="10"/>
      <c r="Q22" s="3">
        <f>SUM(OSRRefD21_0_3x)+IFERROR(SUM(OSRRefE21_0_3x),0)</f>
        <v>208.89680000000001</v>
      </c>
    </row>
    <row r="23" spans="1:17" s="42" customFormat="1" ht="15" hidden="1" customHeight="1" outlineLevel="1" x14ac:dyDescent="0.3">
      <c r="A23" s="34"/>
      <c r="B23" s="11" t="str">
        <f>CONCATENATE("          ","6115"," - ","P.E.R.S.")</f>
        <v xml:space="preserve">          6115 - P.E.R.S.</v>
      </c>
      <c r="C23" s="15"/>
      <c r="D23" s="3"/>
      <c r="E23" s="3"/>
      <c r="F23" s="3"/>
      <c r="G23" s="3"/>
      <c r="H23" s="3"/>
      <c r="I23" s="3"/>
      <c r="J23" s="3"/>
      <c r="K23" s="3"/>
      <c r="L23" s="3"/>
      <c r="M23" s="3"/>
      <c r="N23" s="3">
        <v>0</v>
      </c>
      <c r="O23" s="3">
        <v>0</v>
      </c>
      <c r="P23" s="10"/>
      <c r="Q23" s="3">
        <f>SUM(OSRRefD21_0_4x)+IFERROR(SUM(OSRRefE21_0_4x),0)</f>
        <v>0</v>
      </c>
    </row>
    <row r="24" spans="1:17" s="42" customFormat="1" ht="15" hidden="1" customHeight="1" outlineLevel="1" x14ac:dyDescent="0.3">
      <c r="A24" s="34"/>
      <c r="B24" s="11" t="str">
        <f>CONCATENATE("          ","6116"," - ","EDUCATIONAL BENEFITS")</f>
        <v xml:space="preserve">          6116 - EDUCATIONAL BENEFITS</v>
      </c>
      <c r="C24" s="15"/>
      <c r="D24" s="3"/>
      <c r="E24" s="3"/>
      <c r="F24" s="3"/>
      <c r="G24" s="3"/>
      <c r="H24" s="3"/>
      <c r="I24" s="3"/>
      <c r="J24" s="3"/>
      <c r="K24" s="3"/>
      <c r="L24" s="3"/>
      <c r="M24" s="3"/>
      <c r="N24" s="3">
        <v>0</v>
      </c>
      <c r="O24" s="3">
        <v>0</v>
      </c>
      <c r="P24" s="10"/>
      <c r="Q24" s="3">
        <f>SUM(OSRRefD21_0_5x)+IFERROR(SUM(OSRRefE21_0_5x),0)</f>
        <v>0</v>
      </c>
    </row>
    <row r="25" spans="1:17" s="42" customFormat="1" ht="15" hidden="1" customHeight="1" outlineLevel="1" x14ac:dyDescent="0.3">
      <c r="A25" s="34"/>
      <c r="B25" s="11" t="str">
        <f>CONCATENATE("          ","6118"," - ","VACATION")</f>
        <v xml:space="preserve">          6118 - VACATION</v>
      </c>
      <c r="C25" s="15"/>
      <c r="D25" s="3">
        <v>276.60000000000002</v>
      </c>
      <c r="E25" s="3">
        <v>276.60000000000002</v>
      </c>
      <c r="F25" s="3">
        <v>276.60000000000002</v>
      </c>
      <c r="G25" s="3">
        <v>414.9</v>
      </c>
      <c r="H25" s="3">
        <v>287.66000000000003</v>
      </c>
      <c r="I25" s="3">
        <v>287.66000000000003</v>
      </c>
      <c r="J25" s="3">
        <v>344.46</v>
      </c>
      <c r="K25" s="3">
        <v>287.66000000000003</v>
      </c>
      <c r="L25" s="3">
        <v>287.66000000000003</v>
      </c>
      <c r="M25" s="3">
        <v>431.49</v>
      </c>
      <c r="N25" s="3">
        <v>148.32</v>
      </c>
      <c r="O25" s="3">
        <v>148.32</v>
      </c>
      <c r="P25" s="10"/>
      <c r="Q25" s="3">
        <f>SUM(OSRRefD21_0_6x)+IFERROR(SUM(OSRRefE21_0_6x),0)</f>
        <v>3467.93</v>
      </c>
    </row>
    <row r="26" spans="1:17" s="42" customFormat="1" ht="15" hidden="1" customHeight="1" outlineLevel="1" x14ac:dyDescent="0.3">
      <c r="A26" s="34"/>
      <c r="B26" s="11" t="str">
        <f>CONCATENATE("          ","6119"," - ","SICK LEAVE")</f>
        <v xml:space="preserve">          6119 - SICK LEAVE</v>
      </c>
      <c r="C26" s="15"/>
      <c r="D26" s="3">
        <v>221.4</v>
      </c>
      <c r="E26" s="3">
        <v>221.4</v>
      </c>
      <c r="F26" s="3">
        <v>221.4</v>
      </c>
      <c r="G26" s="3">
        <v>332.1</v>
      </c>
      <c r="H26" s="3">
        <v>230.26</v>
      </c>
      <c r="I26" s="3">
        <v>230.26</v>
      </c>
      <c r="J26" s="3">
        <v>539.66999999999996</v>
      </c>
      <c r="K26" s="3">
        <v>230.26</v>
      </c>
      <c r="L26" s="3">
        <v>230.26</v>
      </c>
      <c r="M26" s="3">
        <v>345.39</v>
      </c>
      <c r="N26" s="3">
        <v>175.68</v>
      </c>
      <c r="O26" s="3">
        <v>175.68</v>
      </c>
      <c r="P26" s="10"/>
      <c r="Q26" s="3">
        <f>SUM(OSRRefD21_0_7x)+IFERROR(SUM(OSRRefE21_0_7x),0)</f>
        <v>3153.76</v>
      </c>
    </row>
    <row r="27" spans="1:17" s="42" customFormat="1" ht="15" hidden="1" customHeight="1" outlineLevel="1" x14ac:dyDescent="0.3">
      <c r="A27" s="34"/>
      <c r="B27" s="11" t="str">
        <f>CONCATENATE("          ","6156"," - ","EMPLOYEE MEALS")</f>
        <v xml:space="preserve">          6156 - EMPLOYEE MEALS</v>
      </c>
      <c r="C27" s="15"/>
      <c r="D27" s="3">
        <v>88.69</v>
      </c>
      <c r="E27" s="3">
        <v>162.61000000000001</v>
      </c>
      <c r="F27" s="3">
        <v>146.06</v>
      </c>
      <c r="G27" s="3">
        <v>213.85</v>
      </c>
      <c r="H27" s="3">
        <v>193.04</v>
      </c>
      <c r="I27" s="3">
        <v>107.11</v>
      </c>
      <c r="J27" s="3">
        <v>134.26</v>
      </c>
      <c r="K27" s="3">
        <v>182.56</v>
      </c>
      <c r="L27" s="3">
        <v>205.68</v>
      </c>
      <c r="M27" s="3">
        <v>207.61</v>
      </c>
      <c r="N27" s="3">
        <v>175</v>
      </c>
      <c r="O27" s="3">
        <v>175</v>
      </c>
      <c r="P27" s="10"/>
      <c r="Q27" s="3">
        <f>SUM(OSRRefD21_0_8x)+IFERROR(SUM(OSRRefE21_0_8x),0)</f>
        <v>1991.4699999999998</v>
      </c>
    </row>
    <row r="28" spans="1:17" s="42" customFormat="1" ht="15" customHeight="1" collapsed="1" x14ac:dyDescent="0.3">
      <c r="A28" s="34"/>
      <c r="B28" s="15" t="str">
        <f>CONCATENATE("     ","*Payroll                                          ")</f>
        <v xml:space="preserve">     *Payroll                                          </v>
      </c>
      <c r="C28" s="15"/>
      <c r="D28" s="2">
        <f>SUM(OSRRefD21_1x_0)</f>
        <v>8302.8700000000008</v>
      </c>
      <c r="E28" s="2">
        <f>SUM(OSRRefD21_1x_1)</f>
        <v>5603.4</v>
      </c>
      <c r="F28" s="2">
        <f>SUM(OSRRefD21_1x_2)</f>
        <v>5369.52</v>
      </c>
      <c r="G28" s="2">
        <f>SUM(OSRRefD21_1x_3)</f>
        <v>7640.66</v>
      </c>
      <c r="H28" s="2">
        <f>SUM(OSRRefD21_1x_4)</f>
        <v>7062.34</v>
      </c>
      <c r="I28" s="2">
        <f>SUM(OSRRefD21_1x_5)</f>
        <v>6934.1900000000005</v>
      </c>
      <c r="J28" s="2">
        <f>SUM(OSRRefD21_1x_6)</f>
        <v>5146.9799999999996</v>
      </c>
      <c r="K28" s="2">
        <f>SUM(OSRRefD21_1x_7)</f>
        <v>6072.6399999999994</v>
      </c>
      <c r="L28" s="2">
        <f>SUM(OSRRefD21_1x_8)</f>
        <v>7892.89</v>
      </c>
      <c r="M28" s="2">
        <f>SUM(OSRRefD21_1x_9)</f>
        <v>9243.369999999999</v>
      </c>
      <c r="N28" s="2">
        <f>SUM(OSRRefE21_1x_0)</f>
        <v>7355.68</v>
      </c>
      <c r="O28" s="2">
        <f>SUM(OSRRefE21_1x_1)</f>
        <v>7355.68</v>
      </c>
      <c r="Q28" s="3">
        <f>SUM(OSRRefD20_1x)+IFERROR(SUM(OSRRefE20_1x),0)</f>
        <v>83980.22</v>
      </c>
    </row>
    <row r="29" spans="1:17" s="42" customFormat="1" ht="15" hidden="1" customHeight="1" outlineLevel="1" x14ac:dyDescent="0.3">
      <c r="A29" s="34"/>
      <c r="B29" s="11" t="str">
        <f>CONCATENATE("          ","6001"," - ","ADMINISTRATIVE SALARIES")</f>
        <v xml:space="preserve">          6001 - ADMINISTRATIVE SALARIES</v>
      </c>
      <c r="C29" s="15"/>
      <c r="D29" s="3"/>
      <c r="E29" s="3"/>
      <c r="F29" s="3"/>
      <c r="G29" s="3"/>
      <c r="H29" s="3"/>
      <c r="I29" s="3"/>
      <c r="J29" s="3"/>
      <c r="K29" s="3"/>
      <c r="L29" s="3"/>
      <c r="M29" s="3"/>
      <c r="N29" s="3">
        <v>0</v>
      </c>
      <c r="O29" s="3">
        <v>0</v>
      </c>
      <c r="P29" s="10"/>
      <c r="Q29" s="3">
        <f>SUM(OSRRefD21_1_0x)+IFERROR(SUM(OSRRefE21_1_0x),0)</f>
        <v>0</v>
      </c>
    </row>
    <row r="30" spans="1:17" s="42" customFormat="1" ht="15" hidden="1" customHeight="1" outlineLevel="1" x14ac:dyDescent="0.3">
      <c r="A30" s="34"/>
      <c r="B30" s="11" t="str">
        <f>CONCATENATE("          ","6002"," - ","STAFF SALARIES")</f>
        <v xml:space="preserve">          6002 - STAFF SALARIES</v>
      </c>
      <c r="C30" s="15"/>
      <c r="D30" s="3"/>
      <c r="E30" s="3"/>
      <c r="F30" s="3"/>
      <c r="G30" s="3"/>
      <c r="H30" s="3"/>
      <c r="I30" s="3"/>
      <c r="J30" s="3"/>
      <c r="K30" s="3"/>
      <c r="L30" s="3"/>
      <c r="M30" s="3"/>
      <c r="N30" s="3">
        <v>0</v>
      </c>
      <c r="O30" s="3">
        <v>0</v>
      </c>
      <c r="P30" s="10"/>
      <c r="Q30" s="3">
        <f>SUM(OSRRefD21_1_1x)+IFERROR(SUM(OSRRefE21_1_1x),0)</f>
        <v>0</v>
      </c>
    </row>
    <row r="31" spans="1:17" s="42" customFormat="1" ht="15" hidden="1" customHeight="1" outlineLevel="1" x14ac:dyDescent="0.3">
      <c r="A31" s="34"/>
      <c r="B31" s="11" t="str">
        <f>CONCATENATE("          ","6003"," - ","STAFF HOURLY-9 MONTH")</f>
        <v xml:space="preserve">          6003 - STAFF HOURLY-9 MONTH</v>
      </c>
      <c r="C31" s="15"/>
      <c r="D31" s="3"/>
      <c r="E31" s="3"/>
      <c r="F31" s="3"/>
      <c r="G31" s="3"/>
      <c r="H31" s="3"/>
      <c r="I31" s="3"/>
      <c r="J31" s="3"/>
      <c r="K31" s="3"/>
      <c r="L31" s="3"/>
      <c r="M31" s="3"/>
      <c r="N31" s="3">
        <v>0</v>
      </c>
      <c r="O31" s="3">
        <v>0</v>
      </c>
      <c r="P31" s="10"/>
      <c r="Q31" s="3">
        <f>SUM(OSRRefD21_1_2x)+IFERROR(SUM(OSRRefE21_1_2x),0)</f>
        <v>0</v>
      </c>
    </row>
    <row r="32" spans="1:17" s="42" customFormat="1" ht="15" hidden="1" customHeight="1" outlineLevel="1" x14ac:dyDescent="0.3">
      <c r="A32" s="34"/>
      <c r="B32" s="11" t="str">
        <f>CONCATENATE("          ","6004"," - ","STAFF HOURLY")</f>
        <v xml:space="preserve">          6004 - STAFF HOURLY</v>
      </c>
      <c r="C32" s="15"/>
      <c r="D32" s="3">
        <v>4874.55</v>
      </c>
      <c r="E32" s="3">
        <v>3929.4</v>
      </c>
      <c r="F32" s="3">
        <v>4497</v>
      </c>
      <c r="G32" s="3">
        <v>6407.25</v>
      </c>
      <c r="H32" s="3">
        <v>5004.96</v>
      </c>
      <c r="I32" s="3">
        <v>4724.62</v>
      </c>
      <c r="J32" s="3">
        <v>5146.9799999999996</v>
      </c>
      <c r="K32" s="3">
        <v>5387.78</v>
      </c>
      <c r="L32" s="3">
        <v>3514.34</v>
      </c>
      <c r="M32" s="3">
        <v>6705.98</v>
      </c>
      <c r="N32" s="3">
        <v>4795.68</v>
      </c>
      <c r="O32" s="3">
        <v>4795.68</v>
      </c>
      <c r="P32" s="10"/>
      <c r="Q32" s="3">
        <f>SUM(OSRRefD21_1_3x)+IFERROR(SUM(OSRRefE21_1_3x),0)</f>
        <v>59784.219999999987</v>
      </c>
    </row>
    <row r="33" spans="1:17" s="42" customFormat="1" ht="15" hidden="1" customHeight="1" outlineLevel="1" x14ac:dyDescent="0.3">
      <c r="A33" s="34"/>
      <c r="B33" s="11" t="str">
        <f>CONCATENATE("          ","6005"," - ","TEMPORARY WAGES-HOURLY")</f>
        <v xml:space="preserve">          6005 - TEMPORARY WAGES-HOURLY</v>
      </c>
      <c r="C33" s="15"/>
      <c r="D33" s="3"/>
      <c r="E33" s="3"/>
      <c r="F33" s="3"/>
      <c r="G33" s="3"/>
      <c r="H33" s="3"/>
      <c r="I33" s="3"/>
      <c r="J33" s="3"/>
      <c r="K33" s="3">
        <v>684.86</v>
      </c>
      <c r="L33" s="3">
        <v>2354.5500000000002</v>
      </c>
      <c r="M33" s="3">
        <v>4561.3900000000003</v>
      </c>
      <c r="N33" s="3">
        <v>0</v>
      </c>
      <c r="O33" s="3">
        <v>0</v>
      </c>
      <c r="P33" s="10"/>
      <c r="Q33" s="3">
        <f>SUM(OSRRefD21_1_4x)+IFERROR(SUM(OSRRefE21_1_4x),0)</f>
        <v>7600.8000000000011</v>
      </c>
    </row>
    <row r="34" spans="1:17" s="42" customFormat="1" ht="15" hidden="1" customHeight="1" outlineLevel="1" x14ac:dyDescent="0.3">
      <c r="A34" s="34"/>
      <c r="B34" s="11" t="str">
        <f>CONCATENATE("          ","6006"," - ","TEMPORARY PART TIME")</f>
        <v xml:space="preserve">          6006 - TEMPORARY PART TIME</v>
      </c>
      <c r="C34" s="15"/>
      <c r="D34" s="3"/>
      <c r="E34" s="3"/>
      <c r="F34" s="3"/>
      <c r="G34" s="3"/>
      <c r="H34" s="3"/>
      <c r="I34" s="3"/>
      <c r="J34" s="3"/>
      <c r="K34" s="3"/>
      <c r="L34" s="3"/>
      <c r="M34" s="3"/>
      <c r="N34" s="3">
        <v>0</v>
      </c>
      <c r="O34" s="3">
        <v>0</v>
      </c>
      <c r="P34" s="10"/>
      <c r="Q34" s="3">
        <f>SUM(OSRRefD21_1_5x)+IFERROR(SUM(OSRRefE21_1_5x),0)</f>
        <v>0</v>
      </c>
    </row>
    <row r="35" spans="1:17" s="42" customFormat="1" ht="15" hidden="1" customHeight="1" outlineLevel="1" x14ac:dyDescent="0.3">
      <c r="A35" s="34"/>
      <c r="B35" s="11" t="str">
        <f>CONCATENATE("          ","6007"," - ","STUDENT HOURLY")</f>
        <v xml:space="preserve">          6007 - STUDENT HOURLY</v>
      </c>
      <c r="C35" s="15"/>
      <c r="D35" s="3">
        <v>1657</v>
      </c>
      <c r="E35" s="3">
        <v>-1657</v>
      </c>
      <c r="F35" s="3"/>
      <c r="G35" s="3"/>
      <c r="H35" s="3"/>
      <c r="I35" s="3"/>
      <c r="J35" s="3"/>
      <c r="K35" s="3"/>
      <c r="L35" s="3">
        <v>2024</v>
      </c>
      <c r="M35" s="3">
        <v>-2024</v>
      </c>
      <c r="N35" s="3">
        <v>0</v>
      </c>
      <c r="O35" s="3">
        <v>0</v>
      </c>
      <c r="P35" s="10"/>
      <c r="Q35" s="3">
        <f>SUM(OSRRefD21_1_6x)+IFERROR(SUM(OSRRefE21_1_6x),0)</f>
        <v>0</v>
      </c>
    </row>
    <row r="36" spans="1:17" s="42" customFormat="1" ht="15" hidden="1" customHeight="1" outlineLevel="1" x14ac:dyDescent="0.3">
      <c r="A36" s="34"/>
      <c r="B36" s="11" t="str">
        <f>CONCATENATE("          ","6008"," - ","STUDENT HOURLY-FICA EXEMPT")</f>
        <v xml:space="preserve">          6008 - STUDENT HOURLY-FICA EXEMPT</v>
      </c>
      <c r="C36" s="15"/>
      <c r="D36" s="3">
        <v>1771.32</v>
      </c>
      <c r="E36" s="3">
        <v>3331</v>
      </c>
      <c r="F36" s="3">
        <v>872.52</v>
      </c>
      <c r="G36" s="3">
        <v>1233.4100000000001</v>
      </c>
      <c r="H36" s="3">
        <v>2057.38</v>
      </c>
      <c r="I36" s="3">
        <v>2209.5700000000002</v>
      </c>
      <c r="J36" s="3"/>
      <c r="K36" s="3"/>
      <c r="L36" s="3"/>
      <c r="M36" s="3"/>
      <c r="N36" s="3">
        <v>2560</v>
      </c>
      <c r="O36" s="3">
        <v>2560</v>
      </c>
      <c r="P36" s="10"/>
      <c r="Q36" s="3">
        <f>SUM(OSRRefD21_1_7x)+IFERROR(SUM(OSRRefE21_1_7x),0)</f>
        <v>16595.2</v>
      </c>
    </row>
    <row r="37" spans="1:17" s="42" customFormat="1" ht="15" hidden="1" customHeight="1" outlineLevel="1" x14ac:dyDescent="0.3">
      <c r="A37" s="34"/>
      <c r="B37" s="11" t="str">
        <f>CONCATENATE("          ","6009"," - ","TEMPORARY-SEASONAL")</f>
        <v xml:space="preserve">          6009 - TEMPORARY-SEASONAL</v>
      </c>
      <c r="C37" s="15"/>
      <c r="D37" s="3"/>
      <c r="E37" s="3"/>
      <c r="F37" s="3"/>
      <c r="G37" s="3"/>
      <c r="H37" s="3"/>
      <c r="I37" s="3"/>
      <c r="J37" s="3"/>
      <c r="K37" s="3"/>
      <c r="L37" s="3"/>
      <c r="M37" s="3"/>
      <c r="N37" s="3">
        <v>0</v>
      </c>
      <c r="O37" s="3">
        <v>0</v>
      </c>
      <c r="P37" s="10"/>
      <c r="Q37" s="3">
        <f>SUM(OSRRefD21_1_8x)+IFERROR(SUM(OSRRefE21_1_8x),0)</f>
        <v>0</v>
      </c>
    </row>
    <row r="38" spans="1:17" s="42" customFormat="1" ht="15" hidden="1" customHeight="1" outlineLevel="1" x14ac:dyDescent="0.3">
      <c r="A38" s="34"/>
      <c r="B38" s="11" t="str">
        <f>CONCATENATE("          ","6010"," - ","GRATUITY")</f>
        <v xml:space="preserve">          6010 - GRATUITY</v>
      </c>
      <c r="C38" s="15"/>
      <c r="D38" s="3"/>
      <c r="E38" s="3"/>
      <c r="F38" s="3"/>
      <c r="G38" s="3"/>
      <c r="H38" s="3"/>
      <c r="I38" s="3"/>
      <c r="J38" s="3"/>
      <c r="K38" s="3"/>
      <c r="L38" s="3"/>
      <c r="M38" s="3"/>
      <c r="N38" s="3">
        <v>0</v>
      </c>
      <c r="O38" s="3">
        <v>0</v>
      </c>
      <c r="P38" s="10"/>
      <c r="Q38" s="3">
        <f>SUM(OSRRefD21_1_9x)+IFERROR(SUM(OSRRefE21_1_9x),0)</f>
        <v>0</v>
      </c>
    </row>
    <row r="39" spans="1:17" s="42" customFormat="1" ht="15" customHeight="1" collapsed="1" x14ac:dyDescent="0.3">
      <c r="A39" s="34"/>
      <c r="B39" s="15" t="str">
        <f>CONCATENATE("     ","Advertising/Promo                                 ")</f>
        <v xml:space="preserve">     Advertising/Promo                                 </v>
      </c>
      <c r="C39" s="15"/>
      <c r="D39" s="2">
        <f>SUM(OSRRefD21_2x_0)</f>
        <v>173.21</v>
      </c>
      <c r="E39" s="2">
        <f>SUM(OSRRefD21_2x_1)</f>
        <v>173.21</v>
      </c>
      <c r="F39" s="2">
        <f>SUM(OSRRefD21_2x_2)</f>
        <v>53.6</v>
      </c>
      <c r="G39" s="2">
        <f>SUM(OSRRefD21_2x_3)</f>
        <v>346.42</v>
      </c>
      <c r="H39" s="2">
        <f>SUM(OSRRefD21_2x_4)</f>
        <v>346.42</v>
      </c>
      <c r="I39" s="2">
        <f>SUM(OSRRefD21_2x_5)</f>
        <v>0</v>
      </c>
      <c r="J39" s="2">
        <f>SUM(OSRRefD21_2x_6)</f>
        <v>173.21</v>
      </c>
      <c r="K39" s="2">
        <f>SUM(OSRRefD21_2x_7)</f>
        <v>173.21</v>
      </c>
      <c r="L39" s="2">
        <f>SUM(OSRRefD21_2x_8)</f>
        <v>179.84</v>
      </c>
      <c r="M39" s="2">
        <f>SUM(OSRRefD21_2x_9)</f>
        <v>173.21</v>
      </c>
      <c r="N39" s="2">
        <f>SUM(OSRRefE21_2x_0)</f>
        <v>417</v>
      </c>
      <c r="O39" s="2">
        <f>SUM(OSRRefE21_2x_1)</f>
        <v>413</v>
      </c>
      <c r="Q39" s="3">
        <f>SUM(OSRRefD20_2x)+IFERROR(SUM(OSRRefE20_2x),0)</f>
        <v>2622.33</v>
      </c>
    </row>
    <row r="40" spans="1:17" s="42" customFormat="1" ht="15" hidden="1" customHeight="1" outlineLevel="1" x14ac:dyDescent="0.3">
      <c r="A40" s="34"/>
      <c r="B40" s="11" t="str">
        <f>CONCATENATE("          ","6362"," - ","ADVERTISING EXPENSE")</f>
        <v xml:space="preserve">          6362 - ADVERTISING EXPENSE</v>
      </c>
      <c r="C40" s="15"/>
      <c r="D40" s="3">
        <v>173.21</v>
      </c>
      <c r="E40" s="3">
        <v>173.21</v>
      </c>
      <c r="F40" s="3">
        <v>53.6</v>
      </c>
      <c r="G40" s="3">
        <v>346.42</v>
      </c>
      <c r="H40" s="3">
        <v>346.42</v>
      </c>
      <c r="I40" s="3"/>
      <c r="J40" s="3">
        <v>173.21</v>
      </c>
      <c r="K40" s="3">
        <v>173.21</v>
      </c>
      <c r="L40" s="3">
        <v>179.84</v>
      </c>
      <c r="M40" s="3">
        <v>173.21</v>
      </c>
      <c r="N40" s="3">
        <v>417</v>
      </c>
      <c r="O40" s="3">
        <v>413</v>
      </c>
      <c r="P40" s="10"/>
      <c r="Q40" s="3">
        <f>SUM(OSRRefD21_2_0x)+IFERROR(SUM(OSRRefE21_2_0x),0)</f>
        <v>2622.33</v>
      </c>
    </row>
    <row r="41" spans="1:17" s="42" customFormat="1" ht="15" customHeight="1" collapsed="1" x14ac:dyDescent="0.3">
      <c r="A41" s="34"/>
      <c r="B41" s="15" t="str">
        <f>CONCATENATE("     ","Repair and Maintenance                            ")</f>
        <v xml:space="preserve">     Repair and Maintenance                            </v>
      </c>
      <c r="C41" s="15"/>
      <c r="D41" s="2">
        <f>SUM(OSRRefD21_3x_0)</f>
        <v>0</v>
      </c>
      <c r="E41" s="2">
        <f>SUM(OSRRefD21_3x_1)</f>
        <v>63.36</v>
      </c>
      <c r="F41" s="2">
        <f>SUM(OSRRefD21_3x_2)</f>
        <v>0</v>
      </c>
      <c r="G41" s="2">
        <f>SUM(OSRRefD21_3x_3)</f>
        <v>0</v>
      </c>
      <c r="H41" s="2">
        <f>SUM(OSRRefD21_3x_4)</f>
        <v>0</v>
      </c>
      <c r="I41" s="2">
        <f>SUM(OSRRefD21_3x_5)</f>
        <v>0</v>
      </c>
      <c r="J41" s="2">
        <f>SUM(OSRRefD21_3x_6)</f>
        <v>0</v>
      </c>
      <c r="K41" s="2">
        <f>SUM(OSRRefD21_3x_7)</f>
        <v>0</v>
      </c>
      <c r="L41" s="2">
        <f>SUM(OSRRefD21_3x_8)</f>
        <v>0</v>
      </c>
      <c r="M41" s="2">
        <f>SUM(OSRRefD21_3x_9)</f>
        <v>0</v>
      </c>
      <c r="N41" s="2">
        <f>SUM(OSRRefE21_3x_0)</f>
        <v>1600</v>
      </c>
      <c r="O41" s="2">
        <f>SUM(OSRRefE21_3x_1)</f>
        <v>1600</v>
      </c>
      <c r="Q41" s="3">
        <f>SUM(OSRRefD20_3x)+IFERROR(SUM(OSRRefE20_3x),0)</f>
        <v>3263.36</v>
      </c>
    </row>
    <row r="42" spans="1:17" s="42" customFormat="1" ht="15" hidden="1" customHeight="1" outlineLevel="1" x14ac:dyDescent="0.3">
      <c r="A42" s="34"/>
      <c r="B42" s="11" t="str">
        <f>CONCATENATE("          ","6371"," - ","COMPUTER SOFTWARE MAINTENANCE")</f>
        <v xml:space="preserve">          6371 - COMPUTER SOFTWARE MAINTENANCE</v>
      </c>
      <c r="C42" s="15"/>
      <c r="D42" s="3"/>
      <c r="E42" s="3"/>
      <c r="F42" s="3"/>
      <c r="G42" s="3"/>
      <c r="H42" s="3"/>
      <c r="I42" s="3"/>
      <c r="J42" s="3"/>
      <c r="K42" s="3"/>
      <c r="L42" s="3"/>
      <c r="M42" s="3"/>
      <c r="N42" s="3">
        <v>1600</v>
      </c>
      <c r="O42" s="3">
        <v>1600</v>
      </c>
      <c r="P42" s="10"/>
      <c r="Q42" s="3">
        <f>SUM(OSRRefD21_3_0x)+IFERROR(SUM(OSRRefE21_3_0x),0)</f>
        <v>3200</v>
      </c>
    </row>
    <row r="43" spans="1:17" s="42" customFormat="1" ht="15" hidden="1" customHeight="1" outlineLevel="1" x14ac:dyDescent="0.3">
      <c r="A43" s="34"/>
      <c r="B43" s="11" t="str">
        <f>CONCATENATE("          ","6375"," - ","OUTSIDE REPAIRS &amp; MAINTENANCE")</f>
        <v xml:space="preserve">          6375 - OUTSIDE REPAIRS &amp; MAINTENANCE</v>
      </c>
      <c r="C43" s="15"/>
      <c r="D43" s="3"/>
      <c r="E43" s="3">
        <v>63.36</v>
      </c>
      <c r="F43" s="3"/>
      <c r="G43" s="3"/>
      <c r="H43" s="3"/>
      <c r="I43" s="3"/>
      <c r="J43" s="3"/>
      <c r="K43" s="3"/>
      <c r="L43" s="3"/>
      <c r="M43" s="3"/>
      <c r="N43" s="3"/>
      <c r="O43" s="3"/>
      <c r="P43" s="10"/>
      <c r="Q43" s="3">
        <f>SUM(OSRRefD21_3_1x)+IFERROR(SUM(OSRRefE21_3_1x),0)</f>
        <v>63.36</v>
      </c>
    </row>
    <row r="44" spans="1:17" s="42" customFormat="1" ht="15" customHeight="1" collapsed="1" x14ac:dyDescent="0.3">
      <c r="A44" s="34"/>
      <c r="B44" s="15" t="str">
        <f>CONCATENATE("     ","Supplies                                          ")</f>
        <v xml:space="preserve">     Supplies                                          </v>
      </c>
      <c r="C44" s="15"/>
      <c r="D44" s="2">
        <f>SUM(OSRRefD21_4x_0)</f>
        <v>0</v>
      </c>
      <c r="E44" s="2">
        <f>SUM(OSRRefD21_4x_1)</f>
        <v>4.5</v>
      </c>
      <c r="F44" s="2">
        <f>SUM(OSRRefD21_4x_2)</f>
        <v>0</v>
      </c>
      <c r="G44" s="2">
        <f>SUM(OSRRefD21_4x_3)</f>
        <v>0</v>
      </c>
      <c r="H44" s="2">
        <f>SUM(OSRRefD21_4x_4)</f>
        <v>0</v>
      </c>
      <c r="I44" s="2">
        <f>SUM(OSRRefD21_4x_5)</f>
        <v>6.62</v>
      </c>
      <c r="J44" s="2">
        <f>SUM(OSRRefD21_4x_6)</f>
        <v>0</v>
      </c>
      <c r="K44" s="2">
        <f>SUM(OSRRefD21_4x_7)</f>
        <v>2.21</v>
      </c>
      <c r="L44" s="2">
        <f>SUM(OSRRefD21_4x_8)</f>
        <v>56.71</v>
      </c>
      <c r="M44" s="2">
        <f>SUM(OSRRefD21_4x_9)</f>
        <v>0</v>
      </c>
      <c r="N44" s="2">
        <f>SUM(OSRRefE21_4x_0)</f>
        <v>600</v>
      </c>
      <c r="O44" s="2">
        <f>SUM(OSRRefE21_4x_1)</f>
        <v>600</v>
      </c>
      <c r="Q44" s="3">
        <f>SUM(OSRRefD20_4x)+IFERROR(SUM(OSRRefE20_4x),0)</f>
        <v>1270.04</v>
      </c>
    </row>
    <row r="45" spans="1:17" s="42" customFormat="1" ht="15" hidden="1" customHeight="1" outlineLevel="1" x14ac:dyDescent="0.3">
      <c r="A45" s="34"/>
      <c r="B45" s="11" t="str">
        <f>CONCATENATE("          ","6241"," - ","OFFICE EXPENSE")</f>
        <v xml:space="preserve">          6241 - OFFICE EXPENSE</v>
      </c>
      <c r="C45" s="15"/>
      <c r="D45" s="3"/>
      <c r="E45" s="3">
        <v>4.5</v>
      </c>
      <c r="F45" s="3"/>
      <c r="G45" s="3"/>
      <c r="H45" s="3"/>
      <c r="I45" s="3">
        <v>6.62</v>
      </c>
      <c r="J45" s="3"/>
      <c r="K45" s="3">
        <v>2.21</v>
      </c>
      <c r="L45" s="3">
        <v>56.71</v>
      </c>
      <c r="M45" s="3"/>
      <c r="N45" s="3">
        <v>600</v>
      </c>
      <c r="O45" s="3">
        <v>600</v>
      </c>
      <c r="P45" s="10"/>
      <c r="Q45" s="3">
        <f>SUM(OSRRefD21_4_0x)+IFERROR(SUM(OSRRefE21_4_0x),0)</f>
        <v>1270.04</v>
      </c>
    </row>
    <row r="46" spans="1:17" s="42" customFormat="1" ht="15" customHeight="1" collapsed="1" x14ac:dyDescent="0.3">
      <c r="A46" s="34"/>
      <c r="B46" s="15" t="str">
        <f>CONCATENATE("     ","Telephone/Data Lines                              ")</f>
        <v xml:space="preserve">     Telephone/Data Lines                              </v>
      </c>
      <c r="C46" s="15"/>
      <c r="D46" s="2">
        <f>SUM(OSRRefD21_5x_0)</f>
        <v>108</v>
      </c>
      <c r="E46" s="2">
        <f>SUM(OSRRefD21_5x_1)</f>
        <v>36</v>
      </c>
      <c r="F46" s="2">
        <f>SUM(OSRRefD21_5x_2)</f>
        <v>36</v>
      </c>
      <c r="G46" s="2">
        <f>SUM(OSRRefD21_5x_3)</f>
        <v>36</v>
      </c>
      <c r="H46" s="2">
        <f>SUM(OSRRefD21_5x_4)</f>
        <v>36</v>
      </c>
      <c r="I46" s="2">
        <f>SUM(OSRRefD21_5x_5)</f>
        <v>36.1</v>
      </c>
      <c r="J46" s="2">
        <f>SUM(OSRRefD21_5x_6)</f>
        <v>36.299999999999997</v>
      </c>
      <c r="K46" s="2">
        <f>SUM(OSRRefD21_5x_7)</f>
        <v>36</v>
      </c>
      <c r="L46" s="2">
        <f>SUM(OSRRefD21_5x_8)</f>
        <v>36</v>
      </c>
      <c r="M46" s="2">
        <f>SUM(OSRRefD21_5x_9)</f>
        <v>36</v>
      </c>
      <c r="N46" s="2">
        <f>SUM(OSRRefE21_5x_0)</f>
        <v>72</v>
      </c>
      <c r="O46" s="2">
        <f>SUM(OSRRefE21_5x_1)</f>
        <v>72</v>
      </c>
      <c r="Q46" s="3">
        <f>SUM(OSRRefD20_5x)+IFERROR(SUM(OSRRefE20_5x),0)</f>
        <v>576.40000000000009</v>
      </c>
    </row>
    <row r="47" spans="1:17" s="42" customFormat="1" ht="15" hidden="1" customHeight="1" outlineLevel="1" x14ac:dyDescent="0.3">
      <c r="A47" s="34"/>
      <c r="B47" s="11" t="str">
        <f>CONCATENATE("          ","6303"," - ","DATA PHONE LINES")</f>
        <v xml:space="preserve">          6303 - DATA PHONE LINES</v>
      </c>
      <c r="C47" s="15"/>
      <c r="D47" s="3"/>
      <c r="E47" s="3"/>
      <c r="F47" s="3"/>
      <c r="G47" s="3"/>
      <c r="H47" s="3"/>
      <c r="I47" s="3"/>
      <c r="J47" s="3"/>
      <c r="K47" s="3"/>
      <c r="L47" s="3"/>
      <c r="M47" s="3"/>
      <c r="N47" s="3">
        <v>36</v>
      </c>
      <c r="O47" s="3">
        <v>36</v>
      </c>
      <c r="P47" s="10"/>
      <c r="Q47" s="3">
        <f>SUM(OSRRefD21_5_0x)+IFERROR(SUM(OSRRefE21_5_0x),0)</f>
        <v>72</v>
      </c>
    </row>
    <row r="48" spans="1:17" s="42" customFormat="1" ht="15" hidden="1" customHeight="1" outlineLevel="1" x14ac:dyDescent="0.3">
      <c r="A48" s="34"/>
      <c r="B48" s="11" t="str">
        <f>CONCATENATE("          ","6309"," - ","TELEPHONE")</f>
        <v xml:space="preserve">          6309 - TELEPHONE</v>
      </c>
      <c r="C48" s="15"/>
      <c r="D48" s="3">
        <v>108</v>
      </c>
      <c r="E48" s="3">
        <v>36</v>
      </c>
      <c r="F48" s="3">
        <v>36</v>
      </c>
      <c r="G48" s="3">
        <v>36</v>
      </c>
      <c r="H48" s="3">
        <v>36</v>
      </c>
      <c r="I48" s="3">
        <v>36.1</v>
      </c>
      <c r="J48" s="3">
        <v>36.299999999999997</v>
      </c>
      <c r="K48" s="3">
        <v>36</v>
      </c>
      <c r="L48" s="3">
        <v>36</v>
      </c>
      <c r="M48" s="3">
        <v>36</v>
      </c>
      <c r="N48" s="3">
        <v>36</v>
      </c>
      <c r="O48" s="3">
        <v>36</v>
      </c>
      <c r="P48" s="10"/>
      <c r="Q48" s="3">
        <f>SUM(OSRRefD21_5_1x)+IFERROR(SUM(OSRRefE21_5_1x),0)</f>
        <v>504.40000000000003</v>
      </c>
    </row>
    <row r="49" spans="1:17" s="40" customFormat="1" ht="15" customHeight="1" x14ac:dyDescent="0.3">
      <c r="A49" s="22"/>
      <c r="B49" s="22"/>
      <c r="C49" s="2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Q49" s="2"/>
    </row>
    <row r="50" spans="1:17" s="39" customFormat="1" ht="15" customHeight="1" x14ac:dyDescent="0.3">
      <c r="A50" s="24"/>
      <c r="B50" s="17" t="s">
        <v>287</v>
      </c>
      <c r="C50" s="23"/>
      <c r="D50" s="4">
        <f>0</f>
        <v>0</v>
      </c>
      <c r="E50" s="4">
        <f>0</f>
        <v>0</v>
      </c>
      <c r="F50" s="4">
        <f>0</f>
        <v>0</v>
      </c>
      <c r="G50" s="4">
        <f>0</f>
        <v>0</v>
      </c>
      <c r="H50" s="4">
        <f>0</f>
        <v>0</v>
      </c>
      <c r="I50" s="4">
        <f>0</f>
        <v>0</v>
      </c>
      <c r="J50" s="4">
        <f>0</f>
        <v>0</v>
      </c>
      <c r="K50" s="4">
        <f>0</f>
        <v>0</v>
      </c>
      <c r="L50" s="4">
        <f>0</f>
        <v>0</v>
      </c>
      <c r="M50" s="4">
        <f>0</f>
        <v>0</v>
      </c>
      <c r="N50" s="4"/>
      <c r="O50" s="4"/>
      <c r="Q50" s="3">
        <f>SUM(OSRRefD23_0x)+IFERROR(SUM(OSRRefE23_0x),0)</f>
        <v>0</v>
      </c>
    </row>
    <row r="51" spans="1:17" ht="15" customHeight="1" x14ac:dyDescent="0.3">
      <c r="A51" s="6"/>
      <c r="B51" s="7"/>
      <c r="C51" s="7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Q51" s="4"/>
    </row>
    <row r="52" spans="1:17" s="37" customFormat="1" ht="15" customHeight="1" x14ac:dyDescent="0.3">
      <c r="A52" s="7"/>
      <c r="B52" s="18" t="s">
        <v>288</v>
      </c>
      <c r="C52" s="18"/>
      <c r="D52" s="9">
        <f t="shared" ref="D52:O52" si="4">IFERROR(+D14-D17+D50,0)</f>
        <v>-10470.700000000001</v>
      </c>
      <c r="E52" s="9">
        <f t="shared" si="4"/>
        <v>-7822.7099999999991</v>
      </c>
      <c r="F52" s="9">
        <f t="shared" si="4"/>
        <v>-7247.0000000000009</v>
      </c>
      <c r="G52" s="9">
        <f t="shared" si="4"/>
        <v>-10350.699999999999</v>
      </c>
      <c r="H52" s="9">
        <f t="shared" si="4"/>
        <v>-9325.01</v>
      </c>
      <c r="I52" s="9">
        <f t="shared" si="4"/>
        <v>-8783.9900000000016</v>
      </c>
      <c r="J52" s="9">
        <f t="shared" si="4"/>
        <v>-6888.15</v>
      </c>
      <c r="K52" s="9">
        <f t="shared" si="4"/>
        <v>-7505.9599999999991</v>
      </c>
      <c r="L52" s="9">
        <f t="shared" si="4"/>
        <v>-9673.34</v>
      </c>
      <c r="M52" s="9">
        <f t="shared" si="4"/>
        <v>-11543.349999999999</v>
      </c>
      <c r="N52" s="9">
        <f t="shared" si="4"/>
        <v>-12236.75742769231</v>
      </c>
      <c r="O52" s="9">
        <f t="shared" si="4"/>
        <v>-12232.75742769231</v>
      </c>
      <c r="Q52" s="9">
        <f>IFERROR(+Q14-Q17+Q50,0)</f>
        <v>-114080.42485538461</v>
      </c>
    </row>
    <row r="53" spans="1:17" s="38" customFormat="1" ht="15" customHeight="1" x14ac:dyDescent="0.3">
      <c r="B53" s="17"/>
      <c r="C53" s="17"/>
      <c r="D53" s="5">
        <f t="shared" ref="D53:O53" si="5">IFERROR(D52/D10,0)</f>
        <v>0</v>
      </c>
      <c r="E53" s="5">
        <f t="shared" si="5"/>
        <v>0</v>
      </c>
      <c r="F53" s="5">
        <f t="shared" si="5"/>
        <v>0</v>
      </c>
      <c r="G53" s="5">
        <f t="shared" si="5"/>
        <v>0</v>
      </c>
      <c r="H53" s="5">
        <f t="shared" si="5"/>
        <v>0</v>
      </c>
      <c r="I53" s="5">
        <f t="shared" si="5"/>
        <v>0</v>
      </c>
      <c r="J53" s="5">
        <f t="shared" si="5"/>
        <v>0</v>
      </c>
      <c r="K53" s="5">
        <f t="shared" si="5"/>
        <v>0</v>
      </c>
      <c r="L53" s="5">
        <f t="shared" si="5"/>
        <v>0</v>
      </c>
      <c r="M53" s="5">
        <f t="shared" si="5"/>
        <v>0</v>
      </c>
      <c r="N53" s="5">
        <f t="shared" si="5"/>
        <v>0</v>
      </c>
      <c r="O53" s="5">
        <f t="shared" si="5"/>
        <v>0</v>
      </c>
      <c r="P53" s="19"/>
      <c r="Q53" s="5">
        <f>IFERROR(Q52/Q10,0)</f>
        <v>0</v>
      </c>
    </row>
    <row r="54" spans="1:17" ht="15" customHeight="1" x14ac:dyDescent="0.3">
      <c r="A54" s="6"/>
      <c r="B54" s="7"/>
      <c r="C54" s="6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Q54" s="4"/>
    </row>
    <row r="55" spans="1:17" s="37" customFormat="1" ht="15" customHeight="1" x14ac:dyDescent="0.3">
      <c r="A55" s="26"/>
      <c r="B55" s="7" t="s">
        <v>289</v>
      </c>
      <c r="C55" s="7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Q55" s="3">
        <f>SUM(OSRRefD28_0x)+IFERROR(SUM(OSRRefE28_0x),0)</f>
        <v>0</v>
      </c>
    </row>
    <row r="56" spans="1:17" ht="15" customHeight="1" x14ac:dyDescent="0.3">
      <c r="A56" s="6"/>
      <c r="B56" s="7"/>
      <c r="C56" s="7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Q56" s="4"/>
    </row>
    <row r="57" spans="1:17" s="37" customFormat="1" ht="15.75" customHeight="1" x14ac:dyDescent="0.3">
      <c r="A57" s="7"/>
      <c r="B57" s="18" t="s">
        <v>290</v>
      </c>
      <c r="C57" s="18"/>
      <c r="D57" s="8">
        <f t="shared" ref="D57:O57" si="6">IFERROR(+D52-D55,0)</f>
        <v>-10470.700000000001</v>
      </c>
      <c r="E57" s="8">
        <f t="shared" si="6"/>
        <v>-7822.7099999999991</v>
      </c>
      <c r="F57" s="8">
        <f t="shared" si="6"/>
        <v>-7247.0000000000009</v>
      </c>
      <c r="G57" s="8">
        <f t="shared" si="6"/>
        <v>-10350.699999999999</v>
      </c>
      <c r="H57" s="8">
        <f t="shared" si="6"/>
        <v>-9325.01</v>
      </c>
      <c r="I57" s="8">
        <f t="shared" si="6"/>
        <v>-8783.9900000000016</v>
      </c>
      <c r="J57" s="8">
        <f t="shared" si="6"/>
        <v>-6888.15</v>
      </c>
      <c r="K57" s="8">
        <f t="shared" si="6"/>
        <v>-7505.9599999999991</v>
      </c>
      <c r="L57" s="8">
        <f t="shared" si="6"/>
        <v>-9673.34</v>
      </c>
      <c r="M57" s="8">
        <f t="shared" si="6"/>
        <v>-11543.349999999999</v>
      </c>
      <c r="N57" s="8">
        <f t="shared" si="6"/>
        <v>-12236.75742769231</v>
      </c>
      <c r="O57" s="8">
        <f t="shared" si="6"/>
        <v>-12232.75742769231</v>
      </c>
      <c r="Q57" s="8">
        <f>IFERROR(+Q52-Q55,0)</f>
        <v>-114080.42485538461</v>
      </c>
    </row>
    <row r="58" spans="1:17" ht="15.75" customHeight="1" x14ac:dyDescent="0.3">
      <c r="A58" s="6"/>
      <c r="B58" s="6"/>
      <c r="C58" s="6"/>
      <c r="D58" s="5">
        <f t="shared" ref="D58:O58" si="7">IFERROR(D57/D10,0)</f>
        <v>0</v>
      </c>
      <c r="E58" s="5">
        <f t="shared" si="7"/>
        <v>0</v>
      </c>
      <c r="F58" s="5">
        <f t="shared" si="7"/>
        <v>0</v>
      </c>
      <c r="G58" s="5">
        <f t="shared" si="7"/>
        <v>0</v>
      </c>
      <c r="H58" s="5">
        <f t="shared" si="7"/>
        <v>0</v>
      </c>
      <c r="I58" s="5">
        <f t="shared" si="7"/>
        <v>0</v>
      </c>
      <c r="J58" s="5">
        <f t="shared" si="7"/>
        <v>0</v>
      </c>
      <c r="K58" s="5">
        <f t="shared" si="7"/>
        <v>0</v>
      </c>
      <c r="L58" s="5">
        <f t="shared" si="7"/>
        <v>0</v>
      </c>
      <c r="M58" s="5">
        <f t="shared" si="7"/>
        <v>0</v>
      </c>
      <c r="N58" s="5">
        <f t="shared" si="7"/>
        <v>0</v>
      </c>
      <c r="O58" s="5">
        <f t="shared" si="7"/>
        <v>0</v>
      </c>
      <c r="P58" s="19"/>
      <c r="Q58" s="5">
        <f>IFERROR(Q57/Q10,0)</f>
        <v>0</v>
      </c>
    </row>
    <row r="59" spans="1:17" ht="15" customHeight="1" x14ac:dyDescent="0.3">
      <c r="A59" s="6"/>
      <c r="B59" s="6"/>
      <c r="C59" s="6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Q59" s="4"/>
    </row>
    <row r="60" spans="1:17" ht="15" customHeight="1" x14ac:dyDescent="0.3">
      <c r="A60" s="6"/>
      <c r="B60" s="6"/>
      <c r="C60" s="6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Q60" s="4"/>
    </row>
    <row r="61" spans="1:17" s="37" customFormat="1" ht="15.75" customHeight="1" x14ac:dyDescent="0.3">
      <c r="A61" s="7"/>
      <c r="B61" s="18" t="s">
        <v>293</v>
      </c>
      <c r="C61" s="18"/>
      <c r="D61" s="8">
        <f t="shared" ref="D61:O61" si="8">IFERROR(SUM(D57:D60),0)</f>
        <v>-10470.700000000001</v>
      </c>
      <c r="E61" s="8">
        <f t="shared" si="8"/>
        <v>-7822.7099999999991</v>
      </c>
      <c r="F61" s="8">
        <f t="shared" si="8"/>
        <v>-7247.0000000000009</v>
      </c>
      <c r="G61" s="8">
        <f t="shared" si="8"/>
        <v>-10350.699999999999</v>
      </c>
      <c r="H61" s="8">
        <f t="shared" si="8"/>
        <v>-9325.01</v>
      </c>
      <c r="I61" s="8">
        <f t="shared" si="8"/>
        <v>-8783.9900000000016</v>
      </c>
      <c r="J61" s="8">
        <f t="shared" si="8"/>
        <v>-6888.15</v>
      </c>
      <c r="K61" s="8">
        <f t="shared" si="8"/>
        <v>-7505.9599999999991</v>
      </c>
      <c r="L61" s="8">
        <f t="shared" si="8"/>
        <v>-9673.34</v>
      </c>
      <c r="M61" s="8">
        <f t="shared" si="8"/>
        <v>-11543.349999999999</v>
      </c>
      <c r="N61" s="8">
        <f t="shared" si="8"/>
        <v>-12236.75742769231</v>
      </c>
      <c r="O61" s="8">
        <f t="shared" si="8"/>
        <v>-12232.75742769231</v>
      </c>
      <c r="Q61" s="8">
        <f>IFERROR(SUM(Q57:Q60),0)</f>
        <v>-114080.42485538461</v>
      </c>
    </row>
    <row r="62" spans="1:17" ht="15.75" customHeight="1" x14ac:dyDescent="0.3">
      <c r="A62" s="6"/>
      <c r="C62" s="6"/>
      <c r="D62" s="5">
        <f t="shared" ref="D62:O62" si="9">IFERROR(D61/D10,0)</f>
        <v>0</v>
      </c>
      <c r="E62" s="5">
        <f t="shared" si="9"/>
        <v>0</v>
      </c>
      <c r="F62" s="5">
        <f t="shared" si="9"/>
        <v>0</v>
      </c>
      <c r="G62" s="5">
        <f t="shared" si="9"/>
        <v>0</v>
      </c>
      <c r="H62" s="5">
        <f t="shared" si="9"/>
        <v>0</v>
      </c>
      <c r="I62" s="5">
        <f t="shared" si="9"/>
        <v>0</v>
      </c>
      <c r="J62" s="5">
        <f t="shared" si="9"/>
        <v>0</v>
      </c>
      <c r="K62" s="5">
        <f t="shared" si="9"/>
        <v>0</v>
      </c>
      <c r="L62" s="5">
        <f t="shared" si="9"/>
        <v>0</v>
      </c>
      <c r="M62" s="5">
        <f t="shared" si="9"/>
        <v>0</v>
      </c>
      <c r="N62" s="5">
        <f t="shared" si="9"/>
        <v>0</v>
      </c>
      <c r="O62" s="5">
        <f t="shared" si="9"/>
        <v>0</v>
      </c>
      <c r="P62" s="19"/>
      <c r="Q62" s="5">
        <f>IFERROR(Q61/Q10,0)</f>
        <v>0</v>
      </c>
    </row>
    <row r="63" spans="1:17" ht="15" customHeight="1" x14ac:dyDescent="0.3">
      <c r="A63" s="6"/>
      <c r="B63" s="33">
        <v>44694.892891863426</v>
      </c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Q63" s="14"/>
    </row>
    <row r="64" spans="1:17" ht="15" customHeight="1" x14ac:dyDescent="0.3">
      <c r="A64" s="6"/>
      <c r="B64" s="31" t="s">
        <v>294</v>
      </c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Q64" s="14"/>
    </row>
    <row r="65" spans="1:17" ht="15" customHeight="1" x14ac:dyDescent="0.3">
      <c r="A65" s="6"/>
      <c r="B65" s="27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Q65" s="14"/>
    </row>
    <row r="66" spans="1:17" ht="15" customHeight="1" x14ac:dyDescent="0.3"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Q66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A308F-73FE-E56D-D51E-2258D1C8DB9E}">
  <sheetPr>
    <tabColor rgb="FFFFC000"/>
    <outlinePr summaryBelow="0" summaryRight="0"/>
    <pageSetUpPr fitToPage="1"/>
  </sheetPr>
  <dimension ref="A2:R167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">
        <v>300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220498.22000000003</v>
      </c>
      <c r="E10" s="4">
        <f>SUM(OSRRefD11x_1)</f>
        <v>1519459.5899999999</v>
      </c>
      <c r="F10" s="4">
        <f>SUM(OSRRefD11x_2)</f>
        <v>600565.54000000015</v>
      </c>
      <c r="G10" s="4">
        <f>SUM(OSRRefD11x_3)</f>
        <v>576253.80999999994</v>
      </c>
      <c r="H10" s="4">
        <f>SUM(OSRRefD11x_4)</f>
        <v>310059.67000000004</v>
      </c>
      <c r="I10" s="4">
        <f>SUM(OSRRefD11x_5)</f>
        <v>510701.06000000006</v>
      </c>
      <c r="J10" s="4">
        <f>SUM(OSRRefD11x_6)</f>
        <v>760387.65000000014</v>
      </c>
      <c r="K10" s="4">
        <f>SUM(OSRRefD11x_7)</f>
        <v>872531.82</v>
      </c>
      <c r="L10" s="4">
        <f>SUM(OSRRefD11x_8)</f>
        <v>725815.73999999987</v>
      </c>
      <c r="M10" s="4">
        <f>SUM(OSRRefD11x_9)</f>
        <v>976935.3</v>
      </c>
      <c r="N10" s="4">
        <f>SUM(OSRRefE11x_0)</f>
        <v>423189</v>
      </c>
      <c r="O10" s="4">
        <f>SUM(OSRRefE11x_1)</f>
        <v>297500</v>
      </c>
      <c r="P10" s="25"/>
      <c r="Q10" s="4">
        <f>SUM(OSRRefG11x)</f>
        <v>7793897.4000000004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--188048.33</f>
        <v>188048.33</v>
      </c>
      <c r="E11" s="3">
        <f>--1220653.3</f>
        <v>1220653.3</v>
      </c>
      <c r="F11" s="3">
        <f>--486744.8</f>
        <v>486744.8</v>
      </c>
      <c r="G11" s="3">
        <f>--482384.27</f>
        <v>482384.27</v>
      </c>
      <c r="H11" s="3">
        <f>--264894.44</f>
        <v>264894.44</v>
      </c>
      <c r="I11" s="3">
        <f>--482781.22</f>
        <v>482781.22</v>
      </c>
      <c r="J11" s="3">
        <f>--658739.54</f>
        <v>658739.54</v>
      </c>
      <c r="K11" s="3">
        <f>--680730.71</f>
        <v>680730.71</v>
      </c>
      <c r="L11" s="3">
        <f>--544669.65</f>
        <v>544669.65</v>
      </c>
      <c r="M11" s="3">
        <f>--773594.3</f>
        <v>773594.3</v>
      </c>
      <c r="N11" s="3">
        <v>354760</v>
      </c>
      <c r="O11" s="3">
        <v>284530</v>
      </c>
      <c r="Q11" s="3">
        <f>SUM(OSRRefD11_0x)+IFERROR(SUM(OSRRefE11_0x),0)</f>
        <v>6422530.5600000005</v>
      </c>
    </row>
    <row r="12" spans="1:18" s="39" customFormat="1" ht="15" hidden="1" customHeight="1" outlineLevel="1" x14ac:dyDescent="0.3">
      <c r="A12" s="24"/>
      <c r="B12" s="11" t="str">
        <f>CONCATENATE("          ","4051"," - ","TAXABLE SALES-FOOD")</f>
        <v xml:space="preserve">          4051 - TAXABLE SALES-FOOD</v>
      </c>
      <c r="C12" s="23"/>
      <c r="D12" s="3">
        <f>0</f>
        <v>0</v>
      </c>
      <c r="E12" s="3">
        <f>0</f>
        <v>0</v>
      </c>
      <c r="F12" s="3">
        <f>0</f>
        <v>0</v>
      </c>
      <c r="G12" s="3">
        <f>0</f>
        <v>0</v>
      </c>
      <c r="H12" s="3">
        <f>0</f>
        <v>0</v>
      </c>
      <c r="I12" s="3">
        <f>0</f>
        <v>0</v>
      </c>
      <c r="J12" s="3">
        <f>0</f>
        <v>0</v>
      </c>
      <c r="K12" s="3">
        <f>--25.17</f>
        <v>25.17</v>
      </c>
      <c r="L12" s="3">
        <f>0</f>
        <v>0</v>
      </c>
      <c r="M12" s="3">
        <f>0</f>
        <v>0</v>
      </c>
      <c r="N12" s="3"/>
      <c r="O12" s="3"/>
      <c r="Q12" s="3">
        <f>SUM(OSRRefD11_1x)+IFERROR(SUM(OSRRefE11_1x),0)</f>
        <v>25.17</v>
      </c>
    </row>
    <row r="13" spans="1:18" s="39" customFormat="1" ht="15" hidden="1" customHeight="1" outlineLevel="1" x14ac:dyDescent="0.3">
      <c r="A13" s="24"/>
      <c r="B13" s="11" t="str">
        <f>CONCATENATE("          ","4053"," - ","TAXABLE SALES-FOOD")</f>
        <v xml:space="preserve">          4053 - TAXABLE SALES-FOOD</v>
      </c>
      <c r="C13" s="23"/>
      <c r="D13" s="3">
        <f>0</f>
        <v>0</v>
      </c>
      <c r="E13" s="3">
        <f>0</f>
        <v>0</v>
      </c>
      <c r="F13" s="3">
        <f>--139.09</f>
        <v>139.09</v>
      </c>
      <c r="G13" s="3">
        <f>--404.53</f>
        <v>404.53</v>
      </c>
      <c r="H13" s="3">
        <f>--84.35</f>
        <v>84.35</v>
      </c>
      <c r="I13" s="3">
        <f>--70.75</f>
        <v>70.75</v>
      </c>
      <c r="J13" s="3">
        <f>0</f>
        <v>0</v>
      </c>
      <c r="K13" s="3">
        <f>0</f>
        <v>0</v>
      </c>
      <c r="L13" s="3">
        <f>--412.69</f>
        <v>412.69</v>
      </c>
      <c r="M13" s="3">
        <f>--439.9</f>
        <v>439.9</v>
      </c>
      <c r="N13" s="3"/>
      <c r="O13" s="3"/>
      <c r="Q13" s="3">
        <f>SUM(OSRRefD11_2x)+IFERROR(SUM(OSRRefE11_2x),0)</f>
        <v>1551.31</v>
      </c>
    </row>
    <row r="14" spans="1:18" s="39" customFormat="1" ht="15" hidden="1" customHeight="1" outlineLevel="1" x14ac:dyDescent="0.3">
      <c r="A14" s="24"/>
      <c r="B14" s="11" t="str">
        <f>CONCATENATE("          ","4100"," - ","NON-TAXABLE SALES")</f>
        <v xml:space="preserve">          4100 - NON-TAXABLE SALES</v>
      </c>
      <c r="C14" s="23"/>
      <c r="D14" s="3">
        <f>--39098.54</f>
        <v>39098.54</v>
      </c>
      <c r="E14" s="3">
        <f>--332101.69</f>
        <v>332101.69</v>
      </c>
      <c r="F14" s="3">
        <f>--134343.25</f>
        <v>134343.25</v>
      </c>
      <c r="G14" s="3">
        <f>--128659.35</f>
        <v>128659.35</v>
      </c>
      <c r="H14" s="3">
        <f>--62408.96</f>
        <v>62408.959999999999</v>
      </c>
      <c r="I14" s="3">
        <f>--93325.28</f>
        <v>93325.28</v>
      </c>
      <c r="J14" s="3">
        <f>--134600.91</f>
        <v>134600.91</v>
      </c>
      <c r="K14" s="3">
        <f>--225320.19</f>
        <v>225320.19</v>
      </c>
      <c r="L14" s="3">
        <f>--209988.12</f>
        <v>209988.12</v>
      </c>
      <c r="M14" s="3">
        <f>--247720.17</f>
        <v>247720.17</v>
      </c>
      <c r="N14" s="3">
        <v>68429</v>
      </c>
      <c r="O14" s="3">
        <v>12970</v>
      </c>
      <c r="Q14" s="3">
        <f>SUM(OSRRefD11_3x)+IFERROR(SUM(OSRRefE11_3x),0)</f>
        <v>1688965.46</v>
      </c>
    </row>
    <row r="15" spans="1:18" s="39" customFormat="1" ht="15" hidden="1" customHeight="1" outlineLevel="1" x14ac:dyDescent="0.3">
      <c r="A15" s="24"/>
      <c r="B15" s="11" t="str">
        <f>CONCATENATE("          ","4141"," - ","NON-TAXABLE SALES-LOGO GIFTS")</f>
        <v xml:space="preserve">          4141 - NON-TAXABLE SALES-LOGO GIFTS</v>
      </c>
      <c r="C15" s="23"/>
      <c r="D15" s="3">
        <f>0</f>
        <v>0</v>
      </c>
      <c r="E15" s="3">
        <f>--389.5</f>
        <v>389.5</v>
      </c>
      <c r="F15" s="3">
        <f>--71.05</f>
        <v>71.05</v>
      </c>
      <c r="G15" s="3">
        <f>-460.55</f>
        <v>-460.55</v>
      </c>
      <c r="H15" s="3">
        <f>0</f>
        <v>0</v>
      </c>
      <c r="I15" s="3">
        <f>0</f>
        <v>0</v>
      </c>
      <c r="J15" s="3">
        <f>0</f>
        <v>0</v>
      </c>
      <c r="K15" s="3">
        <f>0</f>
        <v>0</v>
      </c>
      <c r="L15" s="3">
        <f>0</f>
        <v>0</v>
      </c>
      <c r="M15" s="3">
        <f>0</f>
        <v>0</v>
      </c>
      <c r="N15" s="3"/>
      <c r="O15" s="3"/>
      <c r="Q15" s="3">
        <f>SUM(OSRRefD11_4x)+IFERROR(SUM(OSRRefE11_4x),0)</f>
        <v>0</v>
      </c>
    </row>
    <row r="16" spans="1:18" s="39" customFormat="1" ht="15" hidden="1" customHeight="1" outlineLevel="1" x14ac:dyDescent="0.3">
      <c r="A16" s="24"/>
      <c r="B16" s="11" t="str">
        <f>CONCATENATE("          ","4146"," - ","NON-TAXABLE SALES-COIN OP MACH")</f>
        <v xml:space="preserve">          4146 - NON-TAXABLE SALES-COIN OP MACH</v>
      </c>
      <c r="C16" s="23"/>
      <c r="D16" s="3">
        <f>--20.2</f>
        <v>20.2</v>
      </c>
      <c r="E16" s="3">
        <f>--2713.4</f>
        <v>2713.4</v>
      </c>
      <c r="F16" s="3">
        <f>--4759.35</f>
        <v>4759.3500000000004</v>
      </c>
      <c r="G16" s="3">
        <f>-7492.95</f>
        <v>-7492.95</v>
      </c>
      <c r="H16" s="3">
        <f>0</f>
        <v>0</v>
      </c>
      <c r="I16" s="3">
        <f>0</f>
        <v>0</v>
      </c>
      <c r="J16" s="3">
        <f>0</f>
        <v>0</v>
      </c>
      <c r="K16" s="3">
        <f>0</f>
        <v>0</v>
      </c>
      <c r="L16" s="3">
        <f>0</f>
        <v>0</v>
      </c>
      <c r="M16" s="3">
        <f>0</f>
        <v>0</v>
      </c>
      <c r="N16" s="3"/>
      <c r="O16" s="3"/>
      <c r="Q16" s="3">
        <f>SUM(OSRRefD11_5x)+IFERROR(SUM(OSRRefE11_5x),0)</f>
        <v>9.0949470177292824E-13</v>
      </c>
    </row>
    <row r="17" spans="1:17" s="39" customFormat="1" ht="15" hidden="1" customHeight="1" outlineLevel="1" x14ac:dyDescent="0.3">
      <c r="A17" s="24"/>
      <c r="B17" s="11" t="str">
        <f>CONCATENATE("          ","4151"," - ","NON-TAXABLE SALES-FOOD")</f>
        <v xml:space="preserve">          4151 - NON-TAXABLE SALES-FOOD</v>
      </c>
      <c r="C17" s="23"/>
      <c r="D17" s="3">
        <f>0</f>
        <v>0</v>
      </c>
      <c r="E17" s="3">
        <f>0</f>
        <v>0</v>
      </c>
      <c r="F17" s="3">
        <f>0</f>
        <v>0</v>
      </c>
      <c r="G17" s="3">
        <f>0</f>
        <v>0</v>
      </c>
      <c r="H17" s="3">
        <f>0</f>
        <v>0</v>
      </c>
      <c r="I17" s="3">
        <f>0</f>
        <v>0</v>
      </c>
      <c r="J17" s="3">
        <f>0</f>
        <v>0</v>
      </c>
      <c r="K17" s="3">
        <f>--206.32</f>
        <v>206.32</v>
      </c>
      <c r="L17" s="3">
        <f>0</f>
        <v>0</v>
      </c>
      <c r="M17" s="3">
        <f>0</f>
        <v>0</v>
      </c>
      <c r="N17" s="3"/>
      <c r="O17" s="3"/>
      <c r="Q17" s="3">
        <f>SUM(OSRRefD11_6x)+IFERROR(SUM(OSRRefE11_6x),0)</f>
        <v>206.32</v>
      </c>
    </row>
    <row r="18" spans="1:17" s="39" customFormat="1" ht="15" hidden="1" customHeight="1" outlineLevel="1" x14ac:dyDescent="0.3">
      <c r="A18" s="24"/>
      <c r="B18" s="11" t="str">
        <f>CONCATENATE("          ","4153"," - ","NON-TAXABLE SALES-FOOD")</f>
        <v xml:space="preserve">          4153 - NON-TAXABLE SALES-FOOD</v>
      </c>
      <c r="C18" s="23"/>
      <c r="D18" s="3">
        <f>0</f>
        <v>0</v>
      </c>
      <c r="E18" s="3">
        <f>--130.35</f>
        <v>130.35</v>
      </c>
      <c r="F18" s="3">
        <f>-130.35</f>
        <v>-130.35</v>
      </c>
      <c r="G18" s="3">
        <f>0</f>
        <v>0</v>
      </c>
      <c r="H18" s="3">
        <f>0</f>
        <v>0</v>
      </c>
      <c r="I18" s="3">
        <f>0</f>
        <v>0</v>
      </c>
      <c r="J18" s="3">
        <f>0</f>
        <v>0</v>
      </c>
      <c r="K18" s="3">
        <f>0</f>
        <v>0</v>
      </c>
      <c r="L18" s="3">
        <f>0</f>
        <v>0</v>
      </c>
      <c r="M18" s="3">
        <f>0</f>
        <v>0</v>
      </c>
      <c r="N18" s="3"/>
      <c r="O18" s="3"/>
      <c r="Q18" s="3">
        <f>SUM(OSRRefD11_7x)+IFERROR(SUM(OSRRefE11_7x),0)</f>
        <v>0</v>
      </c>
    </row>
    <row r="19" spans="1:17" s="39" customFormat="1" ht="15" hidden="1" customHeight="1" outlineLevel="1" x14ac:dyDescent="0.3">
      <c r="A19" s="24"/>
      <c r="B19" s="11" t="str">
        <f>CONCATENATE("          ","4200"," - ","TAXABLE RETURNS")</f>
        <v xml:space="preserve">          4200 - TAXABLE RETURNS</v>
      </c>
      <c r="C19" s="23"/>
      <c r="D19" s="3">
        <f>-5566.27</f>
        <v>-5566.27</v>
      </c>
      <c r="E19" s="3">
        <f>-20240.57</f>
        <v>-20240.57</v>
      </c>
      <c r="F19" s="3">
        <f>-22646.07</f>
        <v>-22646.07</v>
      </c>
      <c r="G19" s="3">
        <f>-13940.06</f>
        <v>-13940.06</v>
      </c>
      <c r="H19" s="3">
        <f>-10145.23</f>
        <v>-10145.23</v>
      </c>
      <c r="I19" s="3">
        <f>-14880.61</f>
        <v>-14880.61</v>
      </c>
      <c r="J19" s="3">
        <f>-25690.22</f>
        <v>-25690.22</v>
      </c>
      <c r="K19" s="3">
        <f>-18404.3</f>
        <v>-18404.3</v>
      </c>
      <c r="L19" s="3">
        <f>-19894.68</f>
        <v>-19894.68</v>
      </c>
      <c r="M19" s="3">
        <f>-20142.65</f>
        <v>-20142.650000000001</v>
      </c>
      <c r="N19" s="3"/>
      <c r="O19" s="3"/>
      <c r="Q19" s="3">
        <f>SUM(OSRRefD11_8x)+IFERROR(SUM(OSRRefE11_8x),0)</f>
        <v>-171550.65999999997</v>
      </c>
    </row>
    <row r="20" spans="1:17" s="39" customFormat="1" ht="15" hidden="1" customHeight="1" outlineLevel="1" x14ac:dyDescent="0.3">
      <c r="A20" s="24"/>
      <c r="B20" s="11" t="str">
        <f>CONCATENATE("          ","4300"," - ","NON-TAX RETURNS")</f>
        <v xml:space="preserve">          4300 - NON-TAX RETURNS</v>
      </c>
      <c r="C20" s="23"/>
      <c r="D20" s="3">
        <f>-1102.58</f>
        <v>-1102.58</v>
      </c>
      <c r="E20" s="3">
        <f>-16288.08</f>
        <v>-16288.08</v>
      </c>
      <c r="F20" s="3">
        <f>-2715.58</f>
        <v>-2715.58</v>
      </c>
      <c r="G20" s="3">
        <f>-5693.23</f>
        <v>-5693.23</v>
      </c>
      <c r="H20" s="3">
        <f>-700.92</f>
        <v>-700.92</v>
      </c>
      <c r="I20" s="3">
        <f>-678.95</f>
        <v>-678.95</v>
      </c>
      <c r="J20" s="3">
        <f>-874.74</f>
        <v>-874.74</v>
      </c>
      <c r="K20" s="3">
        <f>-3193.12</f>
        <v>-3193.12</v>
      </c>
      <c r="L20" s="3">
        <f>0</f>
        <v>0</v>
      </c>
      <c r="M20" s="3">
        <f>-9969.65</f>
        <v>-9969.65</v>
      </c>
      <c r="N20" s="3"/>
      <c r="O20" s="3"/>
      <c r="Q20" s="3">
        <f>SUM(OSRRefD11_9x)+IFERROR(SUM(OSRRefE11_9x),0)</f>
        <v>-41216.85</v>
      </c>
    </row>
    <row r="21" spans="1:17" s="39" customFormat="1" ht="15" hidden="1" customHeight="1" outlineLevel="1" x14ac:dyDescent="0.3">
      <c r="A21" s="24"/>
      <c r="B21" s="11" t="str">
        <f>CONCATENATE("          ","4500"," - ","SALES DISCOUNT")</f>
        <v xml:space="preserve">          4500 - SALES DISCOUNT</v>
      </c>
      <c r="C21" s="23"/>
      <c r="D21" s="3">
        <f>0</f>
        <v>0</v>
      </c>
      <c r="E21" s="3">
        <f>0</f>
        <v>0</v>
      </c>
      <c r="F21" s="3">
        <f>0</f>
        <v>0</v>
      </c>
      <c r="G21" s="3">
        <f>-7607.55</f>
        <v>-7607.55</v>
      </c>
      <c r="H21" s="3">
        <f>-6481.93</f>
        <v>-6481.93</v>
      </c>
      <c r="I21" s="3">
        <f>-49916.63</f>
        <v>-49916.63</v>
      </c>
      <c r="J21" s="3">
        <f>-6387.84</f>
        <v>-6387.84</v>
      </c>
      <c r="K21" s="3">
        <f>-12153.15</f>
        <v>-12153.15</v>
      </c>
      <c r="L21" s="3">
        <f>-9360.04</f>
        <v>-9360.0400000000009</v>
      </c>
      <c r="M21" s="3">
        <f>-14706.77</f>
        <v>-14706.77</v>
      </c>
      <c r="N21" s="3"/>
      <c r="O21" s="3"/>
      <c r="Q21" s="3">
        <f>SUM(OSRRefD11_10x)+IFERROR(SUM(OSRRefE11_10x),0)</f>
        <v>-106613.90999999999</v>
      </c>
    </row>
    <row r="22" spans="1:17" ht="15" customHeight="1" x14ac:dyDescent="0.3">
      <c r="A22" s="6"/>
      <c r="B22" s="7"/>
      <c r="C22" s="6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Q22" s="4"/>
    </row>
    <row r="23" spans="1:17" s="39" customFormat="1" ht="15" customHeight="1" collapsed="1" x14ac:dyDescent="0.3">
      <c r="A23" s="24"/>
      <c r="B23" s="17" t="s">
        <v>284</v>
      </c>
      <c r="C23" s="23"/>
      <c r="D23" s="4">
        <f>SUM(OSRRefD14x_0)</f>
        <v>127421.44</v>
      </c>
      <c r="E23" s="4">
        <f>SUM(OSRRefD14x_1)</f>
        <v>995584.52999999991</v>
      </c>
      <c r="F23" s="4">
        <f>SUM(OSRRefD14x_2)</f>
        <v>393284.00999999995</v>
      </c>
      <c r="G23" s="4">
        <f>SUM(OSRRefD14x_3)</f>
        <v>322826.75999999995</v>
      </c>
      <c r="H23" s="4">
        <f>SUM(OSRRefD14x_4)</f>
        <v>153443.26999999999</v>
      </c>
      <c r="I23" s="4">
        <f>SUM(OSRRefD14x_5)</f>
        <v>265819.62999999995</v>
      </c>
      <c r="J23" s="4">
        <f>SUM(OSRRefD14x_6)</f>
        <v>457442.16</v>
      </c>
      <c r="K23" s="4">
        <f>SUM(OSRRefD14x_7)</f>
        <v>442535.63</v>
      </c>
      <c r="L23" s="4">
        <f>SUM(OSRRefD14x_8)</f>
        <v>301569.03999999998</v>
      </c>
      <c r="M23" s="4">
        <f>SUM(OSRRefD14x_9)</f>
        <v>427318.31999999995</v>
      </c>
      <c r="N23" s="4">
        <f>SUM(OSRRefE14x_0)</f>
        <v>199811</v>
      </c>
      <c r="O23" s="4">
        <f>SUM(OSRRefE14x_1)</f>
        <v>156900</v>
      </c>
      <c r="Q23" s="4">
        <f>SUM(OSRRefG14x)</f>
        <v>4243955.790000001</v>
      </c>
    </row>
    <row r="24" spans="1:17" s="39" customFormat="1" ht="15" hidden="1" customHeight="1" outlineLevel="1" x14ac:dyDescent="0.3">
      <c r="A24" s="24"/>
      <c r="B24" s="11" t="str">
        <f>CONCATENATE("          ","5000"," - ","PURCHASES @ COST")</f>
        <v xml:space="preserve">          5000 - PURCHASES @ COST</v>
      </c>
      <c r="C24" s="23"/>
      <c r="D24" s="3">
        <v>344773.67</v>
      </c>
      <c r="E24" s="3">
        <v>500180.97</v>
      </c>
      <c r="F24" s="3">
        <v>726303.95</v>
      </c>
      <c r="G24" s="3">
        <v>744878.53</v>
      </c>
      <c r="H24" s="3">
        <v>-67930.34</v>
      </c>
      <c r="I24" s="3">
        <v>283717.63</v>
      </c>
      <c r="J24" s="3">
        <v>488333.93</v>
      </c>
      <c r="K24" s="3">
        <v>380898.63</v>
      </c>
      <c r="L24" s="3">
        <v>120420.52</v>
      </c>
      <c r="M24" s="3">
        <v>154408.57999999999</v>
      </c>
      <c r="N24" s="3">
        <v>199811</v>
      </c>
      <c r="O24" s="3">
        <v>156900</v>
      </c>
      <c r="Q24" s="3">
        <f>SUM(OSRRefD14_0x)+IFERROR(SUM(OSRRefE14_0x),0)</f>
        <v>4032697.0700000003</v>
      </c>
    </row>
    <row r="25" spans="1:17" s="39" customFormat="1" ht="15" hidden="1" customHeight="1" outlineLevel="1" x14ac:dyDescent="0.3">
      <c r="A25" s="24"/>
      <c r="B25" s="11" t="str">
        <f>CONCATENATE("          ","5001"," - ","PURCHASES @ COST-NEW TEXT")</f>
        <v xml:space="preserve">          5001 - PURCHASES @ COST-NEW TEXT</v>
      </c>
      <c r="C25" s="23"/>
      <c r="D25" s="3">
        <v>0</v>
      </c>
      <c r="E25" s="3">
        <v>0</v>
      </c>
      <c r="F25" s="3">
        <v>0</v>
      </c>
      <c r="G25" s="3">
        <v>0</v>
      </c>
      <c r="H25" s="3"/>
      <c r="I25" s="3"/>
      <c r="J25" s="3"/>
      <c r="K25" s="3"/>
      <c r="L25" s="3"/>
      <c r="M25" s="3"/>
      <c r="N25" s="3"/>
      <c r="O25" s="3"/>
      <c r="Q25" s="3">
        <f>SUM(OSRRefD14_1x)+IFERROR(SUM(OSRRefE14_1x),0)</f>
        <v>0</v>
      </c>
    </row>
    <row r="26" spans="1:17" s="39" customFormat="1" ht="15" hidden="1" customHeight="1" outlineLevel="1" x14ac:dyDescent="0.3">
      <c r="A26" s="24"/>
      <c r="B26" s="11" t="str">
        <f>CONCATENATE("          ","5002"," - ","PURCHASES @ COST-USED TEXT")</f>
        <v xml:space="preserve">          5002 - PURCHASES @ COST-USED TEXT</v>
      </c>
      <c r="C26" s="23"/>
      <c r="D26" s="3">
        <v>0</v>
      </c>
      <c r="E26" s="3">
        <v>0</v>
      </c>
      <c r="F26" s="3">
        <v>0</v>
      </c>
      <c r="G26" s="3"/>
      <c r="H26" s="3"/>
      <c r="I26" s="3"/>
      <c r="J26" s="3"/>
      <c r="K26" s="3"/>
      <c r="L26" s="3"/>
      <c r="M26" s="3"/>
      <c r="N26" s="3"/>
      <c r="O26" s="3"/>
      <c r="Q26" s="3">
        <f>SUM(OSRRefD14_2x)+IFERROR(SUM(OSRRefE14_2x),0)</f>
        <v>0</v>
      </c>
    </row>
    <row r="27" spans="1:17" s="39" customFormat="1" ht="15" hidden="1" customHeight="1" outlineLevel="1" x14ac:dyDescent="0.3">
      <c r="A27" s="24"/>
      <c r="B27" s="11" t="str">
        <f>CONCATENATE("          ","5004"," - ","PURCHASES @ COST-DIGITAL TEXT")</f>
        <v xml:space="preserve">          5004 - PURCHASES @ COST-DIGITAL TEXT</v>
      </c>
      <c r="C27" s="23"/>
      <c r="D27" s="3">
        <v>0</v>
      </c>
      <c r="E27" s="3">
        <v>0</v>
      </c>
      <c r="F27" s="3">
        <v>0</v>
      </c>
      <c r="G27" s="3"/>
      <c r="H27" s="3"/>
      <c r="I27" s="3"/>
      <c r="J27" s="3"/>
      <c r="K27" s="3"/>
      <c r="L27" s="3"/>
      <c r="M27" s="3"/>
      <c r="N27" s="3"/>
      <c r="O27" s="3"/>
      <c r="Q27" s="3">
        <f>SUM(OSRRefD14_3x)+IFERROR(SUM(OSRRefE14_3x),0)</f>
        <v>0</v>
      </c>
    </row>
    <row r="28" spans="1:17" s="39" customFormat="1" ht="15" hidden="1" customHeight="1" outlineLevel="1" x14ac:dyDescent="0.3">
      <c r="A28" s="24"/>
      <c r="B28" s="11" t="str">
        <f>CONCATENATE("          ","5026"," - ","PURCHASES @ COST-WRITING INSTR")</f>
        <v xml:space="preserve">          5026 - PURCHASES @ COST-WRITING INSTR</v>
      </c>
      <c r="C28" s="23"/>
      <c r="D28" s="3"/>
      <c r="E28" s="3">
        <v>0</v>
      </c>
      <c r="F28" s="3"/>
      <c r="G28" s="3"/>
      <c r="H28" s="3"/>
      <c r="I28" s="3"/>
      <c r="J28" s="3"/>
      <c r="K28" s="3"/>
      <c r="L28" s="3"/>
      <c r="M28" s="3"/>
      <c r="N28" s="3"/>
      <c r="O28" s="3"/>
      <c r="Q28" s="3">
        <f>SUM(OSRRefD14_4x)+IFERROR(SUM(OSRRefE14_4x),0)</f>
        <v>0</v>
      </c>
    </row>
    <row r="29" spans="1:17" s="39" customFormat="1" ht="15" hidden="1" customHeight="1" outlineLevel="1" x14ac:dyDescent="0.3">
      <c r="A29" s="24"/>
      <c r="B29" s="11" t="str">
        <f>CONCATENATE("          ","5027"," - ","PURCHASES @ COST-SCHOOL SUPPLI")</f>
        <v xml:space="preserve">          5027 - PURCHASES @ COST-SCHOOL SUPPLI</v>
      </c>
      <c r="C29" s="23"/>
      <c r="D29" s="3"/>
      <c r="E29" s="3">
        <v>0</v>
      </c>
      <c r="F29" s="3">
        <v>0</v>
      </c>
      <c r="G29" s="3"/>
      <c r="H29" s="3"/>
      <c r="I29" s="3"/>
      <c r="J29" s="3"/>
      <c r="K29" s="3"/>
      <c r="L29" s="3"/>
      <c r="M29" s="3"/>
      <c r="N29" s="3"/>
      <c r="O29" s="3"/>
      <c r="Q29" s="3">
        <f>SUM(OSRRefD14_5x)+IFERROR(SUM(OSRRefE14_5x),0)</f>
        <v>0</v>
      </c>
    </row>
    <row r="30" spans="1:17" s="39" customFormat="1" ht="15" hidden="1" customHeight="1" outlineLevel="1" x14ac:dyDescent="0.3">
      <c r="A30" s="24"/>
      <c r="B30" s="11" t="str">
        <f>CONCATENATE("          ","5028"," - ","PURCHASES @ COST-ART/TECH")</f>
        <v xml:space="preserve">          5028 - PURCHASES @ COST-ART/TECH</v>
      </c>
      <c r="C30" s="23"/>
      <c r="D30" s="3"/>
      <c r="E30" s="3">
        <v>0</v>
      </c>
      <c r="F30" s="3">
        <v>0</v>
      </c>
      <c r="G30" s="3"/>
      <c r="H30" s="3"/>
      <c r="I30" s="3"/>
      <c r="J30" s="3"/>
      <c r="K30" s="3"/>
      <c r="L30" s="3"/>
      <c r="M30" s="3"/>
      <c r="N30" s="3"/>
      <c r="O30" s="3"/>
      <c r="Q30" s="3">
        <f>SUM(OSRRefD14_6x)+IFERROR(SUM(OSRRefE14_6x),0)</f>
        <v>0</v>
      </c>
    </row>
    <row r="31" spans="1:17" s="39" customFormat="1" ht="15" hidden="1" customHeight="1" outlineLevel="1" x14ac:dyDescent="0.3">
      <c r="A31" s="24"/>
      <c r="B31" s="11" t="str">
        <f>CONCATENATE("          ","5031"," - ","PURCHASES @ COST-FOOD")</f>
        <v xml:space="preserve">          5031 - PURCHASES @ COST-FOOD</v>
      </c>
      <c r="C31" s="23"/>
      <c r="D31" s="3"/>
      <c r="E31" s="3">
        <v>0</v>
      </c>
      <c r="F31" s="3">
        <v>0</v>
      </c>
      <c r="G31" s="3"/>
      <c r="H31" s="3"/>
      <c r="I31" s="3"/>
      <c r="J31" s="3"/>
      <c r="K31" s="3"/>
      <c r="L31" s="3"/>
      <c r="M31" s="3"/>
      <c r="N31" s="3"/>
      <c r="O31" s="3"/>
      <c r="Q31" s="3">
        <f>SUM(OSRRefD14_7x)+IFERROR(SUM(OSRRefE14_7x),0)</f>
        <v>0</v>
      </c>
    </row>
    <row r="32" spans="1:17" s="39" customFormat="1" ht="15" hidden="1" customHeight="1" outlineLevel="1" x14ac:dyDescent="0.3">
      <c r="A32" s="24"/>
      <c r="B32" s="11" t="str">
        <f>CONCATENATE("          ","5040"," - ","PURCHASES @ COST-LOGO CLOTHING")</f>
        <v xml:space="preserve">          5040 - PURCHASES @ COST-LOGO CLOTHING</v>
      </c>
      <c r="C32" s="23"/>
      <c r="D32" s="3">
        <v>0</v>
      </c>
      <c r="E32" s="3">
        <v>0</v>
      </c>
      <c r="F32" s="3">
        <v>0</v>
      </c>
      <c r="G32" s="3"/>
      <c r="H32" s="3"/>
      <c r="I32" s="3"/>
      <c r="J32" s="3"/>
      <c r="K32" s="3"/>
      <c r="L32" s="3"/>
      <c r="M32" s="3"/>
      <c r="N32" s="3"/>
      <c r="O32" s="3"/>
      <c r="Q32" s="3">
        <f>SUM(OSRRefD14_8x)+IFERROR(SUM(OSRRefE14_8x),0)</f>
        <v>0</v>
      </c>
    </row>
    <row r="33" spans="1:17" s="39" customFormat="1" ht="15" hidden="1" customHeight="1" outlineLevel="1" x14ac:dyDescent="0.3">
      <c r="A33" s="24"/>
      <c r="B33" s="11" t="str">
        <f>CONCATENATE("          ","5041"," - ","PURCHASES @ COST-LOGO GIFTS")</f>
        <v xml:space="preserve">          5041 - PURCHASES @ COST-LOGO GIFTS</v>
      </c>
      <c r="C33" s="23"/>
      <c r="D33" s="3">
        <v>0</v>
      </c>
      <c r="E33" s="3">
        <v>0</v>
      </c>
      <c r="F33" s="3">
        <v>0</v>
      </c>
      <c r="G33" s="3"/>
      <c r="H33" s="3"/>
      <c r="I33" s="3"/>
      <c r="J33" s="3"/>
      <c r="K33" s="3"/>
      <c r="L33" s="3"/>
      <c r="M33" s="3"/>
      <c r="N33" s="3"/>
      <c r="O33" s="3"/>
      <c r="Q33" s="3">
        <f>SUM(OSRRefD14_9x)+IFERROR(SUM(OSRRefE14_9x),0)</f>
        <v>0</v>
      </c>
    </row>
    <row r="34" spans="1:17" s="39" customFormat="1" ht="15" hidden="1" customHeight="1" outlineLevel="1" x14ac:dyDescent="0.3">
      <c r="A34" s="24"/>
      <c r="B34" s="11" t="str">
        <f>CONCATENATE("          ","5042"," - ","PURCHASES @ COST-EVERYDAY GIFT")</f>
        <v xml:space="preserve">          5042 - PURCHASES @ COST-EVERYDAY GIFT</v>
      </c>
      <c r="C34" s="23"/>
      <c r="D34" s="3">
        <v>0</v>
      </c>
      <c r="E34" s="3">
        <v>0</v>
      </c>
      <c r="F34" s="3"/>
      <c r="G34" s="3"/>
      <c r="H34" s="3"/>
      <c r="I34" s="3"/>
      <c r="J34" s="3"/>
      <c r="K34" s="3"/>
      <c r="L34" s="3"/>
      <c r="M34" s="3"/>
      <c r="N34" s="3"/>
      <c r="O34" s="3"/>
      <c r="Q34" s="3">
        <f>SUM(OSRRefD14_10x)+IFERROR(SUM(OSRRefE14_10x),0)</f>
        <v>0</v>
      </c>
    </row>
    <row r="35" spans="1:17" s="39" customFormat="1" ht="15" hidden="1" customHeight="1" outlineLevel="1" x14ac:dyDescent="0.3">
      <c r="A35" s="24"/>
      <c r="B35" s="11" t="str">
        <f>CONCATENATE("          ","5043"," - ","PURCHASES @ COST-CARDS")</f>
        <v xml:space="preserve">          5043 - PURCHASES @ COST-CARDS</v>
      </c>
      <c r="C35" s="23"/>
      <c r="D35" s="3">
        <v>0</v>
      </c>
      <c r="E35" s="3">
        <v>0</v>
      </c>
      <c r="F35" s="3"/>
      <c r="G35" s="3"/>
      <c r="H35" s="3"/>
      <c r="I35" s="3"/>
      <c r="J35" s="3"/>
      <c r="K35" s="3"/>
      <c r="L35" s="3"/>
      <c r="M35" s="3"/>
      <c r="N35" s="3"/>
      <c r="O35" s="3"/>
      <c r="Q35" s="3">
        <f>SUM(OSRRefD14_11x)+IFERROR(SUM(OSRRefE14_11x),0)</f>
        <v>0</v>
      </c>
    </row>
    <row r="36" spans="1:17" s="39" customFormat="1" ht="15" hidden="1" customHeight="1" outlineLevel="1" x14ac:dyDescent="0.3">
      <c r="A36" s="24"/>
      <c r="B36" s="11" t="str">
        <f>CONCATENATE("          ","5044"," - ","PURCHASES @ COST-ACCESSORIES")</f>
        <v xml:space="preserve">          5044 - PURCHASES @ COST-ACCESSORIES</v>
      </c>
      <c r="C36" s="23"/>
      <c r="D36" s="3">
        <v>0</v>
      </c>
      <c r="E36" s="3">
        <v>0</v>
      </c>
      <c r="F36" s="3"/>
      <c r="G36" s="3"/>
      <c r="H36" s="3"/>
      <c r="I36" s="3"/>
      <c r="J36" s="3"/>
      <c r="K36" s="3"/>
      <c r="L36" s="3"/>
      <c r="M36" s="3"/>
      <c r="N36" s="3"/>
      <c r="O36" s="3"/>
      <c r="Q36" s="3">
        <f>SUM(OSRRefD14_12x)+IFERROR(SUM(OSRRefE14_12x),0)</f>
        <v>0</v>
      </c>
    </row>
    <row r="37" spans="1:17" s="39" customFormat="1" ht="15" hidden="1" customHeight="1" outlineLevel="1" x14ac:dyDescent="0.3">
      <c r="A37" s="24"/>
      <c r="B37" s="11" t="str">
        <f>CONCATENATE("          ","5045"," - ","PURCHASES @ COST-SPECIAL ORDER")</f>
        <v xml:space="preserve">          5045 - PURCHASES @ COST-SPECIAL ORDER</v>
      </c>
      <c r="C37" s="23"/>
      <c r="D37" s="3">
        <v>0</v>
      </c>
      <c r="E37" s="3">
        <v>0</v>
      </c>
      <c r="F37" s="3">
        <v>0</v>
      </c>
      <c r="G37" s="3"/>
      <c r="H37" s="3"/>
      <c r="I37" s="3"/>
      <c r="J37" s="3"/>
      <c r="K37" s="3"/>
      <c r="L37" s="3"/>
      <c r="M37" s="3"/>
      <c r="N37" s="3"/>
      <c r="O37" s="3"/>
      <c r="Q37" s="3">
        <f>SUM(OSRRefD14_13x)+IFERROR(SUM(OSRRefE14_13x),0)</f>
        <v>0</v>
      </c>
    </row>
    <row r="38" spans="1:17" s="39" customFormat="1" ht="15" hidden="1" customHeight="1" outlineLevel="1" x14ac:dyDescent="0.3">
      <c r="A38" s="24"/>
      <c r="B38" s="11" t="str">
        <f>CONCATENATE("          ","5053"," - ","PURCHASES @ COST-FOOD")</f>
        <v xml:space="preserve">          5053 - PURCHASES @ COST-FOOD</v>
      </c>
      <c r="C38" s="23"/>
      <c r="D38" s="3">
        <v>0</v>
      </c>
      <c r="E38" s="3">
        <v>14985.56</v>
      </c>
      <c r="F38" s="3">
        <v>8370.32</v>
      </c>
      <c r="G38" s="3">
        <v>12727.12</v>
      </c>
      <c r="H38" s="3">
        <v>3858.46</v>
      </c>
      <c r="I38" s="3">
        <v>1757.73</v>
      </c>
      <c r="J38" s="3">
        <v>238.42</v>
      </c>
      <c r="K38" s="3"/>
      <c r="L38" s="3">
        <v>-14878.27</v>
      </c>
      <c r="M38" s="3">
        <v>1344.8</v>
      </c>
      <c r="N38" s="3"/>
      <c r="O38" s="3"/>
      <c r="Q38" s="3">
        <f>SUM(OSRRefD14_14x)+IFERROR(SUM(OSRRefE14_14x),0)</f>
        <v>28404.14</v>
      </c>
    </row>
    <row r="39" spans="1:17" s="39" customFormat="1" ht="15" hidden="1" customHeight="1" outlineLevel="1" x14ac:dyDescent="0.3">
      <c r="A39" s="24"/>
      <c r="B39" s="11" t="str">
        <f>CONCATENATE("          ","5059"," - ","PURCHASES @ COST-FOOD")</f>
        <v xml:space="preserve">          5059 - PURCHASES @ COST-FOOD</v>
      </c>
      <c r="C39" s="23"/>
      <c r="D39" s="3"/>
      <c r="E39" s="3">
        <v>-11739</v>
      </c>
      <c r="F39" s="3">
        <v>-398.6</v>
      </c>
      <c r="G39" s="3">
        <v>-579.55999999999995</v>
      </c>
      <c r="H39" s="3">
        <v>11508.72</v>
      </c>
      <c r="I39" s="3">
        <v>5966.56</v>
      </c>
      <c r="J39" s="3">
        <v>5649.36</v>
      </c>
      <c r="K39" s="3">
        <v>55952.7</v>
      </c>
      <c r="L39" s="3">
        <v>52537.61</v>
      </c>
      <c r="M39" s="3">
        <v>48685.02</v>
      </c>
      <c r="N39" s="3"/>
      <c r="O39" s="3"/>
      <c r="Q39" s="3">
        <f>SUM(OSRRefD14_15x)+IFERROR(SUM(OSRRefE14_15x),0)</f>
        <v>167582.81</v>
      </c>
    </row>
    <row r="40" spans="1:17" s="39" customFormat="1" ht="15" hidden="1" customHeight="1" outlineLevel="1" x14ac:dyDescent="0.3">
      <c r="A40" s="24"/>
      <c r="B40" s="11" t="str">
        <f>CONCATENATE("          ","5200"," - ","PURCHASES OFFSET")</f>
        <v xml:space="preserve">          5200 - PURCHASES OFFSET</v>
      </c>
      <c r="C40" s="23"/>
      <c r="D40" s="3">
        <v>-346348.67</v>
      </c>
      <c r="E40" s="3">
        <v>-303819.98</v>
      </c>
      <c r="F40" s="3">
        <v>-697456.98</v>
      </c>
      <c r="G40" s="3">
        <v>-764729.36</v>
      </c>
      <c r="H40" s="3">
        <v>57137.78</v>
      </c>
      <c r="I40" s="3">
        <v>-295778.33</v>
      </c>
      <c r="J40" s="3">
        <v>-472988.62</v>
      </c>
      <c r="K40" s="3">
        <v>-388061.48</v>
      </c>
      <c r="L40" s="3">
        <v>-141093.01</v>
      </c>
      <c r="M40" s="3">
        <v>-214885.79</v>
      </c>
      <c r="N40" s="3"/>
      <c r="O40" s="3"/>
      <c r="Q40" s="3">
        <f>SUM(OSRRefD14_16x)+IFERROR(SUM(OSRRefE14_16x),0)</f>
        <v>-3568024.4399999995</v>
      </c>
    </row>
    <row r="41" spans="1:17" s="39" customFormat="1" ht="15" hidden="1" customHeight="1" outlineLevel="1" x14ac:dyDescent="0.3">
      <c r="A41" s="24"/>
      <c r="B41" s="11" t="str">
        <f>CONCATENATE("          ","5300"," - ","COG$ OFFSET")</f>
        <v xml:space="preserve">          5300 - COG$ OFFSET</v>
      </c>
      <c r="C41" s="23"/>
      <c r="D41" s="3">
        <v>125411.41</v>
      </c>
      <c r="E41" s="3">
        <v>789387.34</v>
      </c>
      <c r="F41" s="3">
        <v>339299.2</v>
      </c>
      <c r="G41" s="3">
        <v>308234.86</v>
      </c>
      <c r="H41" s="3">
        <v>137747.54999999999</v>
      </c>
      <c r="I41" s="3">
        <v>260630.8</v>
      </c>
      <c r="J41" s="3">
        <v>414305.51</v>
      </c>
      <c r="K41" s="3">
        <v>362141.86</v>
      </c>
      <c r="L41" s="3">
        <v>260255.56</v>
      </c>
      <c r="M41" s="3">
        <v>402607.93</v>
      </c>
      <c r="N41" s="3"/>
      <c r="O41" s="3"/>
      <c r="Q41" s="3">
        <f>SUM(OSRRefD14_17x)+IFERROR(SUM(OSRRefE14_17x),0)</f>
        <v>3400022.02</v>
      </c>
    </row>
    <row r="42" spans="1:17" s="39" customFormat="1" ht="15" hidden="1" customHeight="1" outlineLevel="1" x14ac:dyDescent="0.3">
      <c r="A42" s="24"/>
      <c r="B42" s="11" t="str">
        <f>CONCATENATE("          ","5500"," - ","FREIGHT-IN")</f>
        <v xml:space="preserve">          5500 - FREIGHT-IN</v>
      </c>
      <c r="C42" s="23"/>
      <c r="D42" s="3">
        <v>3585.03</v>
      </c>
      <c r="E42" s="3">
        <v>6589.64</v>
      </c>
      <c r="F42" s="3">
        <v>17166.12</v>
      </c>
      <c r="G42" s="3">
        <v>22295.17</v>
      </c>
      <c r="H42" s="3">
        <v>11121.1</v>
      </c>
      <c r="I42" s="3">
        <v>9525.24</v>
      </c>
      <c r="J42" s="3">
        <v>21903.56</v>
      </c>
      <c r="K42" s="3">
        <v>31603.919999999998</v>
      </c>
      <c r="L42" s="3">
        <v>24326.63</v>
      </c>
      <c r="M42" s="3">
        <v>35157.78</v>
      </c>
      <c r="N42" s="3"/>
      <c r="O42" s="3"/>
      <c r="Q42" s="3">
        <f>SUM(OSRRefD14_18x)+IFERROR(SUM(OSRRefE14_18x),0)</f>
        <v>183274.19</v>
      </c>
    </row>
    <row r="43" spans="1:17" s="39" customFormat="1" ht="15" hidden="1" customHeight="1" outlineLevel="1" x14ac:dyDescent="0.3">
      <c r="A43" s="24"/>
      <c r="B43" s="11" t="str">
        <f>CONCATENATE("          ","5501"," - ","FREIGHT-IN-NEW TEXT")</f>
        <v xml:space="preserve">          5501 - FREIGHT-IN-NEW TEXT</v>
      </c>
      <c r="C43" s="23"/>
      <c r="D43" s="3">
        <v>0</v>
      </c>
      <c r="E43" s="3">
        <v>0</v>
      </c>
      <c r="F43" s="3">
        <v>0</v>
      </c>
      <c r="G43" s="3">
        <v>0</v>
      </c>
      <c r="H43" s="3"/>
      <c r="I43" s="3"/>
      <c r="J43" s="3"/>
      <c r="K43" s="3"/>
      <c r="L43" s="3"/>
      <c r="M43" s="3"/>
      <c r="N43" s="3"/>
      <c r="O43" s="3"/>
      <c r="Q43" s="3">
        <f>SUM(OSRRefD14_19x)+IFERROR(SUM(OSRRefE14_19x),0)</f>
        <v>0</v>
      </c>
    </row>
    <row r="44" spans="1:17" s="39" customFormat="1" ht="15" hidden="1" customHeight="1" outlineLevel="1" x14ac:dyDescent="0.3">
      <c r="A44" s="24"/>
      <c r="B44" s="11" t="str">
        <f>CONCATENATE("          ","5502"," - ","FREIGHT-IN-USED TEXT")</f>
        <v xml:space="preserve">          5502 - FREIGHT-IN-USED TEXT</v>
      </c>
      <c r="C44" s="23"/>
      <c r="D44" s="3">
        <v>0</v>
      </c>
      <c r="E44" s="3">
        <v>0</v>
      </c>
      <c r="F44" s="3">
        <v>0</v>
      </c>
      <c r="G44" s="3"/>
      <c r="H44" s="3"/>
      <c r="I44" s="3"/>
      <c r="J44" s="3"/>
      <c r="K44" s="3"/>
      <c r="L44" s="3"/>
      <c r="M44" s="3"/>
      <c r="N44" s="3"/>
      <c r="O44" s="3"/>
      <c r="Q44" s="3">
        <f>SUM(OSRRefD14_20x)+IFERROR(SUM(OSRRefE14_20x),0)</f>
        <v>0</v>
      </c>
    </row>
    <row r="45" spans="1:17" s="39" customFormat="1" ht="15" hidden="1" customHeight="1" outlineLevel="1" x14ac:dyDescent="0.3">
      <c r="A45" s="24"/>
      <c r="B45" s="11" t="str">
        <f>CONCATENATE("          ","5518"," - ","FREIGHT-IN-STUDY GUIDES")</f>
        <v xml:space="preserve">          5518 - FREIGHT-IN-STUDY GUIDES</v>
      </c>
      <c r="C45" s="23"/>
      <c r="D45" s="3">
        <v>0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Q45" s="3">
        <f>SUM(OSRRefD14_21x)+IFERROR(SUM(OSRRefE14_21x),0)</f>
        <v>0</v>
      </c>
    </row>
    <row r="46" spans="1:17" s="39" customFormat="1" ht="15" hidden="1" customHeight="1" outlineLevel="1" x14ac:dyDescent="0.3">
      <c r="A46" s="24"/>
      <c r="B46" s="11" t="str">
        <f>CONCATENATE("          ","5527"," - ","FREIGHT-IN-SCHOOL SUPPLIES")</f>
        <v xml:space="preserve">          5527 - FREIGHT-IN-SCHOOL SUPPLIES</v>
      </c>
      <c r="C46" s="23"/>
      <c r="D46" s="3"/>
      <c r="E46" s="3">
        <v>0</v>
      </c>
      <c r="F46" s="3"/>
      <c r="G46" s="3"/>
      <c r="H46" s="3"/>
      <c r="I46" s="3"/>
      <c r="J46" s="3"/>
      <c r="K46" s="3"/>
      <c r="L46" s="3"/>
      <c r="M46" s="3"/>
      <c r="N46" s="3"/>
      <c r="O46" s="3"/>
      <c r="Q46" s="3">
        <f>SUM(OSRRefD14_22x)+IFERROR(SUM(OSRRefE14_22x),0)</f>
        <v>0</v>
      </c>
    </row>
    <row r="47" spans="1:17" s="39" customFormat="1" ht="15" hidden="1" customHeight="1" outlineLevel="1" x14ac:dyDescent="0.3">
      <c r="A47" s="24"/>
      <c r="B47" s="11" t="str">
        <f>CONCATENATE("          ","5528"," - ","FREIGHT-IN-ART/TECH")</f>
        <v xml:space="preserve">          5528 - FREIGHT-IN-ART/TECH</v>
      </c>
      <c r="C47" s="23"/>
      <c r="D47" s="3"/>
      <c r="E47" s="3">
        <v>0</v>
      </c>
      <c r="F47" s="3">
        <v>0</v>
      </c>
      <c r="G47" s="3"/>
      <c r="H47" s="3"/>
      <c r="I47" s="3"/>
      <c r="J47" s="3"/>
      <c r="K47" s="3"/>
      <c r="L47" s="3"/>
      <c r="M47" s="3"/>
      <c r="N47" s="3"/>
      <c r="O47" s="3"/>
      <c r="Q47" s="3">
        <f>SUM(OSRRefD14_23x)+IFERROR(SUM(OSRRefE14_23x),0)</f>
        <v>0</v>
      </c>
    </row>
    <row r="48" spans="1:17" s="39" customFormat="1" ht="15" hidden="1" customHeight="1" outlineLevel="1" x14ac:dyDescent="0.3">
      <c r="A48" s="24"/>
      <c r="B48" s="11" t="str">
        <f>CONCATENATE("          ","5540"," - ","FREIGHT-IN-LOGO CLOTHING")</f>
        <v xml:space="preserve">          5540 - FREIGHT-IN-LOGO CLOTHING</v>
      </c>
      <c r="C48" s="23"/>
      <c r="D48" s="3">
        <v>0</v>
      </c>
      <c r="E48" s="3">
        <v>0</v>
      </c>
      <c r="F48" s="3"/>
      <c r="G48" s="3"/>
      <c r="H48" s="3"/>
      <c r="I48" s="3"/>
      <c r="J48" s="3"/>
      <c r="K48" s="3"/>
      <c r="L48" s="3"/>
      <c r="M48" s="3"/>
      <c r="N48" s="3"/>
      <c r="O48" s="3"/>
      <c r="Q48" s="3">
        <f>SUM(OSRRefD14_24x)+IFERROR(SUM(OSRRefE14_24x),0)</f>
        <v>0</v>
      </c>
    </row>
    <row r="49" spans="1:17" s="39" customFormat="1" ht="15" hidden="1" customHeight="1" outlineLevel="1" x14ac:dyDescent="0.3">
      <c r="A49" s="24"/>
      <c r="B49" s="11" t="str">
        <f>CONCATENATE("          ","5541"," - ","FREIGHT-IN-LOGO GIFTS")</f>
        <v xml:space="preserve">          5541 - FREIGHT-IN-LOGO GIFTS</v>
      </c>
      <c r="C49" s="23"/>
      <c r="D49" s="3">
        <v>0</v>
      </c>
      <c r="E49" s="3">
        <v>0</v>
      </c>
      <c r="F49" s="3">
        <v>0</v>
      </c>
      <c r="G49" s="3"/>
      <c r="H49" s="3"/>
      <c r="I49" s="3"/>
      <c r="J49" s="3"/>
      <c r="K49" s="3"/>
      <c r="L49" s="3"/>
      <c r="M49" s="3"/>
      <c r="N49" s="3"/>
      <c r="O49" s="3"/>
      <c r="Q49" s="3">
        <f>SUM(OSRRefD14_25x)+IFERROR(SUM(OSRRefE14_25x),0)</f>
        <v>0</v>
      </c>
    </row>
    <row r="50" spans="1:17" s="39" customFormat="1" ht="15" hidden="1" customHeight="1" outlineLevel="1" x14ac:dyDescent="0.3">
      <c r="A50" s="24"/>
      <c r="B50" s="11" t="str">
        <f>CONCATENATE("          ","5542"," - ","FREIGHT-IN-EVERYDAY GIFTS")</f>
        <v xml:space="preserve">          5542 - FREIGHT-IN-EVERYDAY GIFTS</v>
      </c>
      <c r="C50" s="23"/>
      <c r="D50" s="3">
        <v>0</v>
      </c>
      <c r="E50" s="3">
        <v>0</v>
      </c>
      <c r="F50" s="3"/>
      <c r="G50" s="3"/>
      <c r="H50" s="3"/>
      <c r="I50" s="3"/>
      <c r="J50" s="3"/>
      <c r="K50" s="3"/>
      <c r="L50" s="3"/>
      <c r="M50" s="3"/>
      <c r="N50" s="3"/>
      <c r="O50" s="3"/>
      <c r="Q50" s="3">
        <f>SUM(OSRRefD14_26x)+IFERROR(SUM(OSRRefE14_26x),0)</f>
        <v>0</v>
      </c>
    </row>
    <row r="51" spans="1:17" s="39" customFormat="1" ht="15" hidden="1" customHeight="1" outlineLevel="1" x14ac:dyDescent="0.3">
      <c r="A51" s="24"/>
      <c r="B51" s="11" t="str">
        <f>CONCATENATE("          ","5544"," - ","FREIGHT-IN-ACCESSORIES")</f>
        <v xml:space="preserve">          5544 - FREIGHT-IN-ACCESSORIES</v>
      </c>
      <c r="C51" s="23"/>
      <c r="D51" s="3">
        <v>0</v>
      </c>
      <c r="E51" s="3">
        <v>0</v>
      </c>
      <c r="F51" s="3"/>
      <c r="G51" s="3"/>
      <c r="H51" s="3"/>
      <c r="I51" s="3"/>
      <c r="J51" s="3"/>
      <c r="K51" s="3"/>
      <c r="L51" s="3"/>
      <c r="M51" s="3"/>
      <c r="N51" s="3"/>
      <c r="O51" s="3"/>
      <c r="Q51" s="3">
        <f>SUM(OSRRefD14_27x)+IFERROR(SUM(OSRRefE14_27x),0)</f>
        <v>0</v>
      </c>
    </row>
    <row r="52" spans="1:17" s="39" customFormat="1" ht="15" hidden="1" customHeight="1" outlineLevel="1" x14ac:dyDescent="0.3">
      <c r="A52" s="24"/>
      <c r="B52" s="11" t="str">
        <f>CONCATENATE("          ","5545"," - ","FREIGHT-IN-SPECIAL ORDERS")</f>
        <v xml:space="preserve">          5545 - FREIGHT-IN-SPECIAL ORDERS</v>
      </c>
      <c r="C52" s="23"/>
      <c r="D52" s="3">
        <v>0</v>
      </c>
      <c r="E52" s="3">
        <v>0</v>
      </c>
      <c r="F52" s="3"/>
      <c r="G52" s="3"/>
      <c r="H52" s="3"/>
      <c r="I52" s="3"/>
      <c r="J52" s="3"/>
      <c r="K52" s="3"/>
      <c r="L52" s="3"/>
      <c r="M52" s="3"/>
      <c r="N52" s="3"/>
      <c r="O52" s="3"/>
      <c r="Q52" s="3">
        <f>SUM(OSRRefD14_28x)+IFERROR(SUM(OSRRefE14_28x),0)</f>
        <v>0</v>
      </c>
    </row>
    <row r="53" spans="1:17" ht="15" customHeight="1" x14ac:dyDescent="0.3">
      <c r="A53" s="6"/>
      <c r="B53" s="7"/>
      <c r="C53" s="7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Q53" s="4"/>
    </row>
    <row r="54" spans="1:17" s="37" customFormat="1" ht="15" customHeight="1" x14ac:dyDescent="0.3">
      <c r="A54" s="7"/>
      <c r="B54" s="18" t="s">
        <v>285</v>
      </c>
      <c r="C54" s="18"/>
      <c r="D54" s="9">
        <f t="shared" ref="D54:O54" si="0">IFERROR(+D10-D23,0)</f>
        <v>93076.780000000028</v>
      </c>
      <c r="E54" s="9">
        <f t="shared" si="0"/>
        <v>523875.05999999994</v>
      </c>
      <c r="F54" s="9">
        <f t="shared" si="0"/>
        <v>207281.5300000002</v>
      </c>
      <c r="G54" s="9">
        <f t="shared" si="0"/>
        <v>253427.05</v>
      </c>
      <c r="H54" s="9">
        <f t="shared" si="0"/>
        <v>156616.40000000005</v>
      </c>
      <c r="I54" s="9">
        <f t="shared" si="0"/>
        <v>244881.43000000011</v>
      </c>
      <c r="J54" s="9">
        <f t="shared" si="0"/>
        <v>302945.49000000017</v>
      </c>
      <c r="K54" s="9">
        <f t="shared" si="0"/>
        <v>429996.18999999994</v>
      </c>
      <c r="L54" s="9">
        <f t="shared" si="0"/>
        <v>424246.6999999999</v>
      </c>
      <c r="M54" s="9">
        <f t="shared" si="0"/>
        <v>549616.9800000001</v>
      </c>
      <c r="N54" s="9">
        <f t="shared" si="0"/>
        <v>223378</v>
      </c>
      <c r="O54" s="9">
        <f t="shared" si="0"/>
        <v>140600</v>
      </c>
      <c r="Q54" s="9">
        <f>IFERROR(+Q10-Q23,0)</f>
        <v>3549941.6099999994</v>
      </c>
    </row>
    <row r="55" spans="1:17" s="38" customFormat="1" ht="15" customHeight="1" x14ac:dyDescent="0.3">
      <c r="B55" s="17"/>
      <c r="C55" s="17"/>
      <c r="D55" s="5">
        <f t="shared" ref="D55:O55" si="1">IFERROR(D54/D10,0)</f>
        <v>0.42212032369240904</v>
      </c>
      <c r="E55" s="5">
        <f t="shared" si="1"/>
        <v>0.3447772243814658</v>
      </c>
      <c r="F55" s="5">
        <f t="shared" si="1"/>
        <v>0.34514389553553165</v>
      </c>
      <c r="G55" s="5">
        <f t="shared" si="1"/>
        <v>0.43978373001993692</v>
      </c>
      <c r="H55" s="5">
        <f t="shared" si="1"/>
        <v>0.50511696667934924</v>
      </c>
      <c r="I55" s="5">
        <f t="shared" si="1"/>
        <v>0.47950053207252025</v>
      </c>
      <c r="J55" s="5">
        <f t="shared" si="1"/>
        <v>0.39840927190229891</v>
      </c>
      <c r="K55" s="5">
        <f t="shared" si="1"/>
        <v>0.49281433655909529</v>
      </c>
      <c r="L55" s="5">
        <f t="shared" si="1"/>
        <v>0.58451019538374849</v>
      </c>
      <c r="M55" s="5">
        <f t="shared" si="1"/>
        <v>0.56259301921017701</v>
      </c>
      <c r="N55" s="5">
        <f t="shared" si="1"/>
        <v>0.52784453282103272</v>
      </c>
      <c r="O55" s="5">
        <f t="shared" si="1"/>
        <v>0.4726050420168067</v>
      </c>
      <c r="P55" s="19"/>
      <c r="Q55" s="5">
        <f>IFERROR(Q54/Q10,0)</f>
        <v>0.45547707748885674</v>
      </c>
    </row>
    <row r="56" spans="1:17" ht="15" customHeight="1" x14ac:dyDescent="0.3">
      <c r="A56" s="6"/>
      <c r="B56" s="7"/>
      <c r="C56" s="6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Q56" s="2"/>
    </row>
    <row r="57" spans="1:17" s="37" customFormat="1" ht="15" customHeight="1" x14ac:dyDescent="0.3">
      <c r="A57" s="7"/>
      <c r="B57" s="17" t="s">
        <v>286</v>
      </c>
      <c r="C57" s="7"/>
      <c r="D57" s="12" cm="1">
        <f t="array" ref="D57">SUM(OSRRefD20x_0)</f>
        <v>375360.22999999992</v>
      </c>
      <c r="E57" s="12" cm="1">
        <f t="array" ref="E57">SUM(OSRRefD20x_1)</f>
        <v>368043.92</v>
      </c>
      <c r="F57" s="12" cm="1">
        <f t="array" ref="F57">SUM(OSRRefD20x_2)</f>
        <v>310333.58</v>
      </c>
      <c r="G57" s="12" cm="1">
        <f t="array" ref="G57">SUM(OSRRefD20x_3)</f>
        <v>351602.14999999997</v>
      </c>
      <c r="H57" s="12" cm="1">
        <f t="array" ref="H57">SUM(OSRRefD20x_4)</f>
        <v>282093.9599999999</v>
      </c>
      <c r="I57" s="12" cm="1">
        <f t="array" ref="I57">SUM(OSRRefD20x_5)</f>
        <v>298095.88</v>
      </c>
      <c r="J57" s="12" cm="1">
        <f t="array" ref="J57">SUM(OSRRefD20x_6)</f>
        <v>389267.99999999994</v>
      </c>
      <c r="K57" s="12" cm="1">
        <f t="array" ref="K57">SUM(OSRRefD20x_7)</f>
        <v>366531.93</v>
      </c>
      <c r="L57" s="12" cm="1">
        <f t="array" ref="L57">SUM(OSRRefD20x_8)</f>
        <v>377493.85000000003</v>
      </c>
      <c r="M57" s="12" cm="1">
        <f t="array" ref="M57">SUM(OSRRefD20x_9)</f>
        <v>422292.66999999993</v>
      </c>
      <c r="N57" s="12" cm="1">
        <f t="array" ref="N57">SUM(OSRRefE20x_0)</f>
        <v>317370.49562256283</v>
      </c>
      <c r="O57" s="12" cm="1">
        <f t="array" ref="O57">SUM(OSRRefE20x_1)</f>
        <v>307047.75167221285</v>
      </c>
      <c r="Q57" s="12" cm="1">
        <f t="array" ref="Q57">SUM(OSRRefG20x)</f>
        <v>4165534.4172947761</v>
      </c>
    </row>
    <row r="58" spans="1:17" s="42" customFormat="1" ht="15" customHeight="1" collapsed="1" x14ac:dyDescent="0.3">
      <c r="A58" s="34"/>
      <c r="B58" s="15" t="str">
        <f>CONCATENATE("     ","*Benefits                                         ")</f>
        <v xml:space="preserve">     *Benefits                                         </v>
      </c>
      <c r="C58" s="15"/>
      <c r="D58" s="2">
        <f>SUM(OSRRefD21_0x_0)</f>
        <v>47426.359999999993</v>
      </c>
      <c r="E58" s="2">
        <f>SUM(OSRRefD21_0x_1)</f>
        <v>52380.290000000008</v>
      </c>
      <c r="F58" s="2">
        <f>SUM(OSRRefD21_0x_2)</f>
        <v>46350.500000000007</v>
      </c>
      <c r="G58" s="2">
        <f>SUM(OSRRefD21_0x_3)</f>
        <v>60766.619999999988</v>
      </c>
      <c r="H58" s="2">
        <f>SUM(OSRRefD21_0x_4)</f>
        <v>51732.02</v>
      </c>
      <c r="I58" s="2">
        <f>SUM(OSRRefD21_0x_5)</f>
        <v>45313.18</v>
      </c>
      <c r="J58" s="2">
        <f>SUM(OSRRefD21_0x_6)</f>
        <v>64428.79</v>
      </c>
      <c r="K58" s="2">
        <f>SUM(OSRRefD21_0x_7)</f>
        <v>27107.61</v>
      </c>
      <c r="L58" s="2">
        <f>SUM(OSRRefD21_0x_8)</f>
        <v>49394.850000000006</v>
      </c>
      <c r="M58" s="2">
        <f>SUM(OSRRefD21_0x_9)</f>
        <v>58704.43</v>
      </c>
      <c r="N58" s="2">
        <f>SUM(OSRRefE21_0x_0)</f>
        <v>47509.395483078246</v>
      </c>
      <c r="O58" s="2">
        <f>SUM(OSRRefE21_0x_1)</f>
        <v>46827.007907728257</v>
      </c>
      <c r="Q58" s="3">
        <f>SUM(OSRRefD20_0x)+IFERROR(SUM(OSRRefE20_0x),0)</f>
        <v>597941.05339080642</v>
      </c>
    </row>
    <row r="59" spans="1:17" s="42" customFormat="1" ht="15" hidden="1" customHeight="1" outlineLevel="1" x14ac:dyDescent="0.3">
      <c r="A59" s="34"/>
      <c r="B59" s="11" t="str">
        <f>CONCATENATE("          ","6111"," - ","F.I.C.A.")</f>
        <v xml:space="preserve">          6111 - F.I.C.A.</v>
      </c>
      <c r="C59" s="15"/>
      <c r="D59" s="3">
        <v>9628.01</v>
      </c>
      <c r="E59" s="3">
        <v>12488.15</v>
      </c>
      <c r="F59" s="3">
        <v>7763.04</v>
      </c>
      <c r="G59" s="3">
        <v>11022.23</v>
      </c>
      <c r="H59" s="3">
        <v>9049.4699999999993</v>
      </c>
      <c r="I59" s="3">
        <v>7212.15</v>
      </c>
      <c r="J59" s="3">
        <v>7922.8</v>
      </c>
      <c r="K59" s="3">
        <v>9125.8799999999992</v>
      </c>
      <c r="L59" s="3">
        <v>8035.93</v>
      </c>
      <c r="M59" s="3">
        <v>11444.7</v>
      </c>
      <c r="N59" s="3">
        <v>9523.8391514951509</v>
      </c>
      <c r="O59" s="3">
        <v>9259.5489188951506</v>
      </c>
      <c r="P59" s="10"/>
      <c r="Q59" s="3">
        <f>SUM(OSRRefD21_0_0x)+IFERROR(SUM(OSRRefE21_0_0x),0)</f>
        <v>112475.7480703903</v>
      </c>
    </row>
    <row r="60" spans="1:17" s="42" customFormat="1" ht="15" hidden="1" customHeight="1" outlineLevel="1" x14ac:dyDescent="0.3">
      <c r="A60" s="34"/>
      <c r="B60" s="11" t="str">
        <f>CONCATENATE("          ","6112"," - ","COMPENSATION INSURANCE")</f>
        <v xml:space="preserve">          6112 - COMPENSATION INSURANCE</v>
      </c>
      <c r="C60" s="15"/>
      <c r="D60" s="3">
        <v>1973.41</v>
      </c>
      <c r="E60" s="3">
        <v>2572.08</v>
      </c>
      <c r="F60" s="3">
        <v>2568.84</v>
      </c>
      <c r="G60" s="3">
        <v>3415.54</v>
      </c>
      <c r="H60" s="3">
        <v>2480.96</v>
      </c>
      <c r="I60" s="3">
        <v>2292.13</v>
      </c>
      <c r="J60" s="3">
        <v>2521.08</v>
      </c>
      <c r="K60" s="3">
        <v>3073.4</v>
      </c>
      <c r="L60" s="3">
        <v>2939.87</v>
      </c>
      <c r="M60" s="3">
        <v>2668.97</v>
      </c>
      <c r="N60" s="3">
        <v>2867.6546088646101</v>
      </c>
      <c r="O60" s="3">
        <v>2726.3259538646198</v>
      </c>
      <c r="P60" s="10"/>
      <c r="Q60" s="3">
        <f>SUM(OSRRefD21_0_1x)+IFERROR(SUM(OSRRefE21_0_1x),0)</f>
        <v>32100.260562729232</v>
      </c>
    </row>
    <row r="61" spans="1:17" s="42" customFormat="1" ht="15" hidden="1" customHeight="1" outlineLevel="1" x14ac:dyDescent="0.3">
      <c r="A61" s="34"/>
      <c r="B61" s="11" t="str">
        <f>CONCATENATE("          ","6113"," - ","GROUP INSURANCE")</f>
        <v xml:space="preserve">          6113 - GROUP INSURANCE</v>
      </c>
      <c r="C61" s="15"/>
      <c r="D61" s="3">
        <v>17896.5</v>
      </c>
      <c r="E61" s="3">
        <v>17896.5</v>
      </c>
      <c r="F61" s="3">
        <v>17921.21</v>
      </c>
      <c r="G61" s="3">
        <v>18566.900000000001</v>
      </c>
      <c r="H61" s="3">
        <v>17975.22</v>
      </c>
      <c r="I61" s="3">
        <v>16584.52</v>
      </c>
      <c r="J61" s="3">
        <v>18089.939999999999</v>
      </c>
      <c r="K61" s="3">
        <v>17210.37</v>
      </c>
      <c r="L61" s="3">
        <v>17292.98</v>
      </c>
      <c r="M61" s="3">
        <v>17292.98</v>
      </c>
      <c r="N61" s="3">
        <v>17692.9230769231</v>
      </c>
      <c r="O61" s="3">
        <v>17692.9230769231</v>
      </c>
      <c r="P61" s="10"/>
      <c r="Q61" s="3">
        <f>SUM(OSRRefD21_0_2x)+IFERROR(SUM(OSRRefE21_0_2x),0)</f>
        <v>212112.96615384624</v>
      </c>
    </row>
    <row r="62" spans="1:17" s="42" customFormat="1" ht="15" hidden="1" customHeight="1" outlineLevel="1" x14ac:dyDescent="0.3">
      <c r="A62" s="34"/>
      <c r="B62" s="11" t="str">
        <f>CONCATENATE("          ","6114"," - ","STATE UNEMPLOYMENT INSURANCE")</f>
        <v xml:space="preserve">          6114 - STATE UNEMPLOYMENT INSURANCE</v>
      </c>
      <c r="C62" s="15"/>
      <c r="D62" s="3">
        <v>357.53</v>
      </c>
      <c r="E62" s="3">
        <v>466.29</v>
      </c>
      <c r="F62" s="3">
        <v>462.15</v>
      </c>
      <c r="G62" s="3">
        <v>614.05999999999995</v>
      </c>
      <c r="H62" s="3">
        <v>443.79</v>
      </c>
      <c r="I62" s="3">
        <v>412.35</v>
      </c>
      <c r="J62" s="3">
        <v>434.13</v>
      </c>
      <c r="K62" s="3">
        <v>555.33000000000004</v>
      </c>
      <c r="L62" s="3">
        <v>525.80999999999995</v>
      </c>
      <c r="M62" s="3">
        <v>477.36</v>
      </c>
      <c r="N62" s="3">
        <v>348.45779775692301</v>
      </c>
      <c r="O62" s="3">
        <v>330.351435006923</v>
      </c>
      <c r="P62" s="10"/>
      <c r="Q62" s="3">
        <f>SUM(OSRRefD21_0_3x)+IFERROR(SUM(OSRRefE21_0_3x),0)</f>
        <v>5427.6092327638453</v>
      </c>
    </row>
    <row r="63" spans="1:17" s="42" customFormat="1" ht="15" hidden="1" customHeight="1" outlineLevel="1" x14ac:dyDescent="0.3">
      <c r="A63" s="34"/>
      <c r="B63" s="11" t="str">
        <f>CONCATENATE("          ","6115"," - ","P.E.R.S.")</f>
        <v xml:space="preserve">          6115 - P.E.R.S.</v>
      </c>
      <c r="C63" s="15"/>
      <c r="D63" s="3">
        <v>6296.23</v>
      </c>
      <c r="E63" s="3">
        <v>6296.23</v>
      </c>
      <c r="F63" s="3">
        <v>6296.23</v>
      </c>
      <c r="G63" s="3">
        <v>9444.34</v>
      </c>
      <c r="H63" s="3">
        <v>8571.01</v>
      </c>
      <c r="I63" s="3">
        <v>5703.78</v>
      </c>
      <c r="J63" s="3">
        <v>6275.91</v>
      </c>
      <c r="K63" s="3">
        <v>7468.83</v>
      </c>
      <c r="L63" s="3">
        <v>5541.18</v>
      </c>
      <c r="M63" s="3">
        <v>7847.66</v>
      </c>
      <c r="N63" s="3">
        <v>4613.5268585692302</v>
      </c>
      <c r="O63" s="3">
        <v>4613.5268585692302</v>
      </c>
      <c r="P63" s="10"/>
      <c r="Q63" s="3">
        <f>SUM(OSRRefD21_0_4x)+IFERROR(SUM(OSRRefE21_0_4x),0)</f>
        <v>78968.453717138458</v>
      </c>
    </row>
    <row r="64" spans="1:17" s="42" customFormat="1" ht="15" hidden="1" customHeight="1" outlineLevel="1" x14ac:dyDescent="0.3">
      <c r="A64" s="34"/>
      <c r="B64" s="11" t="str">
        <f>CONCATENATE("          ","6116"," - ","EDUCATIONAL BENEFITS")</f>
        <v xml:space="preserve">          6116 - EDUCATIONAL BENEFITS</v>
      </c>
      <c r="C64" s="15"/>
      <c r="D64" s="3"/>
      <c r="E64" s="3"/>
      <c r="F64" s="3"/>
      <c r="G64" s="3"/>
      <c r="H64" s="3"/>
      <c r="I64" s="3"/>
      <c r="J64" s="3"/>
      <c r="K64" s="3"/>
      <c r="L64" s="3"/>
      <c r="M64" s="3"/>
      <c r="N64" s="3">
        <v>0</v>
      </c>
      <c r="O64" s="3">
        <v>0</v>
      </c>
      <c r="P64" s="10"/>
      <c r="Q64" s="3">
        <f>SUM(OSRRefD21_0_5x)+IFERROR(SUM(OSRRefE21_0_5x),0)</f>
        <v>0</v>
      </c>
    </row>
    <row r="65" spans="1:17" s="42" customFormat="1" ht="15" hidden="1" customHeight="1" outlineLevel="1" x14ac:dyDescent="0.3">
      <c r="A65" s="34"/>
      <c r="B65" s="11" t="str">
        <f>CONCATENATE("          ","6117"," - ","RETIREMENT STAFF HOURLY")</f>
        <v xml:space="preserve">          6117 - RETIREMENT STAFF HOURLY</v>
      </c>
      <c r="C65" s="15"/>
      <c r="D65" s="3">
        <v>552.85</v>
      </c>
      <c r="E65" s="3">
        <v>962.68</v>
      </c>
      <c r="F65" s="3">
        <v>424.12</v>
      </c>
      <c r="G65" s="3">
        <v>576.07000000000005</v>
      </c>
      <c r="H65" s="3">
        <v>588.41999999999996</v>
      </c>
      <c r="I65" s="3">
        <v>590.27</v>
      </c>
      <c r="J65" s="3">
        <v>1180.31</v>
      </c>
      <c r="K65" s="3">
        <v>952.3</v>
      </c>
      <c r="L65" s="3">
        <v>1069.67</v>
      </c>
      <c r="M65" s="3">
        <v>947.19</v>
      </c>
      <c r="N65" s="3"/>
      <c r="O65" s="3"/>
      <c r="P65" s="10"/>
      <c r="Q65" s="3">
        <f>SUM(OSRRefD21_0_6x)+IFERROR(SUM(OSRRefE21_0_6x),0)</f>
        <v>7843.880000000001</v>
      </c>
    </row>
    <row r="66" spans="1:17" s="42" customFormat="1" ht="15" hidden="1" customHeight="1" outlineLevel="1" x14ac:dyDescent="0.3">
      <c r="A66" s="34"/>
      <c r="B66" s="11" t="str">
        <f>CONCATENATE("          ","6118"," - ","VACATION")</f>
        <v xml:space="preserve">          6118 - VACATION</v>
      </c>
      <c r="C66" s="15"/>
      <c r="D66" s="3">
        <v>5400.79</v>
      </c>
      <c r="E66" s="3">
        <v>5549.94</v>
      </c>
      <c r="F66" s="3">
        <v>4674.6000000000004</v>
      </c>
      <c r="G66" s="3">
        <v>7622.27</v>
      </c>
      <c r="H66" s="3">
        <v>5724.91</v>
      </c>
      <c r="I66" s="3">
        <v>5565.87</v>
      </c>
      <c r="J66" s="3">
        <v>10202.14</v>
      </c>
      <c r="K66" s="3">
        <v>8133.88</v>
      </c>
      <c r="L66" s="3">
        <v>5763.04</v>
      </c>
      <c r="M66" s="3">
        <v>8327.99</v>
      </c>
      <c r="N66" s="3">
        <v>4024.5376188230798</v>
      </c>
      <c r="O66" s="3">
        <v>4024.5376188230798</v>
      </c>
      <c r="P66" s="10"/>
      <c r="Q66" s="3">
        <f>SUM(OSRRefD21_0_7x)+IFERROR(SUM(OSRRefE21_0_7x),0)</f>
        <v>75014.505237646154</v>
      </c>
    </row>
    <row r="67" spans="1:17" s="42" customFormat="1" ht="15" hidden="1" customHeight="1" outlineLevel="1" x14ac:dyDescent="0.3">
      <c r="A67" s="34"/>
      <c r="B67" s="11" t="str">
        <f>CONCATENATE("          ","6119"," - ","SICK LEAVE")</f>
        <v xml:space="preserve">          6119 - SICK LEAVE</v>
      </c>
      <c r="C67" s="15"/>
      <c r="D67" s="3">
        <v>3886.05</v>
      </c>
      <c r="E67" s="3">
        <v>3886.05</v>
      </c>
      <c r="F67" s="3">
        <v>3898.37</v>
      </c>
      <c r="G67" s="3">
        <v>5499.11</v>
      </c>
      <c r="H67" s="3">
        <v>3903.07</v>
      </c>
      <c r="I67" s="3">
        <v>4000.86</v>
      </c>
      <c r="J67" s="3">
        <v>14493.19</v>
      </c>
      <c r="K67" s="3">
        <v>-23388.1</v>
      </c>
      <c r="L67" s="3">
        <v>4327.79</v>
      </c>
      <c r="M67" s="3">
        <v>6132.14</v>
      </c>
      <c r="N67" s="3">
        <v>6163.4563706461504</v>
      </c>
      <c r="O67" s="3">
        <v>5904.7940456461502</v>
      </c>
      <c r="P67" s="10"/>
      <c r="Q67" s="3">
        <f>SUM(OSRRefD21_0_8x)+IFERROR(SUM(OSRRefE21_0_8x),0)</f>
        <v>38706.780416292306</v>
      </c>
    </row>
    <row r="68" spans="1:17" s="42" customFormat="1" ht="15" hidden="1" customHeight="1" outlineLevel="1" x14ac:dyDescent="0.3">
      <c r="A68" s="34"/>
      <c r="B68" s="11" t="str">
        <f>CONCATENATE("          ","6156"," - ","EMPLOYEE MEALS")</f>
        <v xml:space="preserve">          6156 - EMPLOYEE MEALS</v>
      </c>
      <c r="C68" s="15"/>
      <c r="D68" s="3">
        <v>1434.99</v>
      </c>
      <c r="E68" s="3">
        <v>2262.37</v>
      </c>
      <c r="F68" s="3">
        <v>2341.94</v>
      </c>
      <c r="G68" s="3">
        <v>4006.1</v>
      </c>
      <c r="H68" s="3">
        <v>2995.17</v>
      </c>
      <c r="I68" s="3">
        <v>2951.25</v>
      </c>
      <c r="J68" s="3">
        <v>3309.29</v>
      </c>
      <c r="K68" s="3">
        <v>3975.72</v>
      </c>
      <c r="L68" s="3">
        <v>3898.58</v>
      </c>
      <c r="M68" s="3">
        <v>3565.44</v>
      </c>
      <c r="N68" s="3">
        <v>2275</v>
      </c>
      <c r="O68" s="3">
        <v>2275</v>
      </c>
      <c r="P68" s="10"/>
      <c r="Q68" s="3">
        <f>SUM(OSRRefD21_0_9x)+IFERROR(SUM(OSRRefE21_0_9x),0)</f>
        <v>35290.850000000006</v>
      </c>
    </row>
    <row r="69" spans="1:17" s="42" customFormat="1" ht="15" customHeight="1" collapsed="1" x14ac:dyDescent="0.3">
      <c r="A69" s="34"/>
      <c r="B69" s="15" t="str">
        <f>CONCATENATE("     ","*Payroll                                          ")</f>
        <v xml:space="preserve">     *Payroll                                          </v>
      </c>
      <c r="C69" s="15"/>
      <c r="D69" s="2">
        <f>SUM(OSRRefD21_1x_0)</f>
        <v>166272.59000000003</v>
      </c>
      <c r="E69" s="2">
        <f>SUM(OSRRefD21_1x_1)</f>
        <v>190219.97999999998</v>
      </c>
      <c r="F69" s="2">
        <f>SUM(OSRRefD21_1x_2)</f>
        <v>163102.01</v>
      </c>
      <c r="G69" s="2">
        <f>SUM(OSRRefD21_1x_3)</f>
        <v>178317.63000000003</v>
      </c>
      <c r="H69" s="2">
        <f>SUM(OSRRefD21_1x_4)</f>
        <v>125576.45000000001</v>
      </c>
      <c r="I69" s="2">
        <f>SUM(OSRRefD21_1x_5)</f>
        <v>156278.80000000002</v>
      </c>
      <c r="J69" s="2">
        <f>SUM(OSRRefD21_1x_6)</f>
        <v>207744.45</v>
      </c>
      <c r="K69" s="2">
        <f>SUM(OSRRefD21_1x_7)</f>
        <v>213287.57</v>
      </c>
      <c r="L69" s="2">
        <f>SUM(OSRRefD21_1x_8)</f>
        <v>199575.49000000002</v>
      </c>
      <c r="M69" s="2">
        <f>SUM(OSRRefD21_1x_9)</f>
        <v>224666.99</v>
      </c>
      <c r="N69" s="2">
        <f>SUM(OSRRefE21_1x_0)</f>
        <v>158512.10013948457</v>
      </c>
      <c r="O69" s="2">
        <f>SUM(OSRRefE21_1x_1)</f>
        <v>149740.24376448459</v>
      </c>
      <c r="Q69" s="3">
        <f>SUM(OSRRefD20_1x)+IFERROR(SUM(OSRRefE20_1x),0)</f>
        <v>2133294.3039039695</v>
      </c>
    </row>
    <row r="70" spans="1:17" s="42" customFormat="1" ht="15" hidden="1" customHeight="1" outlineLevel="1" x14ac:dyDescent="0.3">
      <c r="A70" s="34"/>
      <c r="B70" s="11" t="str">
        <f>CONCATENATE("          ","6001"," - ","ADMINISTRATIVE SALARIES")</f>
        <v xml:space="preserve">          6001 - ADMINISTRATIVE SALARIES</v>
      </c>
      <c r="C70" s="15"/>
      <c r="D70" s="3">
        <v>5599.1</v>
      </c>
      <c r="E70" s="3">
        <v>4479.1000000000004</v>
      </c>
      <c r="F70" s="3">
        <v>4479.1000000000004</v>
      </c>
      <c r="G70" s="3">
        <v>4926.78</v>
      </c>
      <c r="H70" s="3">
        <v>4192.43</v>
      </c>
      <c r="I70" s="3">
        <v>4658.26</v>
      </c>
      <c r="J70" s="3">
        <v>5357.43</v>
      </c>
      <c r="K70" s="3">
        <v>7265.35</v>
      </c>
      <c r="L70" s="3">
        <v>3959.51</v>
      </c>
      <c r="M70" s="3">
        <v>2749.47</v>
      </c>
      <c r="N70" s="3">
        <v>4139.8076923076896</v>
      </c>
      <c r="O70" s="3">
        <v>4139.8076923076896</v>
      </c>
      <c r="P70" s="10"/>
      <c r="Q70" s="3">
        <f>SUM(OSRRefD21_1_0x)+IFERROR(SUM(OSRRefE21_1_0x),0)</f>
        <v>55946.145384615389</v>
      </c>
    </row>
    <row r="71" spans="1:17" s="42" customFormat="1" ht="15" hidden="1" customHeight="1" outlineLevel="1" x14ac:dyDescent="0.3">
      <c r="A71" s="34"/>
      <c r="B71" s="11" t="str">
        <f>CONCATENATE("          ","6002"," - ","STAFF SALARIES")</f>
        <v xml:space="preserve">          6002 - STAFF SALARIES</v>
      </c>
      <c r="C71" s="15"/>
      <c r="D71" s="3">
        <v>68536.740000000005</v>
      </c>
      <c r="E71" s="3">
        <v>58749.01</v>
      </c>
      <c r="F71" s="3">
        <v>59317.32</v>
      </c>
      <c r="G71" s="3">
        <v>62962.98</v>
      </c>
      <c r="H71" s="3">
        <v>39449.300000000003</v>
      </c>
      <c r="I71" s="3">
        <v>52623.72</v>
      </c>
      <c r="J71" s="3">
        <v>69435.7</v>
      </c>
      <c r="K71" s="3">
        <v>68131.97</v>
      </c>
      <c r="L71" s="3">
        <v>51693.279999999999</v>
      </c>
      <c r="M71" s="3">
        <v>64090.58</v>
      </c>
      <c r="N71" s="3">
        <v>44231.773854176899</v>
      </c>
      <c r="O71" s="3">
        <v>44231.773854176899</v>
      </c>
      <c r="P71" s="10"/>
      <c r="Q71" s="3">
        <f>SUM(OSRRefD21_1_1x)+IFERROR(SUM(OSRRefE21_1_1x),0)</f>
        <v>683454.14770835394</v>
      </c>
    </row>
    <row r="72" spans="1:17" s="42" customFormat="1" ht="15" hidden="1" customHeight="1" outlineLevel="1" x14ac:dyDescent="0.3">
      <c r="A72" s="34"/>
      <c r="B72" s="11" t="str">
        <f>CONCATENATE("          ","6003"," - ","STAFF HOURLY-9 MONTH")</f>
        <v xml:space="preserve">          6003 - STAFF HOURLY-9 MONTH</v>
      </c>
      <c r="C72" s="15"/>
      <c r="D72" s="3"/>
      <c r="E72" s="3"/>
      <c r="F72" s="3"/>
      <c r="G72" s="3"/>
      <c r="H72" s="3"/>
      <c r="I72" s="3"/>
      <c r="J72" s="3"/>
      <c r="K72" s="3"/>
      <c r="L72" s="3"/>
      <c r="M72" s="3"/>
      <c r="N72" s="3">
        <v>0</v>
      </c>
      <c r="O72" s="3">
        <v>0</v>
      </c>
      <c r="P72" s="10"/>
      <c r="Q72" s="3">
        <f>SUM(OSRRefD21_1_2x)+IFERROR(SUM(OSRRefE21_1_2x),0)</f>
        <v>0</v>
      </c>
    </row>
    <row r="73" spans="1:17" s="42" customFormat="1" ht="15" hidden="1" customHeight="1" outlineLevel="1" x14ac:dyDescent="0.3">
      <c r="A73" s="34"/>
      <c r="B73" s="11" t="str">
        <f>CONCATENATE("          ","6004"," - ","STAFF HOURLY")</f>
        <v xml:space="preserve">          6004 - STAFF HOURLY</v>
      </c>
      <c r="C73" s="15"/>
      <c r="D73" s="3">
        <v>18084.38</v>
      </c>
      <c r="E73" s="3">
        <v>19678.82</v>
      </c>
      <c r="F73" s="3">
        <v>21848.69</v>
      </c>
      <c r="G73" s="3">
        <v>30372.86</v>
      </c>
      <c r="H73" s="3">
        <v>21095.77</v>
      </c>
      <c r="I73" s="3">
        <v>24932.65</v>
      </c>
      <c r="J73" s="3">
        <v>25339</v>
      </c>
      <c r="K73" s="3">
        <v>38128.58</v>
      </c>
      <c r="L73" s="3">
        <v>25759.93</v>
      </c>
      <c r="M73" s="3">
        <v>44607.34</v>
      </c>
      <c r="N73" s="3">
        <v>38131.141067999997</v>
      </c>
      <c r="O73" s="3">
        <v>37741.525068000003</v>
      </c>
      <c r="P73" s="10"/>
      <c r="Q73" s="3">
        <f>SUM(OSRRefD21_1_3x)+IFERROR(SUM(OSRRefE21_1_3x),0)</f>
        <v>345720.68613600003</v>
      </c>
    </row>
    <row r="74" spans="1:17" s="42" customFormat="1" ht="15" hidden="1" customHeight="1" outlineLevel="1" x14ac:dyDescent="0.3">
      <c r="A74" s="34"/>
      <c r="B74" s="11" t="str">
        <f>CONCATENATE("          ","6005"," - ","TEMPORARY WAGES-HOURLY")</f>
        <v xml:space="preserve">          6005 - TEMPORARY WAGES-HOURLY</v>
      </c>
      <c r="C74" s="15"/>
      <c r="D74" s="3">
        <v>9447.7999999999993</v>
      </c>
      <c r="E74" s="3">
        <v>10971.89</v>
      </c>
      <c r="F74" s="3">
        <v>10825.92</v>
      </c>
      <c r="G74" s="3">
        <v>16091.96</v>
      </c>
      <c r="H74" s="3">
        <v>9559.1299999999992</v>
      </c>
      <c r="I74" s="3">
        <v>9155.69</v>
      </c>
      <c r="J74" s="3">
        <v>7974.09</v>
      </c>
      <c r="K74" s="3">
        <v>11324.56</v>
      </c>
      <c r="L74" s="3">
        <v>8053.88</v>
      </c>
      <c r="M74" s="3">
        <v>11516.03</v>
      </c>
      <c r="N74" s="3">
        <v>2252.5</v>
      </c>
      <c r="O74" s="3">
        <v>2396.66</v>
      </c>
      <c r="P74" s="10"/>
      <c r="Q74" s="3">
        <f>SUM(OSRRefD21_1_4x)+IFERROR(SUM(OSRRefE21_1_4x),0)</f>
        <v>109570.11</v>
      </c>
    </row>
    <row r="75" spans="1:17" s="42" customFormat="1" ht="15" hidden="1" customHeight="1" outlineLevel="1" x14ac:dyDescent="0.3">
      <c r="A75" s="34"/>
      <c r="B75" s="11" t="str">
        <f>CONCATENATE("          ","6006"," - ","TEMPORARY PART TIME")</f>
        <v xml:space="preserve">          6006 - TEMPORARY PART TIME</v>
      </c>
      <c r="C75" s="15"/>
      <c r="D75" s="3">
        <v>2864.4</v>
      </c>
      <c r="E75" s="3">
        <v>3273.79</v>
      </c>
      <c r="F75" s="3">
        <v>2957.46</v>
      </c>
      <c r="G75" s="3">
        <v>781.97</v>
      </c>
      <c r="H75" s="3"/>
      <c r="I75" s="3"/>
      <c r="J75" s="3">
        <v>2092.35</v>
      </c>
      <c r="K75" s="3">
        <v>2951.4</v>
      </c>
      <c r="L75" s="3">
        <v>2773.98</v>
      </c>
      <c r="M75" s="3">
        <v>5340.79</v>
      </c>
      <c r="N75" s="3">
        <v>0</v>
      </c>
      <c r="O75" s="3">
        <v>0</v>
      </c>
      <c r="P75" s="10"/>
      <c r="Q75" s="3">
        <f>SUM(OSRRefD21_1_5x)+IFERROR(SUM(OSRRefE21_1_5x),0)</f>
        <v>23036.140000000003</v>
      </c>
    </row>
    <row r="76" spans="1:17" s="42" customFormat="1" ht="15" hidden="1" customHeight="1" outlineLevel="1" x14ac:dyDescent="0.3">
      <c r="A76" s="34"/>
      <c r="B76" s="11" t="str">
        <f>CONCATENATE("          ","6007"," - ","STUDENT HOURLY")</f>
        <v xml:space="preserve">          6007 - STUDENT HOURLY</v>
      </c>
      <c r="C76" s="15"/>
      <c r="D76" s="3">
        <v>51955.82</v>
      </c>
      <c r="E76" s="3">
        <v>78788.070000000007</v>
      </c>
      <c r="F76" s="3">
        <v>54007.28</v>
      </c>
      <c r="G76" s="3">
        <v>53267.23</v>
      </c>
      <c r="H76" s="3">
        <v>44217.89</v>
      </c>
      <c r="I76" s="3">
        <v>58321.81</v>
      </c>
      <c r="J76" s="3">
        <v>91886.94</v>
      </c>
      <c r="K76" s="3">
        <v>69472.740000000005</v>
      </c>
      <c r="L76" s="3">
        <v>94286.82</v>
      </c>
      <c r="M76" s="3">
        <v>73779.45</v>
      </c>
      <c r="N76" s="3">
        <v>30466.416000000001</v>
      </c>
      <c r="O76" s="3">
        <v>27441.011350000001</v>
      </c>
      <c r="P76" s="10"/>
      <c r="Q76" s="3">
        <f>SUM(OSRRefD21_1_6x)+IFERROR(SUM(OSRRefE21_1_6x),0)</f>
        <v>727891.47735000006</v>
      </c>
    </row>
    <row r="77" spans="1:17" s="42" customFormat="1" ht="15" hidden="1" customHeight="1" outlineLevel="1" x14ac:dyDescent="0.3">
      <c r="A77" s="34"/>
      <c r="B77" s="11" t="str">
        <f>CONCATENATE("          ","6008"," - ","STUDENT HOURLY-FICA EXEMPT")</f>
        <v xml:space="preserve">          6008 - STUDENT HOURLY-FICA EXEMPT</v>
      </c>
      <c r="C77" s="15"/>
      <c r="D77" s="3">
        <v>9784.35</v>
      </c>
      <c r="E77" s="3">
        <v>14279.3</v>
      </c>
      <c r="F77" s="3">
        <v>9666.24</v>
      </c>
      <c r="G77" s="3">
        <v>9913.85</v>
      </c>
      <c r="H77" s="3">
        <v>7061.93</v>
      </c>
      <c r="I77" s="3">
        <v>6586.67</v>
      </c>
      <c r="J77" s="3">
        <v>5658.94</v>
      </c>
      <c r="K77" s="3">
        <v>16012.97</v>
      </c>
      <c r="L77" s="3">
        <v>13048.09</v>
      </c>
      <c r="M77" s="3">
        <v>22583.33</v>
      </c>
      <c r="N77" s="3">
        <v>39290.461524999999</v>
      </c>
      <c r="O77" s="3">
        <v>33789.465799999998</v>
      </c>
      <c r="P77" s="10"/>
      <c r="Q77" s="3">
        <f>SUM(OSRRefD21_1_7x)+IFERROR(SUM(OSRRefE21_1_7x),0)</f>
        <v>187675.59732499998</v>
      </c>
    </row>
    <row r="78" spans="1:17" s="42" customFormat="1" ht="15" hidden="1" customHeight="1" outlineLevel="1" x14ac:dyDescent="0.3">
      <c r="A78" s="34"/>
      <c r="B78" s="11" t="str">
        <f>CONCATENATE("          ","6009"," - ","TEMPORARY-SEASONAL")</f>
        <v xml:space="preserve">          6009 - TEMPORARY-SEASONAL</v>
      </c>
      <c r="C78" s="15"/>
      <c r="D78" s="3"/>
      <c r="E78" s="3"/>
      <c r="F78" s="3"/>
      <c r="G78" s="3"/>
      <c r="H78" s="3"/>
      <c r="I78" s="3"/>
      <c r="J78" s="3"/>
      <c r="K78" s="3"/>
      <c r="L78" s="3"/>
      <c r="M78" s="3"/>
      <c r="N78" s="3">
        <v>0</v>
      </c>
      <c r="O78" s="3">
        <v>0</v>
      </c>
      <c r="P78" s="10"/>
      <c r="Q78" s="3">
        <f>SUM(OSRRefD21_1_8x)+IFERROR(SUM(OSRRefE21_1_8x),0)</f>
        <v>0</v>
      </c>
    </row>
    <row r="79" spans="1:17" s="42" customFormat="1" ht="15" hidden="1" customHeight="1" outlineLevel="1" x14ac:dyDescent="0.3">
      <c r="A79" s="34"/>
      <c r="B79" s="11" t="str">
        <f>CONCATENATE("          ","6010"," - ","GRATUITY")</f>
        <v xml:space="preserve">          6010 - GRATUITY</v>
      </c>
      <c r="C79" s="15"/>
      <c r="D79" s="3"/>
      <c r="E79" s="3"/>
      <c r="F79" s="3"/>
      <c r="G79" s="3"/>
      <c r="H79" s="3"/>
      <c r="I79" s="3"/>
      <c r="J79" s="3"/>
      <c r="K79" s="3"/>
      <c r="L79" s="3"/>
      <c r="M79" s="3"/>
      <c r="N79" s="3">
        <v>0</v>
      </c>
      <c r="O79" s="3">
        <v>0</v>
      </c>
      <c r="P79" s="10"/>
      <c r="Q79" s="3">
        <f>SUM(OSRRefD21_1_9x)+IFERROR(SUM(OSRRefE21_1_9x),0)</f>
        <v>0</v>
      </c>
    </row>
    <row r="80" spans="1:17" s="42" customFormat="1" ht="15" customHeight="1" collapsed="1" x14ac:dyDescent="0.3">
      <c r="A80" s="34"/>
      <c r="B80" s="15" t="str">
        <f>CONCATENATE("     ","Advertising/Promo                                 ")</f>
        <v xml:space="preserve">     Advertising/Promo                                 </v>
      </c>
      <c r="C80" s="15"/>
      <c r="D80" s="2">
        <f>SUM(OSRRefD21_2x_0)</f>
        <v>493.63</v>
      </c>
      <c r="E80" s="2">
        <f>SUM(OSRRefD21_2x_1)</f>
        <v>1630.51</v>
      </c>
      <c r="F80" s="2">
        <f>SUM(OSRRefD21_2x_2)</f>
        <v>163.18</v>
      </c>
      <c r="G80" s="2">
        <f>SUM(OSRRefD21_2x_3)</f>
        <v>950.63</v>
      </c>
      <c r="H80" s="2">
        <f>SUM(OSRRefD21_2x_4)</f>
        <v>1685.96</v>
      </c>
      <c r="I80" s="2">
        <f>SUM(OSRRefD21_2x_5)</f>
        <v>722.3</v>
      </c>
      <c r="J80" s="2">
        <f>SUM(OSRRefD21_2x_6)</f>
        <v>722.24</v>
      </c>
      <c r="K80" s="2">
        <f>SUM(OSRRefD21_2x_7)</f>
        <v>891.78</v>
      </c>
      <c r="L80" s="2">
        <f>SUM(OSRRefD21_2x_8)</f>
        <v>2364.56</v>
      </c>
      <c r="M80" s="2">
        <f>SUM(OSRRefD21_2x_9)</f>
        <v>3210.66</v>
      </c>
      <c r="N80" s="2">
        <f>SUM(OSRRefE21_2x_0)</f>
        <v>400</v>
      </c>
      <c r="O80" s="2">
        <f>SUM(OSRRefE21_2x_1)</f>
        <v>300</v>
      </c>
      <c r="Q80" s="3">
        <f>SUM(OSRRefD20_2x)+IFERROR(SUM(OSRRefE20_2x),0)</f>
        <v>13535.449999999999</v>
      </c>
    </row>
    <row r="81" spans="1:17" s="42" customFormat="1" ht="15" hidden="1" customHeight="1" outlineLevel="1" x14ac:dyDescent="0.3">
      <c r="A81" s="34"/>
      <c r="B81" s="11" t="str">
        <f>CONCATENATE("          ","6362"," - ","ADVERTISING EXPENSE")</f>
        <v xml:space="preserve">          6362 - ADVERTISING EXPENSE</v>
      </c>
      <c r="C81" s="15"/>
      <c r="D81" s="3">
        <v>493.63</v>
      </c>
      <c r="E81" s="3">
        <v>1630.51</v>
      </c>
      <c r="F81" s="3">
        <v>163.18</v>
      </c>
      <c r="G81" s="3">
        <v>950.63</v>
      </c>
      <c r="H81" s="3">
        <v>1685.96</v>
      </c>
      <c r="I81" s="3">
        <v>722.3</v>
      </c>
      <c r="J81" s="3">
        <v>722.24</v>
      </c>
      <c r="K81" s="3">
        <v>891.78</v>
      </c>
      <c r="L81" s="3">
        <v>2364.56</v>
      </c>
      <c r="M81" s="3">
        <v>3210.66</v>
      </c>
      <c r="N81" s="3">
        <v>400</v>
      </c>
      <c r="O81" s="3">
        <v>300</v>
      </c>
      <c r="P81" s="10"/>
      <c r="Q81" s="3">
        <f>SUM(OSRRefD21_2_0x)+IFERROR(SUM(OSRRefE21_2_0x),0)</f>
        <v>13535.449999999999</v>
      </c>
    </row>
    <row r="82" spans="1:17" s="42" customFormat="1" ht="15" customHeight="1" collapsed="1" x14ac:dyDescent="0.3">
      <c r="A82" s="34"/>
      <c r="B82" s="15" t="str">
        <f>CONCATENATE("     ","Bad Debts/Over/Short                              ")</f>
        <v xml:space="preserve">     Bad Debts/Over/Short                              </v>
      </c>
      <c r="C82" s="15"/>
      <c r="D82" s="2">
        <f>SUM(OSRRefD21_3x_0)</f>
        <v>1.27</v>
      </c>
      <c r="E82" s="2">
        <f>SUM(OSRRefD21_3x_1)</f>
        <v>149.46</v>
      </c>
      <c r="F82" s="2">
        <f>SUM(OSRRefD21_3x_2)</f>
        <v>112.67</v>
      </c>
      <c r="G82" s="2">
        <f>SUM(OSRRefD21_3x_3)</f>
        <v>-37.729999999999997</v>
      </c>
      <c r="H82" s="2">
        <f>SUM(OSRRefD21_3x_4)</f>
        <v>-38.71</v>
      </c>
      <c r="I82" s="2">
        <f>SUM(OSRRefD21_3x_5)</f>
        <v>-5.0599999999999996</v>
      </c>
      <c r="J82" s="2">
        <f>SUM(OSRRefD21_3x_6)</f>
        <v>-21.8</v>
      </c>
      <c r="K82" s="2">
        <f>SUM(OSRRefD21_3x_7)</f>
        <v>-51.31</v>
      </c>
      <c r="L82" s="2">
        <f>SUM(OSRRefD21_3x_8)</f>
        <v>-47.38</v>
      </c>
      <c r="M82" s="2">
        <f>SUM(OSRRefD21_3x_9)</f>
        <v>-45.88</v>
      </c>
      <c r="N82" s="2">
        <f>SUM(OSRRefE21_3x_0)</f>
        <v>235</v>
      </c>
      <c r="O82" s="2">
        <f>SUM(OSRRefE21_3x_1)</f>
        <v>235</v>
      </c>
      <c r="Q82" s="3">
        <f>SUM(OSRRefD20_3x)+IFERROR(SUM(OSRRefE20_3x),0)</f>
        <v>485.53000000000003</v>
      </c>
    </row>
    <row r="83" spans="1:17" s="42" customFormat="1" ht="15" hidden="1" customHeight="1" outlineLevel="1" x14ac:dyDescent="0.3">
      <c r="A83" s="34"/>
      <c r="B83" s="11" t="str">
        <f>CONCATENATE("          ","6272"," - ","CASH (OVER/SHORT)")</f>
        <v xml:space="preserve">          6272 - CASH (OVER/SHORT)</v>
      </c>
      <c r="C83" s="15"/>
      <c r="D83" s="3">
        <v>1.27</v>
      </c>
      <c r="E83" s="3">
        <v>149.46</v>
      </c>
      <c r="F83" s="3">
        <v>112.67</v>
      </c>
      <c r="G83" s="3">
        <v>-37.729999999999997</v>
      </c>
      <c r="H83" s="3">
        <v>-38.71</v>
      </c>
      <c r="I83" s="3">
        <v>-5.0599999999999996</v>
      </c>
      <c r="J83" s="3">
        <v>-21.8</v>
      </c>
      <c r="K83" s="3">
        <v>-51.31</v>
      </c>
      <c r="L83" s="3">
        <v>-47.38</v>
      </c>
      <c r="M83" s="3">
        <v>-45.88</v>
      </c>
      <c r="N83" s="3">
        <v>235</v>
      </c>
      <c r="O83" s="3">
        <v>235</v>
      </c>
      <c r="P83" s="10"/>
      <c r="Q83" s="3">
        <f>SUM(OSRRefD21_3_0x)+IFERROR(SUM(OSRRefE21_3_0x),0)</f>
        <v>485.53000000000003</v>
      </c>
    </row>
    <row r="84" spans="1:17" s="42" customFormat="1" ht="15" customHeight="1" collapsed="1" x14ac:dyDescent="0.3">
      <c r="A84" s="34"/>
      <c r="B84" s="15" t="str">
        <f>CONCATENATE("     ","Bank/card Fees                                    ")</f>
        <v xml:space="preserve">     Bank/card Fees                                    </v>
      </c>
      <c r="C84" s="15"/>
      <c r="D84" s="2">
        <f>SUM(OSRRefD21_4x_0)</f>
        <v>4037.34</v>
      </c>
      <c r="E84" s="2">
        <f>SUM(OSRRefD21_4x_1)</f>
        <v>23422.38</v>
      </c>
      <c r="F84" s="2">
        <f>SUM(OSRRefD21_4x_2)</f>
        <v>11665.93</v>
      </c>
      <c r="G84" s="2">
        <f>SUM(OSRRefD21_4x_3)</f>
        <v>13855.03</v>
      </c>
      <c r="H84" s="2">
        <f>SUM(OSRRefD21_4x_4)</f>
        <v>8597.08</v>
      </c>
      <c r="I84" s="2">
        <f>SUM(OSRRefD21_4x_5)</f>
        <v>9758.82</v>
      </c>
      <c r="J84" s="2">
        <f>SUM(OSRRefD21_4x_6)</f>
        <v>12425.83</v>
      </c>
      <c r="K84" s="2">
        <f>SUM(OSRRefD21_4x_7)</f>
        <v>19602.71</v>
      </c>
      <c r="L84" s="2">
        <f>SUM(OSRRefD21_4x_8)</f>
        <v>21960.93</v>
      </c>
      <c r="M84" s="2">
        <f>SUM(OSRRefD21_4x_9)</f>
        <v>21124.28</v>
      </c>
      <c r="N84" s="2">
        <f>SUM(OSRRefE21_4x_0)</f>
        <v>16249</v>
      </c>
      <c r="O84" s="2">
        <f>SUM(OSRRefE21_4x_1)</f>
        <v>7825.5</v>
      </c>
      <c r="Q84" s="3">
        <f>SUM(OSRRefD20_4x)+IFERROR(SUM(OSRRefE20_4x),0)</f>
        <v>170524.83</v>
      </c>
    </row>
    <row r="85" spans="1:17" s="42" customFormat="1" ht="15" hidden="1" customHeight="1" outlineLevel="1" x14ac:dyDescent="0.3">
      <c r="A85" s="34"/>
      <c r="B85" s="11" t="str">
        <f>CONCATENATE("          ","6381"," - ","BANK/CREDIT CARD FEES")</f>
        <v xml:space="preserve">          6381 - BANK/CREDIT CARD FEES</v>
      </c>
      <c r="C85" s="15"/>
      <c r="D85" s="3">
        <v>4037.34</v>
      </c>
      <c r="E85" s="3">
        <v>23422.38</v>
      </c>
      <c r="F85" s="3">
        <v>11665.93</v>
      </c>
      <c r="G85" s="3">
        <v>13855.03</v>
      </c>
      <c r="H85" s="3">
        <v>8597.08</v>
      </c>
      <c r="I85" s="3">
        <v>9758.82</v>
      </c>
      <c r="J85" s="3">
        <v>12425.83</v>
      </c>
      <c r="K85" s="3">
        <v>19602.71</v>
      </c>
      <c r="L85" s="3">
        <v>21960.93</v>
      </c>
      <c r="M85" s="3">
        <v>21124.28</v>
      </c>
      <c r="N85" s="3">
        <v>16249</v>
      </c>
      <c r="O85" s="3">
        <v>7825.5</v>
      </c>
      <c r="P85" s="10"/>
      <c r="Q85" s="3">
        <f>SUM(OSRRefD21_4_0x)+IFERROR(SUM(OSRRefE21_4_0x),0)</f>
        <v>170524.83</v>
      </c>
    </row>
    <row r="86" spans="1:17" s="42" customFormat="1" ht="15" customHeight="1" collapsed="1" x14ac:dyDescent="0.3">
      <c r="A86" s="34"/>
      <c r="B86" s="15" t="str">
        <f>CONCATENATE("     ","Depreciation                                      ")</f>
        <v xml:space="preserve">     Depreciation                                      </v>
      </c>
      <c r="C86" s="15"/>
      <c r="D86" s="2">
        <f>SUM(OSRRefD21_5x_0)</f>
        <v>37856.22</v>
      </c>
      <c r="E86" s="2">
        <f>SUM(OSRRefD21_5x_1)</f>
        <v>37856.22</v>
      </c>
      <c r="F86" s="2">
        <f>SUM(OSRRefD21_5x_2)</f>
        <v>37856.21</v>
      </c>
      <c r="G86" s="2">
        <f>SUM(OSRRefD21_5x_3)</f>
        <v>36939.61</v>
      </c>
      <c r="H86" s="2">
        <f>SUM(OSRRefD21_5x_4)</f>
        <v>36939.599999999999</v>
      </c>
      <c r="I86" s="2">
        <f>SUM(OSRRefD21_5x_5)</f>
        <v>36939.589999999997</v>
      </c>
      <c r="J86" s="2">
        <f>SUM(OSRRefD21_5x_6)</f>
        <v>34674.68</v>
      </c>
      <c r="K86" s="2">
        <f>SUM(OSRRefD21_5x_7)</f>
        <v>33864.79</v>
      </c>
      <c r="L86" s="2">
        <f>SUM(OSRRefD21_5x_8)</f>
        <v>33864.76</v>
      </c>
      <c r="M86" s="2">
        <f>SUM(OSRRefD21_5x_9)</f>
        <v>22704.800000000003</v>
      </c>
      <c r="N86" s="2">
        <f>SUM(OSRRefE21_5x_0)</f>
        <v>22583</v>
      </c>
      <c r="O86" s="2">
        <f>SUM(OSRRefE21_5x_1)</f>
        <v>22425</v>
      </c>
      <c r="Q86" s="3">
        <f>SUM(OSRRefD20_5x)+IFERROR(SUM(OSRRefE20_5x),0)</f>
        <v>394504.48</v>
      </c>
    </row>
    <row r="87" spans="1:17" s="42" customFormat="1" ht="15" hidden="1" customHeight="1" outlineLevel="1" x14ac:dyDescent="0.3">
      <c r="A87" s="34"/>
      <c r="B87" s="11" t="str">
        <f>CONCATENATE("          ","6321"," - ","BUILDING DEPRECIATION")</f>
        <v xml:space="preserve">          6321 - BUILDING DEPRECIATION</v>
      </c>
      <c r="C87" s="15"/>
      <c r="D87" s="3">
        <v>21477.03</v>
      </c>
      <c r="E87" s="3">
        <v>21477.03</v>
      </c>
      <c r="F87" s="3">
        <v>21477.03</v>
      </c>
      <c r="G87" s="3">
        <v>21477.03</v>
      </c>
      <c r="H87" s="3">
        <v>21477.03</v>
      </c>
      <c r="I87" s="3">
        <v>21477.02</v>
      </c>
      <c r="J87" s="3">
        <v>19212.11</v>
      </c>
      <c r="K87" s="3">
        <v>18402.22</v>
      </c>
      <c r="L87" s="3">
        <v>18402.22</v>
      </c>
      <c r="M87" s="3">
        <v>18402.22</v>
      </c>
      <c r="N87" s="3"/>
      <c r="O87" s="3"/>
      <c r="P87" s="10"/>
      <c r="Q87" s="3">
        <f>SUM(OSRRefD21_5_0x)+IFERROR(SUM(OSRRefE21_5_0x),0)</f>
        <v>203280.94</v>
      </c>
    </row>
    <row r="88" spans="1:17" s="42" customFormat="1" ht="15" hidden="1" customHeight="1" outlineLevel="1" x14ac:dyDescent="0.3">
      <c r="A88" s="34"/>
      <c r="B88" s="11" t="str">
        <f>CONCATENATE("          ","6322"," - ","EQUIPMENT DEPRECIATION EXPENSE")</f>
        <v xml:space="preserve">          6322 - EQUIPMENT DEPRECIATION EXPENSE</v>
      </c>
      <c r="C88" s="15"/>
      <c r="D88" s="3">
        <v>16379.19</v>
      </c>
      <c r="E88" s="3">
        <v>16379.19</v>
      </c>
      <c r="F88" s="3">
        <v>16379.18</v>
      </c>
      <c r="G88" s="3">
        <v>15462.58</v>
      </c>
      <c r="H88" s="3">
        <v>15462.57</v>
      </c>
      <c r="I88" s="3">
        <v>15462.57</v>
      </c>
      <c r="J88" s="3">
        <v>15462.57</v>
      </c>
      <c r="K88" s="3">
        <v>15462.57</v>
      </c>
      <c r="L88" s="3">
        <v>15462.54</v>
      </c>
      <c r="M88" s="3">
        <v>4302.58</v>
      </c>
      <c r="N88" s="3">
        <v>22583</v>
      </c>
      <c r="O88" s="3">
        <v>22425</v>
      </c>
      <c r="P88" s="10"/>
      <c r="Q88" s="3">
        <f>SUM(OSRRefD21_5_1x)+IFERROR(SUM(OSRRefE21_5_1x),0)</f>
        <v>191223.54</v>
      </c>
    </row>
    <row r="89" spans="1:17" s="42" customFormat="1" ht="15" customHeight="1" collapsed="1" x14ac:dyDescent="0.3">
      <c r="A89" s="34"/>
      <c r="B89" s="15" t="str">
        <f>CONCATENATE("     ","Discounts and Markdowns                           ")</f>
        <v xml:space="preserve">     Discounts and Markdowns                           </v>
      </c>
      <c r="C89" s="15"/>
      <c r="D89" s="2">
        <f>SUM(OSRRefD21_6x_0)</f>
        <v>-0.68</v>
      </c>
      <c r="E89" s="2">
        <f>SUM(OSRRefD21_6x_1)</f>
        <v>-157.30000000000001</v>
      </c>
      <c r="F89" s="2">
        <f>SUM(OSRRefD21_6x_2)</f>
        <v>135.49</v>
      </c>
      <c r="G89" s="2">
        <f>SUM(OSRRefD21_6x_3)</f>
        <v>-43.75</v>
      </c>
      <c r="H89" s="2">
        <f>SUM(OSRRefD21_6x_4)</f>
        <v>3409.87</v>
      </c>
      <c r="I89" s="2">
        <f>SUM(OSRRefD21_6x_5)</f>
        <v>11.17</v>
      </c>
      <c r="J89" s="2">
        <f>SUM(OSRRefD21_6x_6)</f>
        <v>-1290.25</v>
      </c>
      <c r="K89" s="2">
        <f>SUM(OSRRefD21_6x_7)</f>
        <v>0</v>
      </c>
      <c r="L89" s="2">
        <f>SUM(OSRRefD21_6x_8)</f>
        <v>-7.72</v>
      </c>
      <c r="M89" s="2">
        <f>SUM(OSRRefD21_6x_9)</f>
        <v>-50.18</v>
      </c>
      <c r="N89" s="2">
        <f>SUM(OSRRefE21_6x_0)</f>
        <v>0</v>
      </c>
      <c r="O89" s="2">
        <f>SUM(OSRRefE21_6x_1)</f>
        <v>0</v>
      </c>
      <c r="Q89" s="3">
        <f>SUM(OSRRefD20_6x)+IFERROR(SUM(OSRRefE20_6x),0)</f>
        <v>2006.6500000000003</v>
      </c>
    </row>
    <row r="90" spans="1:17" s="42" customFormat="1" ht="15" hidden="1" customHeight="1" outlineLevel="1" x14ac:dyDescent="0.3">
      <c r="A90" s="34"/>
      <c r="B90" s="11" t="str">
        <f>CONCATENATE("          ","6382"," - ","DISCOUNTS/MARK DOWNS")</f>
        <v xml:space="preserve">          6382 - DISCOUNTS/MARK DOWNS</v>
      </c>
      <c r="C90" s="15"/>
      <c r="D90" s="3"/>
      <c r="E90" s="3"/>
      <c r="F90" s="3"/>
      <c r="G90" s="3"/>
      <c r="H90" s="3">
        <v>3410</v>
      </c>
      <c r="I90" s="3"/>
      <c r="J90" s="3">
        <v>-1238.6500000000001</v>
      </c>
      <c r="K90" s="3"/>
      <c r="L90" s="3"/>
      <c r="M90" s="3"/>
      <c r="N90" s="3"/>
      <c r="O90" s="3"/>
      <c r="P90" s="10"/>
      <c r="Q90" s="3">
        <f>SUM(OSRRefD21_6_0x)+IFERROR(SUM(OSRRefE21_6_0x),0)</f>
        <v>2171.35</v>
      </c>
    </row>
    <row r="91" spans="1:17" s="42" customFormat="1" ht="15" hidden="1" customHeight="1" outlineLevel="1" x14ac:dyDescent="0.3">
      <c r="A91" s="34"/>
      <c r="B91" s="11" t="str">
        <f>CONCATENATE("          ","9175"," - ","EARNED DISCOUNTS")</f>
        <v xml:space="preserve">          9175 - EARNED DISCOUNTS</v>
      </c>
      <c r="C91" s="15"/>
      <c r="D91" s="3">
        <v>-0.68</v>
      </c>
      <c r="E91" s="3">
        <v>-157.30000000000001</v>
      </c>
      <c r="F91" s="3">
        <v>135.49</v>
      </c>
      <c r="G91" s="3">
        <v>-43.75</v>
      </c>
      <c r="H91" s="3">
        <v>-0.13</v>
      </c>
      <c r="I91" s="3">
        <v>11.17</v>
      </c>
      <c r="J91" s="3">
        <v>-51.6</v>
      </c>
      <c r="K91" s="3">
        <v>0</v>
      </c>
      <c r="L91" s="3">
        <v>-7.72</v>
      </c>
      <c r="M91" s="3">
        <v>-50.18</v>
      </c>
      <c r="N91" s="3"/>
      <c r="O91" s="3"/>
      <c r="P91" s="10"/>
      <c r="Q91" s="3">
        <f>SUM(OSRRefD21_6_1x)+IFERROR(SUM(OSRRefE21_6_1x),0)</f>
        <v>-164.70000000000002</v>
      </c>
    </row>
    <row r="92" spans="1:17" s="42" customFormat="1" ht="15" customHeight="1" collapsed="1" x14ac:dyDescent="0.3">
      <c r="A92" s="34"/>
      <c r="B92" s="15" t="str">
        <f>CONCATENATE("     ","Donations                                         ")</f>
        <v xml:space="preserve">     Donations                                         </v>
      </c>
      <c r="C92" s="15"/>
      <c r="D92" s="2">
        <f>SUM(OSRRefD21_7x_0)</f>
        <v>0</v>
      </c>
      <c r="E92" s="2">
        <f>SUM(OSRRefD21_7x_1)</f>
        <v>0</v>
      </c>
      <c r="F92" s="2">
        <f>SUM(OSRRefD21_7x_2)</f>
        <v>0</v>
      </c>
      <c r="G92" s="2">
        <f>SUM(OSRRefD21_7x_3)</f>
        <v>1483.48</v>
      </c>
      <c r="H92" s="2">
        <f>SUM(OSRRefD21_7x_4)</f>
        <v>1336.74</v>
      </c>
      <c r="I92" s="2">
        <f>SUM(OSRRefD21_7x_5)</f>
        <v>0</v>
      </c>
      <c r="J92" s="2">
        <f>SUM(OSRRefD21_7x_6)</f>
        <v>0</v>
      </c>
      <c r="K92" s="2">
        <f>SUM(OSRRefD21_7x_7)</f>
        <v>2998.05</v>
      </c>
      <c r="L92" s="2">
        <f>SUM(OSRRefD21_7x_8)</f>
        <v>0</v>
      </c>
      <c r="M92" s="2">
        <f>SUM(OSRRefD21_7x_9)</f>
        <v>1488.53</v>
      </c>
      <c r="N92" s="2">
        <f>SUM(OSRRefE21_7x_0)</f>
        <v>1250</v>
      </c>
      <c r="O92" s="2">
        <f>SUM(OSRRefE21_7x_1)</f>
        <v>1250</v>
      </c>
      <c r="Q92" s="3">
        <f>SUM(OSRRefD20_7x)+IFERROR(SUM(OSRRefE20_7x),0)</f>
        <v>9806.7999999999993</v>
      </c>
    </row>
    <row r="93" spans="1:17" s="42" customFormat="1" ht="15" hidden="1" customHeight="1" outlineLevel="1" x14ac:dyDescent="0.3">
      <c r="A93" s="34"/>
      <c r="B93" s="11" t="str">
        <f>CONCATENATE("          ","6399"," - ","DONATION-ON CAMPUS")</f>
        <v xml:space="preserve">          6399 - DONATION-ON CAMPUS</v>
      </c>
      <c r="C93" s="15"/>
      <c r="D93" s="3"/>
      <c r="E93" s="3"/>
      <c r="F93" s="3"/>
      <c r="G93" s="3">
        <v>1483.48</v>
      </c>
      <c r="H93" s="3">
        <v>1336.74</v>
      </c>
      <c r="I93" s="3"/>
      <c r="J93" s="3"/>
      <c r="K93" s="3">
        <v>2998.05</v>
      </c>
      <c r="L93" s="3"/>
      <c r="M93" s="3">
        <v>1488.53</v>
      </c>
      <c r="N93" s="3">
        <v>1250</v>
      </c>
      <c r="O93" s="3">
        <v>1250</v>
      </c>
      <c r="P93" s="10"/>
      <c r="Q93" s="3">
        <f>SUM(OSRRefD21_7_0x)+IFERROR(SUM(OSRRefE21_7_0x),0)</f>
        <v>9806.7999999999993</v>
      </c>
    </row>
    <row r="94" spans="1:17" s="42" customFormat="1" ht="15" customHeight="1" collapsed="1" x14ac:dyDescent="0.3">
      <c r="A94" s="34"/>
      <c r="B94" s="15" t="str">
        <f>CONCATENATE("     ","Employees' Appreciation                           ")</f>
        <v xml:space="preserve">     Employees' Appreciation                           </v>
      </c>
      <c r="C94" s="15"/>
      <c r="D94" s="2">
        <f>SUM(OSRRefD21_8x_0)</f>
        <v>537.36</v>
      </c>
      <c r="E94" s="2">
        <f>SUM(OSRRefD21_8x_1)</f>
        <v>400</v>
      </c>
      <c r="F94" s="2">
        <f>SUM(OSRRefD21_8x_2)</f>
        <v>447.27</v>
      </c>
      <c r="G94" s="2">
        <f>SUM(OSRRefD21_8x_3)</f>
        <v>0</v>
      </c>
      <c r="H94" s="2">
        <f>SUM(OSRRefD21_8x_4)</f>
        <v>490.02</v>
      </c>
      <c r="I94" s="2">
        <f>SUM(OSRRefD21_8x_5)</f>
        <v>949.16</v>
      </c>
      <c r="J94" s="2">
        <f>SUM(OSRRefD21_8x_6)</f>
        <v>1421.38</v>
      </c>
      <c r="K94" s="2">
        <f>SUM(OSRRefD21_8x_7)</f>
        <v>0</v>
      </c>
      <c r="L94" s="2">
        <f>SUM(OSRRefD21_8x_8)</f>
        <v>74.69</v>
      </c>
      <c r="M94" s="2">
        <f>SUM(OSRRefD21_8x_9)</f>
        <v>0</v>
      </c>
      <c r="N94" s="2">
        <f>SUM(OSRRefE21_8x_0)</f>
        <v>275</v>
      </c>
      <c r="O94" s="2">
        <f>SUM(OSRRefE21_8x_1)</f>
        <v>225</v>
      </c>
      <c r="Q94" s="3">
        <f>SUM(OSRRefD20_8x)+IFERROR(SUM(OSRRefE20_8x),0)</f>
        <v>4819.88</v>
      </c>
    </row>
    <row r="95" spans="1:17" s="42" customFormat="1" ht="15" hidden="1" customHeight="1" outlineLevel="1" x14ac:dyDescent="0.3">
      <c r="A95" s="34"/>
      <c r="B95" s="11" t="str">
        <f>CONCATENATE("          ","6277"," - ","EMPLOYEE APPRECIATION")</f>
        <v xml:space="preserve">          6277 - EMPLOYEE APPRECIATION</v>
      </c>
      <c r="C95" s="15"/>
      <c r="D95" s="3">
        <v>537.36</v>
      </c>
      <c r="E95" s="3">
        <v>400</v>
      </c>
      <c r="F95" s="3">
        <v>447.27</v>
      </c>
      <c r="G95" s="3"/>
      <c r="H95" s="3">
        <v>490.02</v>
      </c>
      <c r="I95" s="3">
        <v>949.16</v>
      </c>
      <c r="J95" s="3">
        <v>1421.38</v>
      </c>
      <c r="K95" s="3"/>
      <c r="L95" s="3">
        <v>74.69</v>
      </c>
      <c r="M95" s="3"/>
      <c r="N95" s="3">
        <v>275</v>
      </c>
      <c r="O95" s="3">
        <v>225</v>
      </c>
      <c r="P95" s="10"/>
      <c r="Q95" s="3">
        <f>SUM(OSRRefD21_8_0x)+IFERROR(SUM(OSRRefE21_8_0x),0)</f>
        <v>4819.88</v>
      </c>
    </row>
    <row r="96" spans="1:17" s="42" customFormat="1" ht="15" customHeight="1" collapsed="1" x14ac:dyDescent="0.3">
      <c r="A96" s="34"/>
      <c r="B96" s="15" t="str">
        <f>CONCATENATE("     ","Equipment Rental                                  ")</f>
        <v xml:space="preserve">     Equipment Rental                                  </v>
      </c>
      <c r="C96" s="15"/>
      <c r="D96" s="2">
        <f>SUM(OSRRefD21_9x_0)</f>
        <v>1388.16</v>
      </c>
      <c r="E96" s="2">
        <f>SUM(OSRRefD21_9x_1)</f>
        <v>2303.73</v>
      </c>
      <c r="F96" s="2">
        <f>SUM(OSRRefD21_9x_2)</f>
        <v>1388.16</v>
      </c>
      <c r="G96" s="2">
        <f>SUM(OSRRefD21_9x_3)</f>
        <v>1531.35</v>
      </c>
      <c r="H96" s="2">
        <f>SUM(OSRRefD21_9x_4)</f>
        <v>1712.05</v>
      </c>
      <c r="I96" s="2">
        <f>SUM(OSRRefD21_9x_5)</f>
        <v>1537.07</v>
      </c>
      <c r="J96" s="2">
        <f>SUM(OSRRefD21_9x_6)</f>
        <v>1479.42</v>
      </c>
      <c r="K96" s="2">
        <f>SUM(OSRRefD21_9x_7)</f>
        <v>1388.16</v>
      </c>
      <c r="L96" s="2">
        <f>SUM(OSRRefD21_9x_8)</f>
        <v>1712.05</v>
      </c>
      <c r="M96" s="2">
        <f>SUM(OSRRefD21_9x_9)</f>
        <v>1388.16</v>
      </c>
      <c r="N96" s="2">
        <f>SUM(OSRRefE21_9x_0)</f>
        <v>1876</v>
      </c>
      <c r="O96" s="2">
        <f>SUM(OSRRefE21_9x_1)</f>
        <v>1876</v>
      </c>
      <c r="Q96" s="3">
        <f>SUM(OSRRefD20_9x)+IFERROR(SUM(OSRRefE20_9x),0)</f>
        <v>19580.309999999998</v>
      </c>
    </row>
    <row r="97" spans="1:17" s="42" customFormat="1" ht="15" hidden="1" customHeight="1" outlineLevel="1" x14ac:dyDescent="0.3">
      <c r="A97" s="34"/>
      <c r="B97" s="11" t="str">
        <f>CONCATENATE("          ","6351"," - ","EQUIPMENT RENTAL")</f>
        <v xml:space="preserve">          6351 - EQUIPMENT RENTAL</v>
      </c>
      <c r="C97" s="15"/>
      <c r="D97" s="3">
        <v>1388.16</v>
      </c>
      <c r="E97" s="3">
        <v>2303.73</v>
      </c>
      <c r="F97" s="3">
        <v>1388.16</v>
      </c>
      <c r="G97" s="3">
        <v>1531.35</v>
      </c>
      <c r="H97" s="3">
        <v>1712.05</v>
      </c>
      <c r="I97" s="3">
        <v>1537.07</v>
      </c>
      <c r="J97" s="3">
        <v>1479.42</v>
      </c>
      <c r="K97" s="3">
        <v>1388.16</v>
      </c>
      <c r="L97" s="3">
        <v>1712.05</v>
      </c>
      <c r="M97" s="3">
        <v>1388.16</v>
      </c>
      <c r="N97" s="3">
        <v>1876</v>
      </c>
      <c r="O97" s="3">
        <v>1876</v>
      </c>
      <c r="P97" s="10"/>
      <c r="Q97" s="3">
        <f>SUM(OSRRefD21_9_0x)+IFERROR(SUM(OSRRefE21_9_0x),0)</f>
        <v>19580.309999999998</v>
      </c>
    </row>
    <row r="98" spans="1:17" s="42" customFormat="1" ht="15" customHeight="1" collapsed="1" x14ac:dyDescent="0.3">
      <c r="A98" s="34"/>
      <c r="B98" s="15" t="str">
        <f>CONCATENATE("     ","Freight out/Postage                               ")</f>
        <v xml:space="preserve">     Freight out/Postage                               </v>
      </c>
      <c r="C98" s="15"/>
      <c r="D98" s="2">
        <f>SUM(OSRRefD21_10x_0)</f>
        <v>3589.6099999999997</v>
      </c>
      <c r="E98" s="2">
        <f>SUM(OSRRefD21_10x_1)</f>
        <v>-19372.54</v>
      </c>
      <c r="F98" s="2">
        <f>SUM(OSRRefD21_10x_2)</f>
        <v>3653.1299999999992</v>
      </c>
      <c r="G98" s="2">
        <f>SUM(OSRRefD21_10x_3)</f>
        <v>-23519.489999999998</v>
      </c>
      <c r="H98" s="2">
        <f>SUM(OSRRefD21_10x_4)</f>
        <v>5663.0599999999995</v>
      </c>
      <c r="I98" s="2">
        <f>SUM(OSRRefD21_10x_5)</f>
        <v>-2180.9800000000014</v>
      </c>
      <c r="J98" s="2">
        <f>SUM(OSRRefD21_10x_6)</f>
        <v>-7280.8900000000012</v>
      </c>
      <c r="K98" s="2">
        <f>SUM(OSRRefD21_10x_7)</f>
        <v>-7059.8099999999995</v>
      </c>
      <c r="L98" s="2">
        <f>SUM(OSRRefD21_10x_8)</f>
        <v>1779.17</v>
      </c>
      <c r="M98" s="2">
        <f>SUM(OSRRefD21_10x_9)</f>
        <v>750.14999999999964</v>
      </c>
      <c r="N98" s="2">
        <f>SUM(OSRRefE21_10x_0)</f>
        <v>-1850</v>
      </c>
      <c r="O98" s="2">
        <f>SUM(OSRRefE21_10x_1)</f>
        <v>-2350</v>
      </c>
      <c r="Q98" s="3">
        <f>SUM(OSRRefD20_10x)+IFERROR(SUM(OSRRefE20_10x),0)</f>
        <v>-48178.590000000004</v>
      </c>
    </row>
    <row r="99" spans="1:17" s="42" customFormat="1" ht="15" hidden="1" customHeight="1" outlineLevel="1" x14ac:dyDescent="0.3">
      <c r="A99" s="34"/>
      <c r="B99" s="11" t="str">
        <f>CONCATENATE("          ","6305"," - ","FREIGHT OUT")</f>
        <v xml:space="preserve">          6305 - FREIGHT OUT</v>
      </c>
      <c r="C99" s="15"/>
      <c r="D99" s="3">
        <v>10889.5</v>
      </c>
      <c r="E99" s="3">
        <v>4399.6499999999996</v>
      </c>
      <c r="F99" s="3">
        <v>13290.66</v>
      </c>
      <c r="G99" s="3">
        <v>26185.08</v>
      </c>
      <c r="H99" s="3">
        <v>11063.73</v>
      </c>
      <c r="I99" s="3">
        <v>12270.64</v>
      </c>
      <c r="J99" s="3">
        <v>16037.19</v>
      </c>
      <c r="K99" s="3">
        <v>7594.99</v>
      </c>
      <c r="L99" s="3">
        <v>10386.42</v>
      </c>
      <c r="M99" s="3">
        <v>14219.32</v>
      </c>
      <c r="N99" s="3">
        <v>2550</v>
      </c>
      <c r="O99" s="3">
        <v>2050</v>
      </c>
      <c r="P99" s="10"/>
      <c r="Q99" s="3">
        <f>SUM(OSRRefD21_10_0x)+IFERROR(SUM(OSRRefE21_10_0x),0)</f>
        <v>130937.18</v>
      </c>
    </row>
    <row r="100" spans="1:17" s="42" customFormat="1" ht="15" hidden="1" customHeight="1" outlineLevel="1" x14ac:dyDescent="0.3">
      <c r="A100" s="34"/>
      <c r="B100" s="11" t="str">
        <f>CONCATENATE("          ","6307"," - ","POSTAGE")</f>
        <v xml:space="preserve">          6307 - POSTAGE</v>
      </c>
      <c r="C100" s="15"/>
      <c r="D100" s="3">
        <v>-7299.89</v>
      </c>
      <c r="E100" s="3">
        <v>-23772.19</v>
      </c>
      <c r="F100" s="3">
        <v>-9637.5300000000007</v>
      </c>
      <c r="G100" s="3">
        <v>-49704.57</v>
      </c>
      <c r="H100" s="3">
        <v>-5400.67</v>
      </c>
      <c r="I100" s="3">
        <v>-14451.62</v>
      </c>
      <c r="J100" s="3">
        <v>-23318.080000000002</v>
      </c>
      <c r="K100" s="3">
        <v>-14654.8</v>
      </c>
      <c r="L100" s="3">
        <v>-8607.25</v>
      </c>
      <c r="M100" s="3">
        <v>-13469.17</v>
      </c>
      <c r="N100" s="3">
        <v>-4400</v>
      </c>
      <c r="O100" s="3">
        <v>-4400</v>
      </c>
      <c r="P100" s="10"/>
      <c r="Q100" s="3">
        <f>SUM(OSRRefD21_10_1x)+IFERROR(SUM(OSRRefE21_10_1x),0)</f>
        <v>-179115.77</v>
      </c>
    </row>
    <row r="101" spans="1:17" s="42" customFormat="1" ht="15" customHeight="1" collapsed="1" x14ac:dyDescent="0.3">
      <c r="A101" s="34"/>
      <c r="B101" s="15" t="str">
        <f>CONCATENATE("     ","General                                           ")</f>
        <v xml:space="preserve">     General                                           </v>
      </c>
      <c r="C101" s="15"/>
      <c r="D101" s="2">
        <f>SUM(OSRRefD21_11x_0)</f>
        <v>778</v>
      </c>
      <c r="E101" s="2">
        <f>SUM(OSRRefD21_11x_1)</f>
        <v>2609.29</v>
      </c>
      <c r="F101" s="2">
        <f>SUM(OSRRefD21_11x_2)</f>
        <v>91.31</v>
      </c>
      <c r="G101" s="2">
        <f>SUM(OSRRefD21_11x_3)</f>
        <v>327.5</v>
      </c>
      <c r="H101" s="2">
        <f>SUM(OSRRefD21_11x_4)</f>
        <v>1682.28</v>
      </c>
      <c r="I101" s="2">
        <f>SUM(OSRRefD21_11x_5)</f>
        <v>1434.19</v>
      </c>
      <c r="J101" s="2">
        <f>SUM(OSRRefD21_11x_6)</f>
        <v>758.88</v>
      </c>
      <c r="K101" s="2">
        <f>SUM(OSRRefD21_11x_7)</f>
        <v>1835.81</v>
      </c>
      <c r="L101" s="2">
        <f>SUM(OSRRefD21_11x_8)</f>
        <v>191.1</v>
      </c>
      <c r="M101" s="2">
        <f>SUM(OSRRefD21_11x_9)</f>
        <v>493.61</v>
      </c>
      <c r="N101" s="2">
        <f>SUM(OSRRefE21_11x_0)</f>
        <v>950</v>
      </c>
      <c r="O101" s="2">
        <f>SUM(OSRRefE21_11x_1)</f>
        <v>1200</v>
      </c>
      <c r="Q101" s="3">
        <f>SUM(OSRRefD20_11x)+IFERROR(SUM(OSRRefE20_11x),0)</f>
        <v>12351.970000000001</v>
      </c>
    </row>
    <row r="102" spans="1:17" s="42" customFormat="1" ht="15" hidden="1" customHeight="1" outlineLevel="1" x14ac:dyDescent="0.3">
      <c r="A102" s="34"/>
      <c r="B102" s="11" t="str">
        <f>CONCATENATE("          ","6279"," - ","GENERAL EXPENSE")</f>
        <v xml:space="preserve">          6279 - GENERAL EXPENSE</v>
      </c>
      <c r="C102" s="15"/>
      <c r="D102" s="3">
        <v>778</v>
      </c>
      <c r="E102" s="3">
        <v>2609.29</v>
      </c>
      <c r="F102" s="3">
        <v>91.31</v>
      </c>
      <c r="G102" s="3">
        <v>327.5</v>
      </c>
      <c r="H102" s="3">
        <v>1682.28</v>
      </c>
      <c r="I102" s="3">
        <v>1434.19</v>
      </c>
      <c r="J102" s="3">
        <v>758.88</v>
      </c>
      <c r="K102" s="3">
        <v>1835.81</v>
      </c>
      <c r="L102" s="3">
        <v>191.1</v>
      </c>
      <c r="M102" s="3">
        <v>493.61</v>
      </c>
      <c r="N102" s="3">
        <v>950</v>
      </c>
      <c r="O102" s="3">
        <v>1200</v>
      </c>
      <c r="P102" s="10"/>
      <c r="Q102" s="3">
        <f>SUM(OSRRefD21_11_0x)+IFERROR(SUM(OSRRefE21_11_0x),0)</f>
        <v>12351.970000000001</v>
      </c>
    </row>
    <row r="103" spans="1:17" s="42" customFormat="1" ht="15" customHeight="1" collapsed="1" x14ac:dyDescent="0.3">
      <c r="A103" s="34"/>
      <c r="B103" s="15" t="str">
        <f>CONCATENATE("     ","Insurance                                         ")</f>
        <v xml:space="preserve">     Insurance                                         </v>
      </c>
      <c r="C103" s="15"/>
      <c r="D103" s="2">
        <f>SUM(OSRRefD21_12x_0)</f>
        <v>5825.58</v>
      </c>
      <c r="E103" s="2">
        <f>SUM(OSRRefD21_12x_1)</f>
        <v>5825.58</v>
      </c>
      <c r="F103" s="2">
        <f>SUM(OSRRefD21_12x_2)</f>
        <v>5825.58</v>
      </c>
      <c r="G103" s="2">
        <f>SUM(OSRRefD21_12x_3)</f>
        <v>5825.58</v>
      </c>
      <c r="H103" s="2">
        <f>SUM(OSRRefD21_12x_4)</f>
        <v>5825.58</v>
      </c>
      <c r="I103" s="2">
        <f>SUM(OSRRefD21_12x_5)</f>
        <v>5825.58</v>
      </c>
      <c r="J103" s="2">
        <f>SUM(OSRRefD21_12x_6)</f>
        <v>5825.58</v>
      </c>
      <c r="K103" s="2">
        <f>SUM(OSRRefD21_12x_7)</f>
        <v>5825.58</v>
      </c>
      <c r="L103" s="2">
        <f>SUM(OSRRefD21_12x_8)</f>
        <v>5825.58</v>
      </c>
      <c r="M103" s="2">
        <f>SUM(OSRRefD21_12x_9)</f>
        <v>5825.58</v>
      </c>
      <c r="N103" s="2">
        <f>SUM(OSRRefE21_12x_0)</f>
        <v>5705</v>
      </c>
      <c r="O103" s="2">
        <f>SUM(OSRRefE21_12x_1)</f>
        <v>5705</v>
      </c>
      <c r="Q103" s="3">
        <f>SUM(OSRRefD20_12x)+IFERROR(SUM(OSRRefE20_12x),0)</f>
        <v>69665.800000000017</v>
      </c>
    </row>
    <row r="104" spans="1:17" s="42" customFormat="1" ht="15" hidden="1" customHeight="1" outlineLevel="1" x14ac:dyDescent="0.3">
      <c r="A104" s="34"/>
      <c r="B104" s="11" t="str">
        <f>CONCATENATE("          ","6314"," - ","LIABILITY INSURANCE")</f>
        <v xml:space="preserve">          6314 - LIABILITY INSURANCE</v>
      </c>
      <c r="C104" s="15"/>
      <c r="D104" s="3">
        <v>5825.58</v>
      </c>
      <c r="E104" s="3">
        <v>5825.58</v>
      </c>
      <c r="F104" s="3">
        <v>5825.58</v>
      </c>
      <c r="G104" s="3">
        <v>5825.58</v>
      </c>
      <c r="H104" s="3">
        <v>5825.58</v>
      </c>
      <c r="I104" s="3">
        <v>5825.58</v>
      </c>
      <c r="J104" s="3">
        <v>5825.58</v>
      </c>
      <c r="K104" s="3">
        <v>5825.58</v>
      </c>
      <c r="L104" s="3">
        <v>5825.58</v>
      </c>
      <c r="M104" s="3">
        <v>5825.58</v>
      </c>
      <c r="N104" s="3">
        <v>5705</v>
      </c>
      <c r="O104" s="3">
        <v>5705</v>
      </c>
      <c r="P104" s="10"/>
      <c r="Q104" s="3">
        <f>SUM(OSRRefD21_12_0x)+IFERROR(SUM(OSRRefE21_12_0x),0)</f>
        <v>69665.800000000017</v>
      </c>
    </row>
    <row r="105" spans="1:17" s="42" customFormat="1" ht="15" customHeight="1" collapsed="1" x14ac:dyDescent="0.3">
      <c r="A105" s="34"/>
      <c r="B105" s="15" t="str">
        <f>CONCATENATE("     ","Interest                                          ")</f>
        <v xml:space="preserve">     Interest                                          </v>
      </c>
      <c r="C105" s="15"/>
      <c r="D105" s="2">
        <f>SUM(OSRRefD21_13x_0)</f>
        <v>3905</v>
      </c>
      <c r="E105" s="2">
        <f>SUM(OSRRefD21_13x_1)</f>
        <v>3905</v>
      </c>
      <c r="F105" s="2">
        <f>SUM(OSRRefD21_13x_2)</f>
        <v>3905</v>
      </c>
      <c r="G105" s="2">
        <f>SUM(OSRRefD21_13x_3)</f>
        <v>3629</v>
      </c>
      <c r="H105" s="2">
        <f>SUM(OSRRefD21_13x_4)</f>
        <v>3905</v>
      </c>
      <c r="I105" s="2">
        <f>SUM(OSRRefD21_13x_5)</f>
        <v>3905</v>
      </c>
      <c r="J105" s="2">
        <f>SUM(OSRRefD21_13x_6)</f>
        <v>3905</v>
      </c>
      <c r="K105" s="2">
        <f>SUM(OSRRefD21_13x_7)</f>
        <v>3905</v>
      </c>
      <c r="L105" s="2">
        <f>SUM(OSRRefD21_13x_8)</f>
        <v>3905</v>
      </c>
      <c r="M105" s="2">
        <f>SUM(OSRRefD21_13x_9)</f>
        <v>3031</v>
      </c>
      <c r="N105" s="2">
        <f>SUM(OSRRefE21_13x_0)</f>
        <v>3760</v>
      </c>
      <c r="O105" s="2">
        <f>SUM(OSRRefE21_13x_1)</f>
        <v>3760</v>
      </c>
      <c r="Q105" s="3">
        <f>SUM(OSRRefD20_13x)+IFERROR(SUM(OSRRefE20_13x),0)</f>
        <v>45420</v>
      </c>
    </row>
    <row r="106" spans="1:17" s="42" customFormat="1" ht="15" hidden="1" customHeight="1" outlineLevel="1" x14ac:dyDescent="0.3">
      <c r="A106" s="34"/>
      <c r="B106" s="11" t="str">
        <f>CONCATENATE("          ","6401"," - ","INTEREST EXPENSE")</f>
        <v xml:space="preserve">          6401 - INTEREST EXPENSE</v>
      </c>
      <c r="C106" s="15"/>
      <c r="D106" s="3">
        <v>3905</v>
      </c>
      <c r="E106" s="3">
        <v>3905</v>
      </c>
      <c r="F106" s="3">
        <v>3905</v>
      </c>
      <c r="G106" s="3">
        <v>3629</v>
      </c>
      <c r="H106" s="3">
        <v>3905</v>
      </c>
      <c r="I106" s="3">
        <v>3905</v>
      </c>
      <c r="J106" s="3">
        <v>3905</v>
      </c>
      <c r="K106" s="3">
        <v>3905</v>
      </c>
      <c r="L106" s="3">
        <v>3905</v>
      </c>
      <c r="M106" s="3">
        <v>3031</v>
      </c>
      <c r="N106" s="3">
        <v>3760</v>
      </c>
      <c r="O106" s="3">
        <v>3760</v>
      </c>
      <c r="P106" s="10"/>
      <c r="Q106" s="3">
        <f>SUM(OSRRefD21_13_0x)+IFERROR(SUM(OSRRefE21_13_0x),0)</f>
        <v>45420</v>
      </c>
    </row>
    <row r="107" spans="1:17" s="42" customFormat="1" ht="15" customHeight="1" collapsed="1" x14ac:dyDescent="0.3">
      <c r="A107" s="34"/>
      <c r="B107" s="15" t="str">
        <f>CONCATENATE("     ","Inventory Adjustment                              ")</f>
        <v xml:space="preserve">     Inventory Adjustment                              </v>
      </c>
      <c r="C107" s="15"/>
      <c r="D107" s="2">
        <f>SUM(OSRRefD21_14x_0)</f>
        <v>5100</v>
      </c>
      <c r="E107" s="2">
        <f>SUM(OSRRefD21_14x_1)</f>
        <v>5100</v>
      </c>
      <c r="F107" s="2">
        <f>SUM(OSRRefD21_14x_2)</f>
        <v>5100</v>
      </c>
      <c r="G107" s="2">
        <f>SUM(OSRRefD21_14x_3)</f>
        <v>5100</v>
      </c>
      <c r="H107" s="2">
        <f>SUM(OSRRefD21_14x_4)</f>
        <v>5100</v>
      </c>
      <c r="I107" s="2">
        <f>SUM(OSRRefD21_14x_5)</f>
        <v>9100</v>
      </c>
      <c r="J107" s="2">
        <f>SUM(OSRRefD21_14x_6)</f>
        <v>5100</v>
      </c>
      <c r="K107" s="2">
        <f>SUM(OSRRefD21_14x_7)</f>
        <v>5100</v>
      </c>
      <c r="L107" s="2">
        <f>SUM(OSRRefD21_14x_8)</f>
        <v>5100</v>
      </c>
      <c r="M107" s="2">
        <f>SUM(OSRRefD21_14x_9)</f>
        <v>5100</v>
      </c>
      <c r="N107" s="2">
        <f>SUM(OSRRefE21_14x_0)</f>
        <v>5100</v>
      </c>
      <c r="O107" s="2">
        <f>SUM(OSRRefE21_14x_1)</f>
        <v>19100</v>
      </c>
      <c r="Q107" s="3">
        <f>SUM(OSRRefD20_14x)+IFERROR(SUM(OSRRefE20_14x),0)</f>
        <v>79200</v>
      </c>
    </row>
    <row r="108" spans="1:17" s="42" customFormat="1" ht="15" hidden="1" customHeight="1" outlineLevel="1" x14ac:dyDescent="0.3">
      <c r="A108" s="34"/>
      <c r="B108" s="11" t="str">
        <f>CONCATENATE("          ","6408"," - ","INVENTORY ADJUSTMENT")</f>
        <v xml:space="preserve">          6408 - INVENTORY ADJUSTMENT</v>
      </c>
      <c r="C108" s="15"/>
      <c r="D108" s="3">
        <v>5100</v>
      </c>
      <c r="E108" s="3">
        <v>5100</v>
      </c>
      <c r="F108" s="3">
        <v>5100</v>
      </c>
      <c r="G108" s="3">
        <v>5100</v>
      </c>
      <c r="H108" s="3">
        <v>5100</v>
      </c>
      <c r="I108" s="3">
        <v>9100</v>
      </c>
      <c r="J108" s="3">
        <v>5100</v>
      </c>
      <c r="K108" s="3">
        <v>5100</v>
      </c>
      <c r="L108" s="3">
        <v>5100</v>
      </c>
      <c r="M108" s="3">
        <v>5100</v>
      </c>
      <c r="N108" s="3">
        <v>5100</v>
      </c>
      <c r="O108" s="3">
        <v>19100</v>
      </c>
      <c r="P108" s="10"/>
      <c r="Q108" s="3">
        <f>SUM(OSRRefD21_14_0x)+IFERROR(SUM(OSRRefE21_14_0x),0)</f>
        <v>79200</v>
      </c>
    </row>
    <row r="109" spans="1:17" s="42" customFormat="1" ht="15" customHeight="1" collapsed="1" x14ac:dyDescent="0.3">
      <c r="A109" s="34"/>
      <c r="B109" s="15" t="str">
        <f>CONCATENATE("     ","Professional Services                             ")</f>
        <v xml:space="preserve">     Professional Services                             </v>
      </c>
      <c r="C109" s="15"/>
      <c r="D109" s="2">
        <f>SUM(OSRRefD21_15x_0)</f>
        <v>0</v>
      </c>
      <c r="E109" s="2">
        <f>SUM(OSRRefD21_15x_1)</f>
        <v>0</v>
      </c>
      <c r="F109" s="2">
        <f>SUM(OSRRefD21_15x_2)</f>
        <v>0</v>
      </c>
      <c r="G109" s="2">
        <f>SUM(OSRRefD21_15x_3)</f>
        <v>8186.53</v>
      </c>
      <c r="H109" s="2">
        <f>SUM(OSRRefD21_15x_4)</f>
        <v>0</v>
      </c>
      <c r="I109" s="2">
        <f>SUM(OSRRefD21_15x_5)</f>
        <v>0</v>
      </c>
      <c r="J109" s="2">
        <f>SUM(OSRRefD21_15x_6)</f>
        <v>0</v>
      </c>
      <c r="K109" s="2">
        <f>SUM(OSRRefD21_15x_7)</f>
        <v>390</v>
      </c>
      <c r="L109" s="2">
        <f>SUM(OSRRefD21_15x_8)</f>
        <v>1050</v>
      </c>
      <c r="M109" s="2">
        <f>SUM(OSRRefD21_15x_9)</f>
        <v>0</v>
      </c>
      <c r="N109" s="2">
        <f>SUM(OSRRefE21_15x_0)</f>
        <v>0</v>
      </c>
      <c r="O109" s="2">
        <f>SUM(OSRRefE21_15x_1)</f>
        <v>0</v>
      </c>
      <c r="Q109" s="3">
        <f>SUM(OSRRefD20_15x)+IFERROR(SUM(OSRRefE20_15x),0)</f>
        <v>9626.5299999999988</v>
      </c>
    </row>
    <row r="110" spans="1:17" s="42" customFormat="1" ht="15" hidden="1" customHeight="1" outlineLevel="1" x14ac:dyDescent="0.3">
      <c r="A110" s="34"/>
      <c r="B110" s="11" t="str">
        <f>CONCATENATE("          ","6336"," - ","PROFESSIONAL SERVICES")</f>
        <v xml:space="preserve">          6336 - PROFESSIONAL SERVICES</v>
      </c>
      <c r="C110" s="15"/>
      <c r="D110" s="3"/>
      <c r="E110" s="3"/>
      <c r="F110" s="3"/>
      <c r="G110" s="3">
        <v>8186.53</v>
      </c>
      <c r="H110" s="3"/>
      <c r="I110" s="3"/>
      <c r="J110" s="3"/>
      <c r="K110" s="3">
        <v>390</v>
      </c>
      <c r="L110" s="3">
        <v>1050</v>
      </c>
      <c r="M110" s="3"/>
      <c r="N110" s="3">
        <v>0</v>
      </c>
      <c r="O110" s="3">
        <v>0</v>
      </c>
      <c r="P110" s="10"/>
      <c r="Q110" s="3">
        <f>SUM(OSRRefD21_15_0x)+IFERROR(SUM(OSRRefE21_15_0x),0)</f>
        <v>9626.5299999999988</v>
      </c>
    </row>
    <row r="111" spans="1:17" s="42" customFormat="1" ht="15" customHeight="1" collapsed="1" x14ac:dyDescent="0.3">
      <c r="A111" s="34"/>
      <c r="B111" s="15" t="str">
        <f>CONCATENATE("     ","Rent                                              ")</f>
        <v xml:space="preserve">     Rent                                              </v>
      </c>
      <c r="C111" s="15"/>
      <c r="D111" s="2">
        <f>SUM(OSRRefD21_16x_0)</f>
        <v>6100</v>
      </c>
      <c r="E111" s="2">
        <f>SUM(OSRRefD21_16x_1)</f>
        <v>6100</v>
      </c>
      <c r="F111" s="2">
        <f>SUM(OSRRefD21_16x_2)</f>
        <v>6100</v>
      </c>
      <c r="G111" s="2">
        <f>SUM(OSRRefD21_16x_3)</f>
        <v>6100</v>
      </c>
      <c r="H111" s="2">
        <f>SUM(OSRRefD21_16x_4)</f>
        <v>6100</v>
      </c>
      <c r="I111" s="2">
        <f>SUM(OSRRefD21_16x_5)</f>
        <v>6100</v>
      </c>
      <c r="J111" s="2">
        <f>SUM(OSRRefD21_16x_6)</f>
        <v>6100</v>
      </c>
      <c r="K111" s="2">
        <f>SUM(OSRRefD21_16x_7)</f>
        <v>6100</v>
      </c>
      <c r="L111" s="2">
        <f>SUM(OSRRefD21_16x_8)</f>
        <v>6100</v>
      </c>
      <c r="M111" s="2">
        <f>SUM(OSRRefD21_16x_9)</f>
        <v>6100</v>
      </c>
      <c r="N111" s="2">
        <f>SUM(OSRRefE21_16x_0)</f>
        <v>6100</v>
      </c>
      <c r="O111" s="2">
        <f>SUM(OSRRefE21_16x_1)</f>
        <v>6100</v>
      </c>
      <c r="Q111" s="3">
        <f>SUM(OSRRefD20_16x)+IFERROR(SUM(OSRRefE20_16x),0)</f>
        <v>73200</v>
      </c>
    </row>
    <row r="112" spans="1:17" s="42" customFormat="1" ht="15" hidden="1" customHeight="1" outlineLevel="1" x14ac:dyDescent="0.3">
      <c r="A112" s="34"/>
      <c r="B112" s="11" t="str">
        <f>CONCATENATE("          ","6273"," - ","RENT")</f>
        <v xml:space="preserve">          6273 - RENT</v>
      </c>
      <c r="C112" s="15"/>
      <c r="D112" s="3">
        <v>6100</v>
      </c>
      <c r="E112" s="3">
        <v>6100</v>
      </c>
      <c r="F112" s="3">
        <v>6100</v>
      </c>
      <c r="G112" s="3">
        <v>6100</v>
      </c>
      <c r="H112" s="3">
        <v>6100</v>
      </c>
      <c r="I112" s="3">
        <v>6100</v>
      </c>
      <c r="J112" s="3">
        <v>6100</v>
      </c>
      <c r="K112" s="3">
        <v>6100</v>
      </c>
      <c r="L112" s="3">
        <v>6100</v>
      </c>
      <c r="M112" s="3">
        <v>6100</v>
      </c>
      <c r="N112" s="3">
        <v>6100</v>
      </c>
      <c r="O112" s="3">
        <v>6100</v>
      </c>
      <c r="P112" s="10"/>
      <c r="Q112" s="3">
        <f>SUM(OSRRefD21_16_0x)+IFERROR(SUM(OSRRefE21_16_0x),0)</f>
        <v>73200</v>
      </c>
    </row>
    <row r="113" spans="1:17" s="42" customFormat="1" ht="15" customHeight="1" collapsed="1" x14ac:dyDescent="0.3">
      <c r="A113" s="34"/>
      <c r="B113" s="15" t="str">
        <f>CONCATENATE("     ","Repair and Maintenance                            ")</f>
        <v xml:space="preserve">     Repair and Maintenance                            </v>
      </c>
      <c r="C113" s="15"/>
      <c r="D113" s="2">
        <f>SUM(OSRRefD21_17x_0)</f>
        <v>64762.729999999996</v>
      </c>
      <c r="E113" s="2">
        <f>SUM(OSRRefD21_17x_1)</f>
        <v>9987.32</v>
      </c>
      <c r="F113" s="2">
        <f>SUM(OSRRefD21_17x_2)</f>
        <v>4464.9399999999996</v>
      </c>
      <c r="G113" s="2">
        <f>SUM(OSRRefD21_17x_3)</f>
        <v>12607.279999999999</v>
      </c>
      <c r="H113" s="2">
        <f>SUM(OSRRefD21_17x_4)</f>
        <v>1338.03</v>
      </c>
      <c r="I113" s="2">
        <f>SUM(OSRRefD21_17x_5)</f>
        <v>7625.57</v>
      </c>
      <c r="J113" s="2">
        <f>SUM(OSRRefD21_17x_6)</f>
        <v>11947.7</v>
      </c>
      <c r="K113" s="2">
        <f>SUM(OSRRefD21_17x_7)</f>
        <v>8747.14</v>
      </c>
      <c r="L113" s="2">
        <f>SUM(OSRRefD21_17x_8)</f>
        <v>15532.49</v>
      </c>
      <c r="M113" s="2">
        <f>SUM(OSRRefD21_17x_9)</f>
        <v>6655.6500000000005</v>
      </c>
      <c r="N113" s="2">
        <f>SUM(OSRRefE21_17x_0)</f>
        <v>10860</v>
      </c>
      <c r="O113" s="2">
        <f>SUM(OSRRefE21_17x_1)</f>
        <v>10960</v>
      </c>
      <c r="Q113" s="3">
        <f>SUM(OSRRefD20_17x)+IFERROR(SUM(OSRRefE20_17x),0)</f>
        <v>165488.84999999998</v>
      </c>
    </row>
    <row r="114" spans="1:17" s="42" customFormat="1" ht="15" hidden="1" customHeight="1" outlineLevel="1" x14ac:dyDescent="0.3">
      <c r="A114" s="34"/>
      <c r="B114" s="11" t="str">
        <f>CONCATENATE("          ","6371"," - ","COMPUTER SOFTWARE MAINTENANCE")</f>
        <v xml:space="preserve">          6371 - COMPUTER SOFTWARE MAINTENANCE</v>
      </c>
      <c r="C114" s="15"/>
      <c r="D114" s="3">
        <v>59623.5</v>
      </c>
      <c r="E114" s="3">
        <v>0</v>
      </c>
      <c r="F114" s="3"/>
      <c r="G114" s="3">
        <v>2887.5</v>
      </c>
      <c r="H114" s="3"/>
      <c r="I114" s="3"/>
      <c r="J114" s="3"/>
      <c r="K114" s="3"/>
      <c r="L114" s="3"/>
      <c r="M114" s="3"/>
      <c r="N114" s="3">
        <v>1000</v>
      </c>
      <c r="O114" s="3">
        <v>1000</v>
      </c>
      <c r="P114" s="10"/>
      <c r="Q114" s="3">
        <f>SUM(OSRRefD21_17_0x)+IFERROR(SUM(OSRRefE21_17_0x),0)</f>
        <v>64511</v>
      </c>
    </row>
    <row r="115" spans="1:17" s="42" customFormat="1" ht="15" hidden="1" customHeight="1" outlineLevel="1" x14ac:dyDescent="0.3">
      <c r="A115" s="34"/>
      <c r="B115" s="11" t="str">
        <f>CONCATENATE("          ","6372"," - ","COMPUTER HARDWARE MAINTENANCE")</f>
        <v xml:space="preserve">          6372 - COMPUTER HARDWARE MAINTENANCE</v>
      </c>
      <c r="C115" s="15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>
        <v>3750</v>
      </c>
      <c r="O115" s="3">
        <v>3750</v>
      </c>
      <c r="P115" s="10"/>
      <c r="Q115" s="3">
        <f>SUM(OSRRefD21_17_1x)+IFERROR(SUM(OSRRefE21_17_1x),0)</f>
        <v>7500</v>
      </c>
    </row>
    <row r="116" spans="1:17" s="42" customFormat="1" ht="15" hidden="1" customHeight="1" outlineLevel="1" x14ac:dyDescent="0.3">
      <c r="A116" s="34"/>
      <c r="B116" s="11" t="str">
        <f>CONCATENATE("          ","6373"," - ","MAINTENANCE CONTRACTS")</f>
        <v xml:space="preserve">          6373 - MAINTENANCE CONTRACTS</v>
      </c>
      <c r="C116" s="15"/>
      <c r="D116" s="3">
        <v>654.63</v>
      </c>
      <c r="E116" s="3">
        <v>6010.42</v>
      </c>
      <c r="F116" s="3">
        <v>1642.34</v>
      </c>
      <c r="G116" s="3">
        <v>3962.92</v>
      </c>
      <c r="H116" s="3">
        <v>179.27</v>
      </c>
      <c r="I116" s="3">
        <v>2850.59</v>
      </c>
      <c r="J116" s="3">
        <v>1512.02</v>
      </c>
      <c r="K116" s="3">
        <v>1904.31</v>
      </c>
      <c r="L116" s="3">
        <v>3884.22</v>
      </c>
      <c r="M116" s="3">
        <v>800.18</v>
      </c>
      <c r="N116" s="3">
        <v>5855</v>
      </c>
      <c r="O116" s="3">
        <v>5955</v>
      </c>
      <c r="P116" s="10"/>
      <c r="Q116" s="3">
        <f>SUM(OSRRefD21_17_2x)+IFERROR(SUM(OSRRefE21_17_2x),0)</f>
        <v>35210.9</v>
      </c>
    </row>
    <row r="117" spans="1:17" s="42" customFormat="1" ht="15" hidden="1" customHeight="1" outlineLevel="1" x14ac:dyDescent="0.3">
      <c r="A117" s="34"/>
      <c r="B117" s="11" t="str">
        <f>CONCATENATE("          ","6375"," - ","OUTSIDE REPAIRS &amp; MAINTENANCE")</f>
        <v xml:space="preserve">          6375 - OUTSIDE REPAIRS &amp; MAINTENANCE</v>
      </c>
      <c r="C117" s="15"/>
      <c r="D117" s="3">
        <v>4484.6000000000004</v>
      </c>
      <c r="E117" s="3">
        <v>3976.9</v>
      </c>
      <c r="F117" s="3">
        <v>2822.6</v>
      </c>
      <c r="G117" s="3">
        <v>5756.86</v>
      </c>
      <c r="H117" s="3">
        <v>1158.76</v>
      </c>
      <c r="I117" s="3">
        <v>4774.9799999999996</v>
      </c>
      <c r="J117" s="3">
        <v>10435.68</v>
      </c>
      <c r="K117" s="3">
        <v>6842.83</v>
      </c>
      <c r="L117" s="3">
        <v>11648.27</v>
      </c>
      <c r="M117" s="3">
        <v>5855.47</v>
      </c>
      <c r="N117" s="3">
        <v>255</v>
      </c>
      <c r="O117" s="3">
        <v>255</v>
      </c>
      <c r="P117" s="10"/>
      <c r="Q117" s="3">
        <f>SUM(OSRRefD21_17_3x)+IFERROR(SUM(OSRRefE21_17_3x),0)</f>
        <v>58266.95</v>
      </c>
    </row>
    <row r="118" spans="1:17" s="42" customFormat="1" ht="15" customHeight="1" collapsed="1" x14ac:dyDescent="0.3">
      <c r="A118" s="34"/>
      <c r="B118" s="15" t="str">
        <f>CONCATENATE("     ","Royalty &amp; Commissions                             ")</f>
        <v xml:space="preserve">     Royalty &amp; Commissions                             </v>
      </c>
      <c r="C118" s="15"/>
      <c r="D118" s="2">
        <f>SUM(OSRRefD21_18x_0)</f>
        <v>7355.1000000000013</v>
      </c>
      <c r="E118" s="2">
        <f>SUM(OSRRefD21_18x_1)</f>
        <v>601.89</v>
      </c>
      <c r="F118" s="2">
        <f>SUM(OSRRefD21_18x_2)</f>
        <v>1174.22</v>
      </c>
      <c r="G118" s="2">
        <f>SUM(OSRRefD21_18x_3)</f>
        <v>10709.72</v>
      </c>
      <c r="H118" s="2">
        <f>SUM(OSRRefD21_18x_4)</f>
        <v>784.77</v>
      </c>
      <c r="I118" s="2">
        <f>SUM(OSRRefD21_18x_5)</f>
        <v>1121.23</v>
      </c>
      <c r="J118" s="2">
        <f>SUM(OSRRefD21_18x_6)</f>
        <v>23704.5</v>
      </c>
      <c r="K118" s="2">
        <f>SUM(OSRRefD21_18x_7)</f>
        <v>4782.3600000000006</v>
      </c>
      <c r="L118" s="2">
        <f>SUM(OSRRefD21_18x_8)</f>
        <v>2502.14</v>
      </c>
      <c r="M118" s="2">
        <f>SUM(OSRRefD21_18x_9)</f>
        <v>33254.11</v>
      </c>
      <c r="N118" s="2">
        <f>SUM(OSRRefE21_18x_0)</f>
        <v>10895</v>
      </c>
      <c r="O118" s="2">
        <f>SUM(OSRRefE21_18x_1)</f>
        <v>10158</v>
      </c>
      <c r="Q118" s="3">
        <f>SUM(OSRRefD20_18x)+IFERROR(SUM(OSRRefE20_18x),0)</f>
        <v>107043.04000000001</v>
      </c>
    </row>
    <row r="119" spans="1:17" s="42" customFormat="1" ht="15" hidden="1" customHeight="1" outlineLevel="1" x14ac:dyDescent="0.3">
      <c r="A119" s="34"/>
      <c r="B119" s="11" t="str">
        <f>CONCATENATE("          ","6252"," - ","ROYALTY DUE CSTV")</f>
        <v xml:space="preserve">          6252 - ROYALTY DUE CSTV</v>
      </c>
      <c r="C119" s="15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>
        <v>2156</v>
      </c>
      <c r="O119" s="3">
        <v>3322</v>
      </c>
      <c r="P119" s="10"/>
      <c r="Q119" s="3">
        <f>SUM(OSRRefD21_18_0x)+IFERROR(SUM(OSRRefE21_18_0x),0)</f>
        <v>5478</v>
      </c>
    </row>
    <row r="120" spans="1:17" s="42" customFormat="1" ht="15" hidden="1" customHeight="1" outlineLevel="1" x14ac:dyDescent="0.3">
      <c r="A120" s="34"/>
      <c r="B120" s="11" t="str">
        <f>CONCATENATE("          ","6253"," - ","ROYALTY DUE ATHLETICS-LRG")</f>
        <v xml:space="preserve">          6253 - ROYALTY DUE ATHLETICS-LRG</v>
      </c>
      <c r="C120" s="15"/>
      <c r="D120" s="3">
        <v>14376.54</v>
      </c>
      <c r="E120" s="3"/>
      <c r="F120" s="3"/>
      <c r="G120" s="3">
        <v>8783.75</v>
      </c>
      <c r="H120" s="3"/>
      <c r="I120" s="3"/>
      <c r="J120" s="3">
        <v>16060.87</v>
      </c>
      <c r="K120" s="3"/>
      <c r="L120" s="3"/>
      <c r="M120" s="3">
        <v>15944.33</v>
      </c>
      <c r="N120" s="3">
        <v>0</v>
      </c>
      <c r="O120" s="3">
        <v>0</v>
      </c>
      <c r="P120" s="10"/>
      <c r="Q120" s="3">
        <f>SUM(OSRRefD21_18_1x)+IFERROR(SUM(OSRRefE21_18_1x),0)</f>
        <v>55165.490000000005</v>
      </c>
    </row>
    <row r="121" spans="1:17" s="42" customFormat="1" ht="15" hidden="1" customHeight="1" outlineLevel="1" x14ac:dyDescent="0.3">
      <c r="A121" s="34"/>
      <c r="B121" s="11" t="str">
        <f>CONCATENATE("          ","6254"," - ","ROYALTY &amp; COMMISSIONS")</f>
        <v xml:space="preserve">          6254 - ROYALTY &amp; COMMISSIONS</v>
      </c>
      <c r="C121" s="15"/>
      <c r="D121" s="3">
        <v>-7027.5</v>
      </c>
      <c r="E121" s="3"/>
      <c r="F121" s="3"/>
      <c r="G121" s="3"/>
      <c r="H121" s="3"/>
      <c r="I121" s="3">
        <v>0</v>
      </c>
      <c r="J121" s="3">
        <v>7389.19</v>
      </c>
      <c r="K121" s="3">
        <v>3147.46</v>
      </c>
      <c r="L121" s="3"/>
      <c r="M121" s="3">
        <v>15264.75</v>
      </c>
      <c r="N121" s="3">
        <v>1000</v>
      </c>
      <c r="O121" s="3">
        <v>0</v>
      </c>
      <c r="P121" s="10"/>
      <c r="Q121" s="3">
        <f>SUM(OSRRefD21_18_2x)+IFERROR(SUM(OSRRefE21_18_2x),0)</f>
        <v>19773.900000000001</v>
      </c>
    </row>
    <row r="122" spans="1:17" s="42" customFormat="1" ht="15" hidden="1" customHeight="1" outlineLevel="1" x14ac:dyDescent="0.3">
      <c r="A122" s="34"/>
      <c r="B122" s="11" t="str">
        <f>CONCATENATE("          ","6259"," - ","ROYALTY &amp; COMMISSIONS")</f>
        <v xml:space="preserve">          6259 - ROYALTY &amp; COMMISSIONS</v>
      </c>
      <c r="C122" s="15"/>
      <c r="D122" s="3">
        <v>6.06</v>
      </c>
      <c r="E122" s="3">
        <v>601.89</v>
      </c>
      <c r="F122" s="3">
        <v>1174.22</v>
      </c>
      <c r="G122" s="3">
        <v>1925.97</v>
      </c>
      <c r="H122" s="3">
        <v>784.77</v>
      </c>
      <c r="I122" s="3">
        <v>1121.23</v>
      </c>
      <c r="J122" s="3">
        <v>254.44</v>
      </c>
      <c r="K122" s="3">
        <v>1634.9</v>
      </c>
      <c r="L122" s="3">
        <v>2502.14</v>
      </c>
      <c r="M122" s="3">
        <v>2045.03</v>
      </c>
      <c r="N122" s="3">
        <v>7739</v>
      </c>
      <c r="O122" s="3">
        <v>6836</v>
      </c>
      <c r="P122" s="10"/>
      <c r="Q122" s="3">
        <f>SUM(OSRRefD21_18_3x)+IFERROR(SUM(OSRRefE21_18_3x),0)</f>
        <v>26625.65</v>
      </c>
    </row>
    <row r="123" spans="1:17" s="42" customFormat="1" ht="15" customHeight="1" collapsed="1" x14ac:dyDescent="0.3">
      <c r="A123" s="34"/>
      <c r="B123" s="15" t="str">
        <f>CONCATENATE("     ","Services                                          ")</f>
        <v xml:space="preserve">     Services                                          </v>
      </c>
      <c r="C123" s="15"/>
      <c r="D123" s="2">
        <f>SUM(OSRRefD21_19x_0)</f>
        <v>4158.17</v>
      </c>
      <c r="E123" s="2">
        <f>SUM(OSRRefD21_19x_1)</f>
        <v>20734.62</v>
      </c>
      <c r="F123" s="2">
        <f>SUM(OSRRefD21_19x_2)</f>
        <v>4679.8399999999992</v>
      </c>
      <c r="G123" s="2">
        <f>SUM(OSRRefD21_19x_3)</f>
        <v>5834.37</v>
      </c>
      <c r="H123" s="2">
        <f>SUM(OSRRefD21_19x_4)</f>
        <v>4925.1099999999997</v>
      </c>
      <c r="I123" s="2">
        <f>SUM(OSRRefD21_19x_5)</f>
        <v>5257.82</v>
      </c>
      <c r="J123" s="2">
        <f>SUM(OSRRefD21_19x_6)</f>
        <v>4723.32</v>
      </c>
      <c r="K123" s="2">
        <f>SUM(OSRRefD21_19x_7)</f>
        <v>7613.38</v>
      </c>
      <c r="L123" s="2">
        <f>SUM(OSRRefD21_19x_8)</f>
        <v>5470.0199999999995</v>
      </c>
      <c r="M123" s="2">
        <f>SUM(OSRRefD21_19x_9)</f>
        <v>5530.91</v>
      </c>
      <c r="N123" s="2">
        <f>SUM(OSRRefE21_19x_0)</f>
        <v>4652</v>
      </c>
      <c r="O123" s="2">
        <f>SUM(OSRRefE21_19x_1)</f>
        <v>4712</v>
      </c>
      <c r="Q123" s="3">
        <f>SUM(OSRRefD20_19x)+IFERROR(SUM(OSRRefE20_19x),0)</f>
        <v>78291.56</v>
      </c>
    </row>
    <row r="124" spans="1:17" s="42" customFormat="1" ht="15" hidden="1" customHeight="1" outlineLevel="1" x14ac:dyDescent="0.3">
      <c r="A124" s="34"/>
      <c r="B124" s="11" t="str">
        <f>CONCATENATE("          ","6282"," - ","JANITORIAL/EXTERMINATOR EXPENS")</f>
        <v xml:space="preserve">          6282 - JANITORIAL/EXTERMINATOR EXPENS</v>
      </c>
      <c r="C124" s="15"/>
      <c r="D124" s="3">
        <v>151.85</v>
      </c>
      <c r="E124" s="3">
        <v>611.25</v>
      </c>
      <c r="F124" s="3">
        <v>1004.82</v>
      </c>
      <c r="G124" s="3">
        <v>1241.76</v>
      </c>
      <c r="H124" s="3">
        <v>449.25</v>
      </c>
      <c r="I124" s="3">
        <v>587.25</v>
      </c>
      <c r="J124" s="3">
        <v>220.85</v>
      </c>
      <c r="K124" s="3">
        <v>670.55</v>
      </c>
      <c r="L124" s="3">
        <v>787.9</v>
      </c>
      <c r="M124" s="3">
        <v>861</v>
      </c>
      <c r="N124" s="3">
        <v>4558</v>
      </c>
      <c r="O124" s="3">
        <v>4558</v>
      </c>
      <c r="P124" s="10"/>
      <c r="Q124" s="3">
        <f>SUM(OSRRefD21_19_0x)+IFERROR(SUM(OSRRefE21_19_0x),0)</f>
        <v>15702.48</v>
      </c>
    </row>
    <row r="125" spans="1:17" s="42" customFormat="1" ht="15" hidden="1" customHeight="1" outlineLevel="1" x14ac:dyDescent="0.3">
      <c r="A125" s="34"/>
      <c r="B125" s="11" t="str">
        <f>CONCATENATE("          ","6284"," - ","TRASH REMOVAL EXPENSE")</f>
        <v xml:space="preserve">          6284 - TRASH REMOVAL EXPENSE</v>
      </c>
      <c r="C125" s="15"/>
      <c r="D125" s="3">
        <v>142.57</v>
      </c>
      <c r="E125" s="3">
        <v>149.69999999999999</v>
      </c>
      <c r="F125" s="3">
        <v>149.69999999999999</v>
      </c>
      <c r="G125" s="3">
        <v>149.69999999999999</v>
      </c>
      <c r="H125" s="3">
        <v>149.69999999999999</v>
      </c>
      <c r="I125" s="3">
        <v>149.69999999999999</v>
      </c>
      <c r="J125" s="3">
        <v>149.69999999999999</v>
      </c>
      <c r="K125" s="3">
        <v>149.69999999999999</v>
      </c>
      <c r="L125" s="3">
        <v>149.69999999999999</v>
      </c>
      <c r="M125" s="3"/>
      <c r="N125" s="3">
        <v>60</v>
      </c>
      <c r="O125" s="3">
        <v>120</v>
      </c>
      <c r="P125" s="10"/>
      <c r="Q125" s="3">
        <f>SUM(OSRRefD21_19_1x)+IFERROR(SUM(OSRRefE21_19_1x),0)</f>
        <v>1520.17</v>
      </c>
    </row>
    <row r="126" spans="1:17" s="42" customFormat="1" ht="15" hidden="1" customHeight="1" outlineLevel="1" x14ac:dyDescent="0.3">
      <c r="A126" s="34"/>
      <c r="B126" s="11" t="str">
        <f>CONCATENATE("          ","6285"," - ","JANITORIAL SERVICES")</f>
        <v xml:space="preserve">          6285 - JANITORIAL SERVICES</v>
      </c>
      <c r="C126" s="15"/>
      <c r="D126" s="3">
        <v>3863.75</v>
      </c>
      <c r="E126" s="3">
        <v>19921.73</v>
      </c>
      <c r="F126" s="3">
        <v>3473.38</v>
      </c>
      <c r="G126" s="3">
        <v>4339.03</v>
      </c>
      <c r="H126" s="3">
        <v>4222.28</v>
      </c>
      <c r="I126" s="3">
        <v>4406.71</v>
      </c>
      <c r="J126" s="3">
        <v>4238.6099999999997</v>
      </c>
      <c r="K126" s="3">
        <v>6736.05</v>
      </c>
      <c r="L126" s="3">
        <v>4337.13</v>
      </c>
      <c r="M126" s="3">
        <v>4407.4799999999996</v>
      </c>
      <c r="N126" s="3"/>
      <c r="O126" s="3"/>
      <c r="P126" s="10"/>
      <c r="Q126" s="3">
        <f>SUM(OSRRefD21_19_2x)+IFERROR(SUM(OSRRefE21_19_2x),0)</f>
        <v>59946.149999999994</v>
      </c>
    </row>
    <row r="127" spans="1:17" s="42" customFormat="1" ht="15" hidden="1" customHeight="1" outlineLevel="1" x14ac:dyDescent="0.3">
      <c r="A127" s="34"/>
      <c r="B127" s="11" t="str">
        <f>CONCATENATE("          ","6286"," - ","LAUNDRY EXPENSE")</f>
        <v xml:space="preserve">          6286 - LAUNDRY EXPENSE</v>
      </c>
      <c r="C127" s="15"/>
      <c r="D127" s="3"/>
      <c r="E127" s="3">
        <v>51.94</v>
      </c>
      <c r="F127" s="3">
        <v>51.94</v>
      </c>
      <c r="G127" s="3">
        <v>103.88</v>
      </c>
      <c r="H127" s="3">
        <v>103.88</v>
      </c>
      <c r="I127" s="3">
        <v>114.16</v>
      </c>
      <c r="J127" s="3">
        <v>114.16</v>
      </c>
      <c r="K127" s="3">
        <v>57.08</v>
      </c>
      <c r="L127" s="3">
        <v>195.29</v>
      </c>
      <c r="M127" s="3">
        <v>262.43</v>
      </c>
      <c r="N127" s="3">
        <v>34</v>
      </c>
      <c r="O127" s="3">
        <v>34</v>
      </c>
      <c r="P127" s="10"/>
      <c r="Q127" s="3">
        <f>SUM(OSRRefD21_19_3x)+IFERROR(SUM(OSRRefE21_19_3x),0)</f>
        <v>1122.76</v>
      </c>
    </row>
    <row r="128" spans="1:17" s="42" customFormat="1" ht="15" customHeight="1" collapsed="1" x14ac:dyDescent="0.3">
      <c r="A128" s="34"/>
      <c r="B128" s="15" t="str">
        <f>CONCATENATE("     ","Subscriptions &amp; Dues                              ")</f>
        <v xml:space="preserve">     Subscriptions &amp; Dues                              </v>
      </c>
      <c r="C128" s="15"/>
      <c r="D128" s="2">
        <f>SUM(OSRRefD21_20x_0)</f>
        <v>68.319999999999993</v>
      </c>
      <c r="E128" s="2">
        <f>SUM(OSRRefD21_20x_1)</f>
        <v>57</v>
      </c>
      <c r="F128" s="2">
        <f>SUM(OSRRefD21_20x_2)</f>
        <v>-72.56</v>
      </c>
      <c r="G128" s="2">
        <f>SUM(OSRRefD21_20x_3)</f>
        <v>904.08</v>
      </c>
      <c r="H128" s="2">
        <f>SUM(OSRRefD21_20x_4)</f>
        <v>148.66</v>
      </c>
      <c r="I128" s="2">
        <f>SUM(OSRRefD21_20x_5)</f>
        <v>286.24</v>
      </c>
      <c r="J128" s="2">
        <f>SUM(OSRRefD21_20x_6)</f>
        <v>301.99</v>
      </c>
      <c r="K128" s="2">
        <f>SUM(OSRRefD21_20x_7)</f>
        <v>176.99</v>
      </c>
      <c r="L128" s="2">
        <f>SUM(OSRRefD21_20x_8)</f>
        <v>606.92999999999995</v>
      </c>
      <c r="M128" s="2">
        <f>SUM(OSRRefD21_20x_9)</f>
        <v>2418.29</v>
      </c>
      <c r="N128" s="2">
        <f>SUM(OSRRefE21_20x_0)</f>
        <v>481</v>
      </c>
      <c r="O128" s="2">
        <f>SUM(OSRRefE21_20x_1)</f>
        <v>661</v>
      </c>
      <c r="Q128" s="3">
        <f>SUM(OSRRefD20_20x)+IFERROR(SUM(OSRRefE20_20x),0)</f>
        <v>6037.9400000000005</v>
      </c>
    </row>
    <row r="129" spans="1:17" s="42" customFormat="1" ht="15" hidden="1" customHeight="1" outlineLevel="1" x14ac:dyDescent="0.3">
      <c r="A129" s="34"/>
      <c r="B129" s="11" t="str">
        <f>CONCATENATE("          ","6258"," - ","MEMBERSHIP DUES")</f>
        <v xml:space="preserve">          6258 - MEMBERSHIP DUES</v>
      </c>
      <c r="C129" s="15"/>
      <c r="D129" s="3">
        <v>68.319999999999993</v>
      </c>
      <c r="E129" s="3">
        <v>57</v>
      </c>
      <c r="F129" s="3">
        <v>-72.56</v>
      </c>
      <c r="G129" s="3">
        <v>904.08</v>
      </c>
      <c r="H129" s="3">
        <v>148.66</v>
      </c>
      <c r="I129" s="3">
        <v>286.24</v>
      </c>
      <c r="J129" s="3">
        <v>301.99</v>
      </c>
      <c r="K129" s="3">
        <v>176.99</v>
      </c>
      <c r="L129" s="3">
        <v>606.92999999999995</v>
      </c>
      <c r="M129" s="3">
        <v>510.65</v>
      </c>
      <c r="N129" s="3">
        <v>300</v>
      </c>
      <c r="O129" s="3">
        <v>500</v>
      </c>
      <c r="P129" s="10"/>
      <c r="Q129" s="3">
        <f>SUM(OSRRefD21_20_0x)+IFERROR(SUM(OSRRefE21_20_0x),0)</f>
        <v>3788.3</v>
      </c>
    </row>
    <row r="130" spans="1:17" s="42" customFormat="1" ht="15" hidden="1" customHeight="1" outlineLevel="1" x14ac:dyDescent="0.3">
      <c r="A130" s="34"/>
      <c r="B130" s="11" t="str">
        <f>CONCATENATE("          ","6275"," - ","SUBSCRIPTIONS")</f>
        <v xml:space="preserve">          6275 - SUBSCRIPTIONS</v>
      </c>
      <c r="C130" s="15"/>
      <c r="D130" s="3"/>
      <c r="E130" s="3"/>
      <c r="F130" s="3"/>
      <c r="G130" s="3"/>
      <c r="H130" s="3"/>
      <c r="I130" s="3"/>
      <c r="J130" s="3"/>
      <c r="K130" s="3"/>
      <c r="L130" s="3"/>
      <c r="M130" s="3">
        <v>1907.64</v>
      </c>
      <c r="N130" s="3">
        <v>181</v>
      </c>
      <c r="O130" s="3">
        <v>161</v>
      </c>
      <c r="P130" s="10"/>
      <c r="Q130" s="3">
        <f>SUM(OSRRefD21_20_1x)+IFERROR(SUM(OSRRefE21_20_1x),0)</f>
        <v>2249.6400000000003</v>
      </c>
    </row>
    <row r="131" spans="1:17" s="42" customFormat="1" ht="15" customHeight="1" collapsed="1" x14ac:dyDescent="0.3">
      <c r="A131" s="34"/>
      <c r="B131" s="15" t="str">
        <f>CONCATENATE("     ","Supplies                                          ")</f>
        <v xml:space="preserve">     Supplies                                          </v>
      </c>
      <c r="C131" s="15"/>
      <c r="D131" s="2">
        <f>SUM(OSRRefD21_21x_0)</f>
        <v>7198.6</v>
      </c>
      <c r="E131" s="2">
        <f>SUM(OSRRefD21_21x_1)</f>
        <v>15878.81</v>
      </c>
      <c r="F131" s="2">
        <f>SUM(OSRRefD21_21x_2)</f>
        <v>5529.02</v>
      </c>
      <c r="G131" s="2">
        <f>SUM(OSRRefD21_21x_3)</f>
        <v>13688.72</v>
      </c>
      <c r="H131" s="2">
        <f>SUM(OSRRefD21_21x_4)</f>
        <v>7026.06</v>
      </c>
      <c r="I131" s="2">
        <f>SUM(OSRRefD21_21x_5)</f>
        <v>6159.8700000000008</v>
      </c>
      <c r="J131" s="2">
        <f>SUM(OSRRefD21_21x_6)</f>
        <v>4259.04</v>
      </c>
      <c r="K131" s="2">
        <f>SUM(OSRRefD21_21x_7)</f>
        <v>20882.080000000002</v>
      </c>
      <c r="L131" s="2">
        <f>SUM(OSRRefD21_21x_8)</f>
        <v>12138.36</v>
      </c>
      <c r="M131" s="2">
        <f>SUM(OSRRefD21_21x_9)</f>
        <v>10705.91</v>
      </c>
      <c r="N131" s="2">
        <f>SUM(OSRRefE21_21x_0)</f>
        <v>13620</v>
      </c>
      <c r="O131" s="2">
        <f>SUM(OSRRefE21_21x_1)</f>
        <v>8130</v>
      </c>
      <c r="Q131" s="3">
        <f>SUM(OSRRefD20_21x)+IFERROR(SUM(OSRRefE20_21x),0)</f>
        <v>125216.47000000002</v>
      </c>
    </row>
    <row r="132" spans="1:17" s="42" customFormat="1" ht="15" hidden="1" customHeight="1" outlineLevel="1" x14ac:dyDescent="0.3">
      <c r="A132" s="34"/>
      <c r="B132" s="11" t="str">
        <f>CONCATENATE("          ","6234"," - ","EXPENDABLE SUPPLIES &amp; EQUIPMEN")</f>
        <v xml:space="preserve">          6234 - EXPENDABLE SUPPLIES &amp; EQUIPMEN</v>
      </c>
      <c r="C132" s="15"/>
      <c r="D132" s="3"/>
      <c r="E132" s="3"/>
      <c r="F132" s="3"/>
      <c r="G132" s="3">
        <v>3737.3</v>
      </c>
      <c r="H132" s="3">
        <v>2747.16</v>
      </c>
      <c r="I132" s="3"/>
      <c r="J132" s="3"/>
      <c r="K132" s="3"/>
      <c r="L132" s="3"/>
      <c r="M132" s="3">
        <v>4993.3100000000004</v>
      </c>
      <c r="N132" s="3">
        <v>350</v>
      </c>
      <c r="O132" s="3">
        <v>350</v>
      </c>
      <c r="P132" s="10"/>
      <c r="Q132" s="3">
        <f>SUM(OSRRefD21_21_0x)+IFERROR(SUM(OSRRefE21_21_0x),0)</f>
        <v>12177.77</v>
      </c>
    </row>
    <row r="133" spans="1:17" s="42" customFormat="1" ht="15" hidden="1" customHeight="1" outlineLevel="1" x14ac:dyDescent="0.3">
      <c r="A133" s="34"/>
      <c r="B133" s="11" t="str">
        <f>CONCATENATE("          ","6235"," - ","COVID-19 EXPENSES")</f>
        <v xml:space="preserve">          6235 - COVID-19 EXPENSES</v>
      </c>
      <c r="C133" s="15"/>
      <c r="D133" s="3">
        <v>272.22000000000003</v>
      </c>
      <c r="E133" s="3">
        <v>2695.61</v>
      </c>
      <c r="F133" s="3">
        <v>462.49</v>
      </c>
      <c r="G133" s="3"/>
      <c r="H133" s="3"/>
      <c r="I133" s="3"/>
      <c r="J133" s="3"/>
      <c r="K133" s="3"/>
      <c r="L133" s="3">
        <v>71.45</v>
      </c>
      <c r="M133" s="3"/>
      <c r="N133" s="3">
        <v>125</v>
      </c>
      <c r="O133" s="3">
        <v>125</v>
      </c>
      <c r="P133" s="10"/>
      <c r="Q133" s="3">
        <f>SUM(OSRRefD21_21_1x)+IFERROR(SUM(OSRRefE21_21_1x),0)</f>
        <v>3751.7699999999995</v>
      </c>
    </row>
    <row r="134" spans="1:17" s="42" customFormat="1" ht="15" hidden="1" customHeight="1" outlineLevel="1" x14ac:dyDescent="0.3">
      <c r="A134" s="34"/>
      <c r="B134" s="11" t="str">
        <f>CONCATENATE("          ","6237"," - ","JANITORIAL SUPPLIES")</f>
        <v xml:space="preserve">          6237 - JANITORIAL SUPPLIES</v>
      </c>
      <c r="C134" s="15"/>
      <c r="D134" s="3">
        <v>655.97</v>
      </c>
      <c r="E134" s="3">
        <v>1577.68</v>
      </c>
      <c r="F134" s="3">
        <v>366.22</v>
      </c>
      <c r="G134" s="3">
        <v>1303.78</v>
      </c>
      <c r="H134" s="3">
        <v>489.67</v>
      </c>
      <c r="I134" s="3">
        <v>76.540000000000006</v>
      </c>
      <c r="J134" s="3">
        <v>716.54</v>
      </c>
      <c r="K134" s="3">
        <v>31.68</v>
      </c>
      <c r="L134" s="3">
        <v>459.77</v>
      </c>
      <c r="M134" s="3">
        <v>1456.86</v>
      </c>
      <c r="N134" s="3">
        <v>50</v>
      </c>
      <c r="O134" s="3">
        <v>10</v>
      </c>
      <c r="P134" s="10"/>
      <c r="Q134" s="3">
        <f>SUM(OSRRefD21_21_2x)+IFERROR(SUM(OSRRefE21_21_2x),0)</f>
        <v>7194.71</v>
      </c>
    </row>
    <row r="135" spans="1:17" s="42" customFormat="1" ht="15" hidden="1" customHeight="1" outlineLevel="1" x14ac:dyDescent="0.3">
      <c r="A135" s="34"/>
      <c r="B135" s="11" t="str">
        <f>CONCATENATE("          ","6241"," - ","OFFICE EXPENSE")</f>
        <v xml:space="preserve">          6241 - OFFICE EXPENSE</v>
      </c>
      <c r="C135" s="15"/>
      <c r="D135" s="3">
        <v>518.65</v>
      </c>
      <c r="E135" s="3">
        <v>5376.83</v>
      </c>
      <c r="F135" s="3">
        <v>278.41000000000003</v>
      </c>
      <c r="G135" s="3">
        <v>1032.81</v>
      </c>
      <c r="H135" s="3">
        <v>512.19000000000005</v>
      </c>
      <c r="I135" s="3">
        <v>892.08</v>
      </c>
      <c r="J135" s="3">
        <v>617.54</v>
      </c>
      <c r="K135" s="3">
        <v>4103.2700000000004</v>
      </c>
      <c r="L135" s="3">
        <v>1862.82</v>
      </c>
      <c r="M135" s="3">
        <v>2289.85</v>
      </c>
      <c r="N135" s="3">
        <v>470</v>
      </c>
      <c r="O135" s="3">
        <v>420</v>
      </c>
      <c r="P135" s="10"/>
      <c r="Q135" s="3">
        <f>SUM(OSRRefD21_21_3x)+IFERROR(SUM(OSRRefE21_21_3x),0)</f>
        <v>18374.449999999997</v>
      </c>
    </row>
    <row r="136" spans="1:17" s="42" customFormat="1" ht="15" hidden="1" customHeight="1" outlineLevel="1" x14ac:dyDescent="0.3">
      <c r="A136" s="34"/>
      <c r="B136" s="11" t="str">
        <f>CONCATENATE("          ","6243"," - ","PAPER SUPPLIES")</f>
        <v xml:space="preserve">          6243 - PAPER SUPPLIES</v>
      </c>
      <c r="C136" s="15"/>
      <c r="D136" s="3">
        <v>1649.24</v>
      </c>
      <c r="E136" s="3">
        <v>1801.68</v>
      </c>
      <c r="F136" s="3"/>
      <c r="G136" s="3">
        <v>735.87</v>
      </c>
      <c r="H136" s="3">
        <v>284.11</v>
      </c>
      <c r="I136" s="3"/>
      <c r="J136" s="3">
        <v>122.72</v>
      </c>
      <c r="K136" s="3">
        <v>1072.69</v>
      </c>
      <c r="L136" s="3">
        <v>1213.21</v>
      </c>
      <c r="M136" s="3">
        <v>410.22</v>
      </c>
      <c r="N136" s="3">
        <v>3000</v>
      </c>
      <c r="O136" s="3">
        <v>1450</v>
      </c>
      <c r="P136" s="10"/>
      <c r="Q136" s="3">
        <f>SUM(OSRRefD21_21_4x)+IFERROR(SUM(OSRRefE21_21_4x),0)</f>
        <v>11739.74</v>
      </c>
    </row>
    <row r="137" spans="1:17" s="42" customFormat="1" ht="15" hidden="1" customHeight="1" outlineLevel="1" x14ac:dyDescent="0.3">
      <c r="A137" s="34"/>
      <c r="B137" s="11" t="str">
        <f>CONCATENATE("          ","6245"," - ","PRINTING")</f>
        <v xml:space="preserve">          6245 - PRINTING</v>
      </c>
      <c r="C137" s="15"/>
      <c r="D137" s="3">
        <v>251.64</v>
      </c>
      <c r="E137" s="3">
        <v>-851.82</v>
      </c>
      <c r="F137" s="3">
        <v>276.43</v>
      </c>
      <c r="G137" s="3">
        <v>296.68</v>
      </c>
      <c r="H137" s="3">
        <v>1092.56</v>
      </c>
      <c r="I137" s="3">
        <v>1046.49</v>
      </c>
      <c r="J137" s="3">
        <v>689.76</v>
      </c>
      <c r="K137" s="3">
        <v>502.78</v>
      </c>
      <c r="L137" s="3">
        <v>3682</v>
      </c>
      <c r="M137" s="3">
        <v>-45.84</v>
      </c>
      <c r="N137" s="3">
        <v>2300</v>
      </c>
      <c r="O137" s="3">
        <v>50</v>
      </c>
      <c r="P137" s="10"/>
      <c r="Q137" s="3">
        <f>SUM(OSRRefD21_21_5x)+IFERROR(SUM(OSRRefE21_21_5x),0)</f>
        <v>9290.68</v>
      </c>
    </row>
    <row r="138" spans="1:17" s="42" customFormat="1" ht="15" hidden="1" customHeight="1" outlineLevel="1" x14ac:dyDescent="0.3">
      <c r="A138" s="34"/>
      <c r="B138" s="11" t="str">
        <f>CONCATENATE("          ","6247"," - ","STORE SUPPLIES")</f>
        <v xml:space="preserve">          6247 - STORE SUPPLIES</v>
      </c>
      <c r="C138" s="15"/>
      <c r="D138" s="3">
        <v>3850.88</v>
      </c>
      <c r="E138" s="3">
        <v>5278.83</v>
      </c>
      <c r="F138" s="3">
        <v>4145.47</v>
      </c>
      <c r="G138" s="3">
        <v>6582.28</v>
      </c>
      <c r="H138" s="3">
        <v>1900.37</v>
      </c>
      <c r="I138" s="3">
        <v>4144.76</v>
      </c>
      <c r="J138" s="3">
        <v>2112.48</v>
      </c>
      <c r="K138" s="3">
        <v>15171.66</v>
      </c>
      <c r="L138" s="3">
        <v>4849.1099999999997</v>
      </c>
      <c r="M138" s="3">
        <v>1601.51</v>
      </c>
      <c r="N138" s="3">
        <v>7325</v>
      </c>
      <c r="O138" s="3">
        <v>5725</v>
      </c>
      <c r="P138" s="10"/>
      <c r="Q138" s="3">
        <f>SUM(OSRRefD21_21_6x)+IFERROR(SUM(OSRRefE21_21_6x),0)</f>
        <v>62687.35</v>
      </c>
    </row>
    <row r="139" spans="1:17" s="42" customFormat="1" ht="15" customHeight="1" collapsed="1" x14ac:dyDescent="0.3">
      <c r="A139" s="34"/>
      <c r="B139" s="15" t="str">
        <f>CONCATENATE("     ","Telephone/Data Lines                              ")</f>
        <v xml:space="preserve">     Telephone/Data Lines                              </v>
      </c>
      <c r="C139" s="15"/>
      <c r="D139" s="2">
        <f>SUM(OSRRefD21_22x_0)</f>
        <v>1687.24</v>
      </c>
      <c r="E139" s="2">
        <f>SUM(OSRRefD21_22x_1)</f>
        <v>2274.39</v>
      </c>
      <c r="F139" s="2">
        <f>SUM(OSRRefD21_22x_2)</f>
        <v>1901.69</v>
      </c>
      <c r="G139" s="2">
        <f>SUM(OSRRefD21_22x_3)</f>
        <v>2257.39</v>
      </c>
      <c r="H139" s="2">
        <f>SUM(OSRRefD21_22x_4)</f>
        <v>1923.64</v>
      </c>
      <c r="I139" s="2">
        <f>SUM(OSRRefD21_22x_5)</f>
        <v>1769.01</v>
      </c>
      <c r="J139" s="2">
        <f>SUM(OSRRefD21_22x_6)</f>
        <v>1945.23</v>
      </c>
      <c r="K139" s="2">
        <f>SUM(OSRRefD21_22x_7)</f>
        <v>1861.64</v>
      </c>
      <c r="L139" s="2">
        <f>SUM(OSRRefD21_22x_8)</f>
        <v>1917.19</v>
      </c>
      <c r="M139" s="2">
        <f>SUM(OSRRefD21_22x_9)</f>
        <v>2606.94</v>
      </c>
      <c r="N139" s="2">
        <f>SUM(OSRRefE21_22x_0)</f>
        <v>1913</v>
      </c>
      <c r="O139" s="2">
        <f>SUM(OSRRefE21_22x_1)</f>
        <v>1913</v>
      </c>
      <c r="Q139" s="3">
        <f>SUM(OSRRefD20_22x)+IFERROR(SUM(OSRRefE20_22x),0)</f>
        <v>23970.359999999997</v>
      </c>
    </row>
    <row r="140" spans="1:17" s="42" customFormat="1" ht="15" hidden="1" customHeight="1" outlineLevel="1" x14ac:dyDescent="0.3">
      <c r="A140" s="34"/>
      <c r="B140" s="11" t="str">
        <f>CONCATENATE("          ","6303"," - ","DATA PHONE LINES")</f>
        <v xml:space="preserve">          6303 - DATA PHONE LINES</v>
      </c>
      <c r="C140" s="15"/>
      <c r="D140" s="3">
        <v>295</v>
      </c>
      <c r="E140" s="3"/>
      <c r="F140" s="3"/>
      <c r="G140" s="3"/>
      <c r="H140" s="3"/>
      <c r="I140" s="3"/>
      <c r="J140" s="3"/>
      <c r="K140" s="3"/>
      <c r="L140" s="3"/>
      <c r="M140" s="3"/>
      <c r="N140" s="3">
        <v>50</v>
      </c>
      <c r="O140" s="3">
        <v>50</v>
      </c>
      <c r="P140" s="10"/>
      <c r="Q140" s="3">
        <f>SUM(OSRRefD21_22_0x)+IFERROR(SUM(OSRRefE21_22_0x),0)</f>
        <v>395</v>
      </c>
    </row>
    <row r="141" spans="1:17" s="42" customFormat="1" ht="15" hidden="1" customHeight="1" outlineLevel="1" x14ac:dyDescent="0.3">
      <c r="A141" s="34"/>
      <c r="B141" s="11" t="str">
        <f>CONCATENATE("          ","6309"," - ","TELEPHONE")</f>
        <v xml:space="preserve">          6309 - TELEPHONE</v>
      </c>
      <c r="C141" s="15"/>
      <c r="D141" s="3">
        <v>1392.24</v>
      </c>
      <c r="E141" s="3">
        <v>2274.39</v>
      </c>
      <c r="F141" s="3">
        <v>1901.69</v>
      </c>
      <c r="G141" s="3">
        <v>2257.39</v>
      </c>
      <c r="H141" s="3">
        <v>1923.64</v>
      </c>
      <c r="I141" s="3">
        <v>1769.01</v>
      </c>
      <c r="J141" s="3">
        <v>1945.23</v>
      </c>
      <c r="K141" s="3">
        <v>1861.64</v>
      </c>
      <c r="L141" s="3">
        <v>1917.19</v>
      </c>
      <c r="M141" s="3">
        <v>2606.94</v>
      </c>
      <c r="N141" s="3">
        <v>1863</v>
      </c>
      <c r="O141" s="3">
        <v>1863</v>
      </c>
      <c r="P141" s="10"/>
      <c r="Q141" s="3">
        <f>SUM(OSRRefD21_22_1x)+IFERROR(SUM(OSRRefE21_22_1x),0)</f>
        <v>23575.359999999997</v>
      </c>
    </row>
    <row r="142" spans="1:17" s="42" customFormat="1" ht="15" customHeight="1" collapsed="1" x14ac:dyDescent="0.3">
      <c r="A142" s="34"/>
      <c r="B142" s="15" t="str">
        <f>CONCATENATE("     ","Training                                          ")</f>
        <v xml:space="preserve">     Training                                          </v>
      </c>
      <c r="C142" s="15"/>
      <c r="D142" s="2">
        <f>SUM(OSRRefD21_23x_0)</f>
        <v>0</v>
      </c>
      <c r="E142" s="2">
        <f>SUM(OSRRefD21_23x_1)</f>
        <v>0</v>
      </c>
      <c r="F142" s="2">
        <f>SUM(OSRRefD21_23x_2)</f>
        <v>595</v>
      </c>
      <c r="G142" s="2">
        <f>SUM(OSRRefD21_23x_3)</f>
        <v>0</v>
      </c>
      <c r="H142" s="2">
        <f>SUM(OSRRefD21_23x_4)</f>
        <v>0</v>
      </c>
      <c r="I142" s="2">
        <f>SUM(OSRRefD21_23x_5)</f>
        <v>0</v>
      </c>
      <c r="J142" s="2">
        <f>SUM(OSRRefD21_23x_6)</f>
        <v>0</v>
      </c>
      <c r="K142" s="2">
        <f>SUM(OSRRefD21_23x_7)</f>
        <v>620</v>
      </c>
      <c r="L142" s="2">
        <f>SUM(OSRRefD21_23x_8)</f>
        <v>199</v>
      </c>
      <c r="M142" s="2">
        <f>SUM(OSRRefD21_23x_9)</f>
        <v>125</v>
      </c>
      <c r="N142" s="2">
        <f>SUM(OSRRefE21_23x_0)</f>
        <v>0</v>
      </c>
      <c r="O142" s="2">
        <f>SUM(OSRRefE21_23x_1)</f>
        <v>0</v>
      </c>
      <c r="Q142" s="3">
        <f>SUM(OSRRefD20_23x)+IFERROR(SUM(OSRRefE20_23x),0)</f>
        <v>1539</v>
      </c>
    </row>
    <row r="143" spans="1:17" s="42" customFormat="1" ht="15" hidden="1" customHeight="1" outlineLevel="1" x14ac:dyDescent="0.3">
      <c r="A143" s="34"/>
      <c r="B143" s="11" t="str">
        <f>CONCATENATE("          ","6376"," - ","TRAINING")</f>
        <v xml:space="preserve">          6376 - TRAINING</v>
      </c>
      <c r="C143" s="15"/>
      <c r="D143" s="3"/>
      <c r="E143" s="3"/>
      <c r="F143" s="3">
        <v>595</v>
      </c>
      <c r="G143" s="3"/>
      <c r="H143" s="3"/>
      <c r="I143" s="3"/>
      <c r="J143" s="3"/>
      <c r="K143" s="3">
        <v>620</v>
      </c>
      <c r="L143" s="3">
        <v>199</v>
      </c>
      <c r="M143" s="3">
        <v>125</v>
      </c>
      <c r="N143" s="3">
        <v>0</v>
      </c>
      <c r="O143" s="3"/>
      <c r="P143" s="10"/>
      <c r="Q143" s="3">
        <f>SUM(OSRRefD21_23_0x)+IFERROR(SUM(OSRRefE21_23_0x),0)</f>
        <v>1539</v>
      </c>
    </row>
    <row r="144" spans="1:17" s="42" customFormat="1" ht="15" customHeight="1" collapsed="1" x14ac:dyDescent="0.3">
      <c r="A144" s="34"/>
      <c r="B144" s="15" t="str">
        <f>CONCATENATE("     ","Travel                                            ")</f>
        <v xml:space="preserve">     Travel                                            </v>
      </c>
      <c r="C144" s="15"/>
      <c r="D144" s="2">
        <f>SUM(OSRRefD21_24x_0)</f>
        <v>683.14</v>
      </c>
      <c r="E144" s="2">
        <f>SUM(OSRRefD21_24x_1)</f>
        <v>0</v>
      </c>
      <c r="F144" s="2">
        <f>SUM(OSRRefD21_24x_2)</f>
        <v>27.39</v>
      </c>
      <c r="G144" s="2">
        <f>SUM(OSRRefD21_24x_3)</f>
        <v>50</v>
      </c>
      <c r="H144" s="2">
        <f>SUM(OSRRefD21_24x_4)</f>
        <v>97.08</v>
      </c>
      <c r="I144" s="2">
        <f>SUM(OSRRefD21_24x_5)</f>
        <v>24.4</v>
      </c>
      <c r="J144" s="2">
        <f>SUM(OSRRefD21_24x_6)</f>
        <v>0</v>
      </c>
      <c r="K144" s="2">
        <f>SUM(OSRRefD21_24x_7)</f>
        <v>206.75</v>
      </c>
      <c r="L144" s="2">
        <f>SUM(OSRRefD21_24x_8)</f>
        <v>46.81</v>
      </c>
      <c r="M144" s="2">
        <f>SUM(OSRRefD21_24x_9)</f>
        <v>149.41</v>
      </c>
      <c r="N144" s="2">
        <f>SUM(OSRRefE21_24x_0)</f>
        <v>175</v>
      </c>
      <c r="O144" s="2">
        <f>SUM(OSRRefE21_24x_1)</f>
        <v>175</v>
      </c>
      <c r="Q144" s="3">
        <f>SUM(OSRRefD20_24x)+IFERROR(SUM(OSRRefE20_24x),0)</f>
        <v>1634.98</v>
      </c>
    </row>
    <row r="145" spans="1:17" s="42" customFormat="1" ht="15" hidden="1" customHeight="1" outlineLevel="1" x14ac:dyDescent="0.3">
      <c r="A145" s="34"/>
      <c r="B145" s="11" t="str">
        <f>CONCATENATE("          ","6292"," - ","TRAVEL/CONFERENCE")</f>
        <v xml:space="preserve">          6292 - TRAVEL/CONFERENCE</v>
      </c>
      <c r="C145" s="15"/>
      <c r="D145" s="3">
        <v>495</v>
      </c>
      <c r="E145" s="3"/>
      <c r="F145" s="3"/>
      <c r="G145" s="3"/>
      <c r="H145" s="3"/>
      <c r="I145" s="3"/>
      <c r="J145" s="3"/>
      <c r="K145" s="3"/>
      <c r="L145" s="3"/>
      <c r="M145" s="3"/>
      <c r="N145" s="3">
        <v>125</v>
      </c>
      <c r="O145" s="3">
        <v>125</v>
      </c>
      <c r="P145" s="10"/>
      <c r="Q145" s="3">
        <f>SUM(OSRRefD21_24_0x)+IFERROR(SUM(OSRRefE21_24_0x),0)</f>
        <v>745</v>
      </c>
    </row>
    <row r="146" spans="1:17" s="42" customFormat="1" ht="15" hidden="1" customHeight="1" outlineLevel="1" x14ac:dyDescent="0.3">
      <c r="A146" s="34"/>
      <c r="B146" s="11" t="str">
        <f>CONCATENATE("          ","6294"," - ","TRAVEL OPERATIONAL")</f>
        <v xml:space="preserve">          6294 - TRAVEL OPERATIONAL</v>
      </c>
      <c r="C146" s="15"/>
      <c r="D146" s="3">
        <v>188.14</v>
      </c>
      <c r="E146" s="3"/>
      <c r="F146" s="3">
        <v>27.39</v>
      </c>
      <c r="G146" s="3"/>
      <c r="H146" s="3"/>
      <c r="I146" s="3">
        <v>24.4</v>
      </c>
      <c r="J146" s="3"/>
      <c r="K146" s="3">
        <v>116.74</v>
      </c>
      <c r="L146" s="3">
        <v>46.81</v>
      </c>
      <c r="M146" s="3"/>
      <c r="N146" s="3">
        <v>25</v>
      </c>
      <c r="O146" s="3">
        <v>25</v>
      </c>
      <c r="P146" s="10"/>
      <c r="Q146" s="3">
        <f>SUM(OSRRefD21_24_1x)+IFERROR(SUM(OSRRefE21_24_1x),0)</f>
        <v>453.47999999999996</v>
      </c>
    </row>
    <row r="147" spans="1:17" s="42" customFormat="1" ht="15" hidden="1" customHeight="1" outlineLevel="1" x14ac:dyDescent="0.3">
      <c r="A147" s="34"/>
      <c r="B147" s="11" t="str">
        <f>CONCATENATE("          ","6298"," - ","VEHICLE MILEAGE")</f>
        <v xml:space="preserve">          6298 - VEHICLE MILEAGE</v>
      </c>
      <c r="C147" s="15"/>
      <c r="D147" s="3"/>
      <c r="E147" s="3"/>
      <c r="F147" s="3"/>
      <c r="G147" s="3">
        <v>50</v>
      </c>
      <c r="H147" s="3">
        <v>97.08</v>
      </c>
      <c r="I147" s="3"/>
      <c r="J147" s="3"/>
      <c r="K147" s="3">
        <v>90.01</v>
      </c>
      <c r="L147" s="3"/>
      <c r="M147" s="3">
        <v>149.41</v>
      </c>
      <c r="N147" s="3">
        <v>25</v>
      </c>
      <c r="O147" s="3">
        <v>25</v>
      </c>
      <c r="P147" s="10"/>
      <c r="Q147" s="3">
        <f>SUM(OSRRefD21_24_2x)+IFERROR(SUM(OSRRefE21_24_2x),0)</f>
        <v>436.5</v>
      </c>
    </row>
    <row r="148" spans="1:17" s="42" customFormat="1" ht="15" customHeight="1" collapsed="1" x14ac:dyDescent="0.3">
      <c r="A148" s="34"/>
      <c r="B148" s="15" t="str">
        <f>CONCATENATE("     ","Utilities                                         ")</f>
        <v xml:space="preserve">     Utilities                                         </v>
      </c>
      <c r="C148" s="15"/>
      <c r="D148" s="2">
        <f>SUM(OSRRefD21_25x_0)</f>
        <v>6136.49</v>
      </c>
      <c r="E148" s="2">
        <f>SUM(OSRRefD21_25x_1)</f>
        <v>6137.29</v>
      </c>
      <c r="F148" s="2">
        <f>SUM(OSRRefD21_25x_2)</f>
        <v>6137.6</v>
      </c>
      <c r="G148" s="2">
        <f>SUM(OSRRefD21_25x_3)</f>
        <v>6138.6</v>
      </c>
      <c r="H148" s="2">
        <f>SUM(OSRRefD21_25x_4)</f>
        <v>6133.61</v>
      </c>
      <c r="I148" s="2">
        <f>SUM(OSRRefD21_25x_5)</f>
        <v>162.91999999999999</v>
      </c>
      <c r="J148" s="2">
        <f>SUM(OSRRefD21_25x_6)</f>
        <v>6392.91</v>
      </c>
      <c r="K148" s="2">
        <f>SUM(OSRRefD21_25x_7)</f>
        <v>6455.65</v>
      </c>
      <c r="L148" s="2">
        <f>SUM(OSRRefD21_25x_8)</f>
        <v>6237.83</v>
      </c>
      <c r="M148" s="2">
        <f>SUM(OSRRefD21_25x_9)</f>
        <v>6354.32</v>
      </c>
      <c r="N148" s="2">
        <f>SUM(OSRRefE21_25x_0)</f>
        <v>6120</v>
      </c>
      <c r="O148" s="2">
        <f>SUM(OSRRefE21_25x_1)</f>
        <v>6120</v>
      </c>
      <c r="Q148" s="3">
        <f>SUM(OSRRefD20_25x)+IFERROR(SUM(OSRRefE20_25x),0)</f>
        <v>68527.22</v>
      </c>
    </row>
    <row r="149" spans="1:17" s="42" customFormat="1" ht="15" hidden="1" customHeight="1" outlineLevel="1" x14ac:dyDescent="0.3">
      <c r="A149" s="34"/>
      <c r="B149" s="11" t="str">
        <f>CONCATENATE("          ","6274"," - ","UTILITIES")</f>
        <v xml:space="preserve">          6274 - UTILITIES</v>
      </c>
      <c r="C149" s="15"/>
      <c r="D149" s="3">
        <v>6136.49</v>
      </c>
      <c r="E149" s="3">
        <v>6137.29</v>
      </c>
      <c r="F149" s="3">
        <v>6137.6</v>
      </c>
      <c r="G149" s="3">
        <v>6138.6</v>
      </c>
      <c r="H149" s="3">
        <v>6133.61</v>
      </c>
      <c r="I149" s="3">
        <v>162.91999999999999</v>
      </c>
      <c r="J149" s="3">
        <v>6392.91</v>
      </c>
      <c r="K149" s="3">
        <v>6455.65</v>
      </c>
      <c r="L149" s="3">
        <v>6237.83</v>
      </c>
      <c r="M149" s="3">
        <v>6354.32</v>
      </c>
      <c r="N149" s="3">
        <v>6120</v>
      </c>
      <c r="O149" s="3">
        <v>6120</v>
      </c>
      <c r="P149" s="10"/>
      <c r="Q149" s="3">
        <f>SUM(OSRRefD21_25_0x)+IFERROR(SUM(OSRRefE21_25_0x),0)</f>
        <v>68527.22</v>
      </c>
    </row>
    <row r="150" spans="1:17" s="40" customFormat="1" ht="15" customHeight="1" x14ac:dyDescent="0.3">
      <c r="A150" s="22"/>
      <c r="B150" s="22"/>
      <c r="C150" s="2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Q150" s="2"/>
    </row>
    <row r="151" spans="1:17" s="39" customFormat="1" ht="15" customHeight="1" x14ac:dyDescent="0.3">
      <c r="A151" s="24"/>
      <c r="B151" s="17" t="s">
        <v>287</v>
      </c>
      <c r="C151" s="23"/>
      <c r="D151" s="4">
        <f>--39640.85</f>
        <v>39640.85</v>
      </c>
      <c r="E151" s="4">
        <f>--144356.09</f>
        <v>144356.09</v>
      </c>
      <c r="F151" s="4">
        <f>--178854.34</f>
        <v>178854.34</v>
      </c>
      <c r="G151" s="4">
        <f>--38787.7</f>
        <v>38787.699999999997</v>
      </c>
      <c r="H151" s="4">
        <f>--54598.81</f>
        <v>54598.81</v>
      </c>
      <c r="I151" s="4">
        <f>--13670.93</f>
        <v>13670.93</v>
      </c>
      <c r="J151" s="4">
        <f>--45989.7</f>
        <v>45989.7</v>
      </c>
      <c r="K151" s="4">
        <f>--212140.38</f>
        <v>212140.38</v>
      </c>
      <c r="L151" s="4">
        <f>--182868.54</f>
        <v>182868.54</v>
      </c>
      <c r="M151" s="4">
        <f>--55053.77</f>
        <v>55053.77</v>
      </c>
      <c r="N151" s="4">
        <v>302754</v>
      </c>
      <c r="O151" s="4">
        <v>219676</v>
      </c>
      <c r="Q151" s="3">
        <f>SUM(OSRRefD23_0x)+IFERROR(SUM(OSRRefE23_0x),0)</f>
        <v>1488391.11</v>
      </c>
    </row>
    <row r="152" spans="1:17" ht="15" customHeight="1" x14ac:dyDescent="0.3">
      <c r="A152" s="6"/>
      <c r="B152" s="7"/>
      <c r="C152" s="7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Q152" s="4"/>
    </row>
    <row r="153" spans="1:17" s="37" customFormat="1" ht="15" customHeight="1" x14ac:dyDescent="0.3">
      <c r="A153" s="7"/>
      <c r="B153" s="18" t="s">
        <v>288</v>
      </c>
      <c r="C153" s="18"/>
      <c r="D153" s="9">
        <f t="shared" ref="D153:O153" si="2">IFERROR(+D54-D57+D151,0)</f>
        <v>-242642.59999999989</v>
      </c>
      <c r="E153" s="9">
        <f t="shared" si="2"/>
        <v>300187.23</v>
      </c>
      <c r="F153" s="9">
        <f t="shared" si="2"/>
        <v>75802.290000000183</v>
      </c>
      <c r="G153" s="9">
        <f t="shared" si="2"/>
        <v>-59387.39999999998</v>
      </c>
      <c r="H153" s="9">
        <f t="shared" si="2"/>
        <v>-70878.749999999854</v>
      </c>
      <c r="I153" s="9">
        <f t="shared" si="2"/>
        <v>-39543.519999999895</v>
      </c>
      <c r="J153" s="9">
        <f t="shared" si="2"/>
        <v>-40332.809999999779</v>
      </c>
      <c r="K153" s="9">
        <f t="shared" si="2"/>
        <v>275604.63999999996</v>
      </c>
      <c r="L153" s="9">
        <f t="shared" si="2"/>
        <v>229621.38999999987</v>
      </c>
      <c r="M153" s="9">
        <f t="shared" si="2"/>
        <v>182378.08000000016</v>
      </c>
      <c r="N153" s="9">
        <f t="shared" si="2"/>
        <v>208761.50437743717</v>
      </c>
      <c r="O153" s="9">
        <f t="shared" si="2"/>
        <v>53228.248327787151</v>
      </c>
      <c r="Q153" s="9">
        <f>IFERROR(+Q54-Q57+Q151,0)</f>
        <v>872798.30270522344</v>
      </c>
    </row>
    <row r="154" spans="1:17" s="38" customFormat="1" ht="15" customHeight="1" x14ac:dyDescent="0.3">
      <c r="B154" s="17"/>
      <c r="C154" s="17"/>
      <c r="D154" s="5">
        <f t="shared" ref="D154:O154" si="3">IFERROR(D153/D10,0)</f>
        <v>-1.1004288379289404</v>
      </c>
      <c r="E154" s="5">
        <f t="shared" si="3"/>
        <v>0.19756183841651229</v>
      </c>
      <c r="F154" s="5">
        <f t="shared" si="3"/>
        <v>0.12621818094990958</v>
      </c>
      <c r="G154" s="5">
        <f t="shared" si="3"/>
        <v>-0.10305771340583411</v>
      </c>
      <c r="H154" s="5">
        <f t="shared" si="3"/>
        <v>-0.22859712777221186</v>
      </c>
      <c r="I154" s="5">
        <f t="shared" si="3"/>
        <v>-7.7429876491738422E-2</v>
      </c>
      <c r="J154" s="5">
        <f t="shared" si="3"/>
        <v>-5.3042431712298027E-2</v>
      </c>
      <c r="K154" s="5">
        <f t="shared" si="3"/>
        <v>0.31586772388427048</v>
      </c>
      <c r="L154" s="5">
        <f t="shared" si="3"/>
        <v>0.31636319983912159</v>
      </c>
      <c r="M154" s="5">
        <f t="shared" si="3"/>
        <v>0.18668388786852125</v>
      </c>
      <c r="N154" s="5">
        <f t="shared" si="3"/>
        <v>0.49330560193539336</v>
      </c>
      <c r="O154" s="5">
        <f t="shared" si="3"/>
        <v>0.17891848177407446</v>
      </c>
      <c r="P154" s="19"/>
      <c r="Q154" s="5">
        <f>IFERROR(Q153/Q10,0)</f>
        <v>0.1119848335064333</v>
      </c>
    </row>
    <row r="155" spans="1:17" ht="15" customHeight="1" x14ac:dyDescent="0.3">
      <c r="A155" s="6"/>
      <c r="B155" s="7"/>
      <c r="C155" s="6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Q155" s="4"/>
    </row>
    <row r="156" spans="1:17" s="37" customFormat="1" ht="15" customHeight="1" x14ac:dyDescent="0.3">
      <c r="A156" s="26"/>
      <c r="B156" s="7" t="s">
        <v>289</v>
      </c>
      <c r="C156" s="7"/>
      <c r="D156" s="4">
        <v>101869.27</v>
      </c>
      <c r="E156" s="4">
        <v>158137.92000000001</v>
      </c>
      <c r="F156" s="4">
        <v>29692.560000000001</v>
      </c>
      <c r="G156" s="4">
        <v>47455.6</v>
      </c>
      <c r="H156" s="4">
        <v>47198.79</v>
      </c>
      <c r="I156" s="4">
        <v>65536.3</v>
      </c>
      <c r="J156" s="4">
        <v>145488.21</v>
      </c>
      <c r="K156" s="4">
        <v>74976.38</v>
      </c>
      <c r="L156" s="4">
        <v>57220.2</v>
      </c>
      <c r="M156" s="4">
        <v>73705.25</v>
      </c>
      <c r="N156" s="4">
        <v>60678</v>
      </c>
      <c r="O156" s="4">
        <v>-62383</v>
      </c>
      <c r="Q156" s="3">
        <f>SUM(OSRRefD28_0x)+IFERROR(SUM(OSRRefE28_0x),0)</f>
        <v>799575.47999999986</v>
      </c>
    </row>
    <row r="157" spans="1:17" ht="15" customHeight="1" x14ac:dyDescent="0.3">
      <c r="A157" s="6"/>
      <c r="B157" s="7"/>
      <c r="C157" s="7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Q157" s="4"/>
    </row>
    <row r="158" spans="1:17" s="37" customFormat="1" ht="15.75" customHeight="1" x14ac:dyDescent="0.3">
      <c r="A158" s="7"/>
      <c r="B158" s="18" t="s">
        <v>290</v>
      </c>
      <c r="C158" s="18"/>
      <c r="D158" s="8">
        <f t="shared" ref="D158:O158" si="4">IFERROR(+D153-D156,0)</f>
        <v>-344511.86999999988</v>
      </c>
      <c r="E158" s="8">
        <f t="shared" si="4"/>
        <v>142049.30999999997</v>
      </c>
      <c r="F158" s="8">
        <f t="shared" si="4"/>
        <v>46109.730000000185</v>
      </c>
      <c r="G158" s="8">
        <f t="shared" si="4"/>
        <v>-106842.99999999997</v>
      </c>
      <c r="H158" s="8">
        <f t="shared" si="4"/>
        <v>-118077.53999999986</v>
      </c>
      <c r="I158" s="8">
        <f t="shared" si="4"/>
        <v>-105079.81999999989</v>
      </c>
      <c r="J158" s="8">
        <f t="shared" si="4"/>
        <v>-185821.01999999979</v>
      </c>
      <c r="K158" s="8">
        <f t="shared" si="4"/>
        <v>200628.25999999995</v>
      </c>
      <c r="L158" s="8">
        <f t="shared" si="4"/>
        <v>172401.18999999989</v>
      </c>
      <c r="M158" s="8">
        <f t="shared" si="4"/>
        <v>108672.83000000016</v>
      </c>
      <c r="N158" s="8">
        <f t="shared" si="4"/>
        <v>148083.50437743717</v>
      </c>
      <c r="O158" s="8">
        <f t="shared" si="4"/>
        <v>115611.24832778715</v>
      </c>
      <c r="Q158" s="8">
        <f>IFERROR(+Q153-Q156,0)</f>
        <v>73222.822705223574</v>
      </c>
    </row>
    <row r="159" spans="1:17" ht="15.75" customHeight="1" x14ac:dyDescent="0.3">
      <c r="A159" s="6"/>
      <c r="B159" s="6"/>
      <c r="C159" s="6"/>
      <c r="D159" s="5">
        <f t="shared" ref="D159:O159" si="5">IFERROR(D158/D10,0)</f>
        <v>-1.5624247216145319</v>
      </c>
      <c r="E159" s="5">
        <f t="shared" si="5"/>
        <v>9.3486731029154904E-2</v>
      </c>
      <c r="F159" s="5">
        <f t="shared" si="5"/>
        <v>7.6777182387121598E-2</v>
      </c>
      <c r="G159" s="5">
        <f t="shared" si="5"/>
        <v>-0.1854096201116657</v>
      </c>
      <c r="H159" s="5">
        <f t="shared" si="5"/>
        <v>-0.38082198823213559</v>
      </c>
      <c r="I159" s="5">
        <f t="shared" si="5"/>
        <v>-0.2057560248651136</v>
      </c>
      <c r="J159" s="5">
        <f t="shared" si="5"/>
        <v>-0.24437669391395264</v>
      </c>
      <c r="K159" s="5">
        <f t="shared" si="5"/>
        <v>0.22993804397872844</v>
      </c>
      <c r="L159" s="5">
        <f t="shared" si="5"/>
        <v>0.23752748872599527</v>
      </c>
      <c r="M159" s="5">
        <f t="shared" si="5"/>
        <v>0.11123851292915729</v>
      </c>
      <c r="N159" s="5">
        <f t="shared" si="5"/>
        <v>0.34992285805499945</v>
      </c>
      <c r="O159" s="5">
        <f t="shared" si="5"/>
        <v>0.38860923807659548</v>
      </c>
      <c r="P159" s="19"/>
      <c r="Q159" s="5">
        <f>IFERROR(Q158/Q10,0)</f>
        <v>9.3948917912652502E-3</v>
      </c>
    </row>
    <row r="160" spans="1:17" ht="15" customHeight="1" x14ac:dyDescent="0.3">
      <c r="A160" s="6"/>
      <c r="B160" s="6"/>
      <c r="C160" s="6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Q160" s="4"/>
    </row>
    <row r="161" spans="1:17" ht="15" customHeight="1" x14ac:dyDescent="0.3">
      <c r="A161" s="6"/>
      <c r="B161" s="6"/>
      <c r="C161" s="6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Q161" s="4"/>
    </row>
    <row r="162" spans="1:17" s="37" customFormat="1" ht="15.75" customHeight="1" x14ac:dyDescent="0.3">
      <c r="A162" s="7"/>
      <c r="B162" s="18" t="s">
        <v>293</v>
      </c>
      <c r="C162" s="18"/>
      <c r="D162" s="8">
        <f t="shared" ref="D162:O162" si="6">IFERROR(SUM(D158:D161),0)</f>
        <v>-344513.43242472148</v>
      </c>
      <c r="E162" s="8">
        <f t="shared" si="6"/>
        <v>142049.403486731</v>
      </c>
      <c r="F162" s="8">
        <f t="shared" si="6"/>
        <v>46109.806777182574</v>
      </c>
      <c r="G162" s="8">
        <f t="shared" si="6"/>
        <v>-106843.18540962008</v>
      </c>
      <c r="H162" s="8">
        <f t="shared" si="6"/>
        <v>-118077.9208219881</v>
      </c>
      <c r="I162" s="8">
        <f t="shared" si="6"/>
        <v>-105080.02575602476</v>
      </c>
      <c r="J162" s="8">
        <f t="shared" si="6"/>
        <v>-185821.2643766937</v>
      </c>
      <c r="K162" s="8">
        <f t="shared" si="6"/>
        <v>200628.48993804393</v>
      </c>
      <c r="L162" s="8">
        <f t="shared" si="6"/>
        <v>172401.42752748862</v>
      </c>
      <c r="M162" s="8">
        <f t="shared" si="6"/>
        <v>108672.94123851309</v>
      </c>
      <c r="N162" s="8">
        <f t="shared" si="6"/>
        <v>148083.85430029524</v>
      </c>
      <c r="O162" s="8">
        <f t="shared" si="6"/>
        <v>115611.63693702522</v>
      </c>
      <c r="Q162" s="8">
        <f>IFERROR(SUM(Q158:Q161),0)</f>
        <v>73222.832100115367</v>
      </c>
    </row>
    <row r="163" spans="1:17" ht="15.75" customHeight="1" x14ac:dyDescent="0.3">
      <c r="A163" s="6"/>
      <c r="C163" s="6"/>
      <c r="D163" s="5">
        <f t="shared" ref="D163:O163" si="7">IFERROR(D162/D10,0)</f>
        <v>-1.5624318074981352</v>
      </c>
      <c r="E163" s="5">
        <f t="shared" si="7"/>
        <v>9.3486792555457832E-2</v>
      </c>
      <c r="F163" s="5">
        <f t="shared" si="7"/>
        <v>7.6777310228593132E-2</v>
      </c>
      <c r="G163" s="5">
        <f t="shared" si="7"/>
        <v>-0.18540994186159063</v>
      </c>
      <c r="H163" s="5">
        <f t="shared" si="7"/>
        <v>-0.38082321645374928</v>
      </c>
      <c r="I163" s="5">
        <f t="shared" si="7"/>
        <v>-0.20575642775447683</v>
      </c>
      <c r="J163" s="5">
        <f t="shared" si="7"/>
        <v>-0.24437701529830694</v>
      </c>
      <c r="K163" s="5">
        <f t="shared" si="7"/>
        <v>0.22993830750842295</v>
      </c>
      <c r="L163" s="5">
        <f t="shared" si="7"/>
        <v>0.23752781598190287</v>
      </c>
      <c r="M163" s="5">
        <f t="shared" si="7"/>
        <v>0.11123862679392697</v>
      </c>
      <c r="N163" s="5">
        <f t="shared" si="7"/>
        <v>0.34992368492634551</v>
      </c>
      <c r="O163" s="5">
        <f t="shared" si="7"/>
        <v>0.38861054432613518</v>
      </c>
      <c r="P163" s="19"/>
      <c r="Q163" s="5">
        <f>IFERROR(Q162/Q10,0)</f>
        <v>9.3948929966816558E-3</v>
      </c>
    </row>
    <row r="164" spans="1:17" ht="15" customHeight="1" x14ac:dyDescent="0.3">
      <c r="A164" s="6"/>
      <c r="B164" s="33">
        <v>44694.892859293985</v>
      </c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Q164" s="14"/>
    </row>
    <row r="165" spans="1:17" ht="15" customHeight="1" x14ac:dyDescent="0.3">
      <c r="A165" s="6"/>
      <c r="B165" s="31" t="s">
        <v>294</v>
      </c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Q165" s="14"/>
    </row>
    <row r="166" spans="1:17" ht="15" customHeight="1" x14ac:dyDescent="0.3">
      <c r="A166" s="6"/>
      <c r="B166" s="27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Q166" s="14"/>
    </row>
    <row r="167" spans="1:17" ht="15" customHeight="1" x14ac:dyDescent="0.3"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Q167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56239-9FCD-5294-B0DB-57181F04E1CD}">
  <sheetPr>
    <tabColor rgb="FFFFFF00"/>
    <outlinePr summaryBelow="0" summaryRight="0"/>
    <pageSetUpPr fitToPage="1"/>
  </sheetPr>
  <dimension ref="A2:R158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">
        <v>301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220498.22000000003</v>
      </c>
      <c r="E10" s="4">
        <f>SUM(OSRRefD11x_1)</f>
        <v>1512794.4499999997</v>
      </c>
      <c r="F10" s="4">
        <f>SUM(OSRRefD11x_2)</f>
        <v>584452.64000000013</v>
      </c>
      <c r="G10" s="4">
        <f>SUM(OSRRefD11x_3)</f>
        <v>550423.75999999989</v>
      </c>
      <c r="H10" s="4">
        <f>SUM(OSRRefD11x_4)</f>
        <v>294738.4800000001</v>
      </c>
      <c r="I10" s="4">
        <f>SUM(OSRRefD11x_5)</f>
        <v>498222.84000000008</v>
      </c>
      <c r="J10" s="4">
        <f>SUM(OSRRefD11x_6)</f>
        <v>755554.19000000006</v>
      </c>
      <c r="K10" s="4">
        <f>SUM(OSRRefD11x_7)</f>
        <v>778665.85999999987</v>
      </c>
      <c r="L10" s="4">
        <f>SUM(OSRRefD11x_8)</f>
        <v>592882.92999999993</v>
      </c>
      <c r="M10" s="4">
        <f>SUM(OSRRefD11x_9)</f>
        <v>873430.3899999999</v>
      </c>
      <c r="N10" s="4">
        <f>SUM(OSRRefE11x_0)</f>
        <v>380419</v>
      </c>
      <c r="O10" s="4">
        <f>SUM(OSRRefE11x_1)</f>
        <v>284475</v>
      </c>
      <c r="P10" s="25"/>
      <c r="Q10" s="4">
        <f>SUM(OSRRefG11x)</f>
        <v>7326557.7599999998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--188048.33</f>
        <v>188048.33</v>
      </c>
      <c r="E11" s="3">
        <f>--1219418.38</f>
        <v>1219418.3799999999</v>
      </c>
      <c r="F11" s="3">
        <f>--483885.87</f>
        <v>483885.87</v>
      </c>
      <c r="G11" s="3">
        <f>--478161.62</f>
        <v>478161.62</v>
      </c>
      <c r="H11" s="3">
        <f>--262588.59</f>
        <v>262588.59000000003</v>
      </c>
      <c r="I11" s="3">
        <f>--480652.92</f>
        <v>480652.92</v>
      </c>
      <c r="J11" s="3">
        <f>--657935.63</f>
        <v>657935.63</v>
      </c>
      <c r="K11" s="3">
        <f>--665816.07</f>
        <v>665816.06999999995</v>
      </c>
      <c r="L11" s="3">
        <f>--524908.18</f>
        <v>524908.18000000005</v>
      </c>
      <c r="M11" s="3">
        <f>--759413.22</f>
        <v>759413.22</v>
      </c>
      <c r="N11" s="3">
        <v>346258</v>
      </c>
      <c r="O11" s="3">
        <v>281975</v>
      </c>
      <c r="Q11" s="3">
        <f>SUM(OSRRefD11_0x)+IFERROR(SUM(OSRRefE11_0x),0)</f>
        <v>6349061.8099999996</v>
      </c>
    </row>
    <row r="12" spans="1:18" s="39" customFormat="1" ht="15" hidden="1" customHeight="1" outlineLevel="1" x14ac:dyDescent="0.3">
      <c r="A12" s="24"/>
      <c r="B12" s="11" t="str">
        <f>CONCATENATE("          ","4100"," - ","NON-TAXABLE SALES")</f>
        <v xml:space="preserve">          4100 - NON-TAXABLE SALES</v>
      </c>
      <c r="C12" s="23"/>
      <c r="D12" s="3">
        <f>--39098.54</f>
        <v>39098.54</v>
      </c>
      <c r="E12" s="3">
        <f>--326801.82</f>
        <v>326801.82</v>
      </c>
      <c r="F12" s="3">
        <f>--121098.02</f>
        <v>121098.02</v>
      </c>
      <c r="G12" s="3">
        <f>--107456.48</f>
        <v>107456.48</v>
      </c>
      <c r="H12" s="3">
        <f>--49477.97</f>
        <v>49477.97</v>
      </c>
      <c r="I12" s="3">
        <f>--83046.11</f>
        <v>83046.11</v>
      </c>
      <c r="J12" s="3">
        <f>--130571.36</f>
        <v>130571.36</v>
      </c>
      <c r="K12" s="3">
        <f>--146600.36</f>
        <v>146600.35999999999</v>
      </c>
      <c r="L12" s="3">
        <f>--97229.47</f>
        <v>97229.47</v>
      </c>
      <c r="M12" s="3">
        <f>--158836.24</f>
        <v>158836.24</v>
      </c>
      <c r="N12" s="3">
        <v>34161</v>
      </c>
      <c r="O12" s="3">
        <v>2500</v>
      </c>
      <c r="Q12" s="3">
        <f>SUM(OSRRefD11_1x)+IFERROR(SUM(OSRRefE11_1x),0)</f>
        <v>1296877.3699999999</v>
      </c>
    </row>
    <row r="13" spans="1:18" s="39" customFormat="1" ht="15" hidden="1" customHeight="1" outlineLevel="1" x14ac:dyDescent="0.3">
      <c r="A13" s="24"/>
      <c r="B13" s="11" t="str">
        <f>CONCATENATE("          ","4141"," - ","NON-TAXABLE SALES-LOGO GIFTS")</f>
        <v xml:space="preserve">          4141 - NON-TAXABLE SALES-LOGO GIFTS</v>
      </c>
      <c r="C13" s="23"/>
      <c r="D13" s="3">
        <f>0</f>
        <v>0</v>
      </c>
      <c r="E13" s="3">
        <f>--389.5</f>
        <v>389.5</v>
      </c>
      <c r="F13" s="3">
        <f>--71.05</f>
        <v>71.05</v>
      </c>
      <c r="G13" s="3">
        <f>-460.55</f>
        <v>-460.55</v>
      </c>
      <c r="H13" s="3">
        <f>0</f>
        <v>0</v>
      </c>
      <c r="I13" s="3">
        <f>0</f>
        <v>0</v>
      </c>
      <c r="J13" s="3">
        <f>0</f>
        <v>0</v>
      </c>
      <c r="K13" s="3">
        <f>0</f>
        <v>0</v>
      </c>
      <c r="L13" s="3">
        <f>0</f>
        <v>0</v>
      </c>
      <c r="M13" s="3">
        <f>0</f>
        <v>0</v>
      </c>
      <c r="N13" s="3"/>
      <c r="O13" s="3"/>
      <c r="Q13" s="3">
        <f>SUM(OSRRefD11_2x)+IFERROR(SUM(OSRRefE11_2x),0)</f>
        <v>0</v>
      </c>
    </row>
    <row r="14" spans="1:18" s="39" customFormat="1" ht="15" hidden="1" customHeight="1" outlineLevel="1" x14ac:dyDescent="0.3">
      <c r="A14" s="24"/>
      <c r="B14" s="11" t="str">
        <f>CONCATENATE("          ","4146"," - ","NON-TAXABLE SALES-COIN OP MACH")</f>
        <v xml:space="preserve">          4146 - NON-TAXABLE SALES-COIN OP MACH</v>
      </c>
      <c r="C14" s="23"/>
      <c r="D14" s="3">
        <f>--20.2</f>
        <v>20.2</v>
      </c>
      <c r="E14" s="3">
        <f>--2713.4</f>
        <v>2713.4</v>
      </c>
      <c r="F14" s="3">
        <f>--4759.35</f>
        <v>4759.3500000000004</v>
      </c>
      <c r="G14" s="3">
        <f>-7492.95</f>
        <v>-7492.95</v>
      </c>
      <c r="H14" s="3">
        <f>0</f>
        <v>0</v>
      </c>
      <c r="I14" s="3">
        <f>0</f>
        <v>0</v>
      </c>
      <c r="J14" s="3">
        <f>0</f>
        <v>0</v>
      </c>
      <c r="K14" s="3">
        <f>0</f>
        <v>0</v>
      </c>
      <c r="L14" s="3">
        <f>0</f>
        <v>0</v>
      </c>
      <c r="M14" s="3">
        <f>0</f>
        <v>0</v>
      </c>
      <c r="N14" s="3"/>
      <c r="O14" s="3"/>
      <c r="Q14" s="3">
        <f>SUM(OSRRefD11_3x)+IFERROR(SUM(OSRRefE11_3x),0)</f>
        <v>9.0949470177292824E-13</v>
      </c>
    </row>
    <row r="15" spans="1:18" s="39" customFormat="1" ht="15" hidden="1" customHeight="1" outlineLevel="1" x14ac:dyDescent="0.3">
      <c r="A15" s="24"/>
      <c r="B15" s="11" t="str">
        <f>CONCATENATE("          ","4200"," - ","TAXABLE RETURNS")</f>
        <v xml:space="preserve">          4200 - TAXABLE RETURNS</v>
      </c>
      <c r="C15" s="23"/>
      <c r="D15" s="3">
        <f>-5566.27</f>
        <v>-5566.27</v>
      </c>
      <c r="E15" s="3">
        <f>-20240.57</f>
        <v>-20240.57</v>
      </c>
      <c r="F15" s="3">
        <f>-22646.07</f>
        <v>-22646.07</v>
      </c>
      <c r="G15" s="3">
        <f>-13940.06</f>
        <v>-13940.06</v>
      </c>
      <c r="H15" s="3">
        <f>-10145.23</f>
        <v>-10145.23</v>
      </c>
      <c r="I15" s="3">
        <f>-14880.61</f>
        <v>-14880.61</v>
      </c>
      <c r="J15" s="3">
        <f>-25690.22</f>
        <v>-25690.22</v>
      </c>
      <c r="K15" s="3">
        <f>-18404.3</f>
        <v>-18404.3</v>
      </c>
      <c r="L15" s="3">
        <f>-19894.68</f>
        <v>-19894.68</v>
      </c>
      <c r="M15" s="3">
        <f>-20142.65</f>
        <v>-20142.650000000001</v>
      </c>
      <c r="N15" s="3"/>
      <c r="O15" s="3"/>
      <c r="Q15" s="3">
        <f>SUM(OSRRefD11_4x)+IFERROR(SUM(OSRRefE11_4x),0)</f>
        <v>-171550.65999999997</v>
      </c>
    </row>
    <row r="16" spans="1:18" s="39" customFormat="1" ht="15" hidden="1" customHeight="1" outlineLevel="1" x14ac:dyDescent="0.3">
      <c r="A16" s="24"/>
      <c r="B16" s="11" t="str">
        <f>CONCATENATE("          ","4300"," - ","NON-TAX RETURNS")</f>
        <v xml:space="preserve">          4300 - NON-TAX RETURNS</v>
      </c>
      <c r="C16" s="23"/>
      <c r="D16" s="3">
        <f>-1102.58</f>
        <v>-1102.58</v>
      </c>
      <c r="E16" s="3">
        <f>-16288.08</f>
        <v>-16288.08</v>
      </c>
      <c r="F16" s="3">
        <f>-2715.58</f>
        <v>-2715.58</v>
      </c>
      <c r="G16" s="3">
        <f>-5693.23</f>
        <v>-5693.23</v>
      </c>
      <c r="H16" s="3">
        <f>-700.92</f>
        <v>-700.92</v>
      </c>
      <c r="I16" s="3">
        <f>-678.95</f>
        <v>-678.95</v>
      </c>
      <c r="J16" s="3">
        <f>-874.74</f>
        <v>-874.74</v>
      </c>
      <c r="K16" s="3">
        <f>-3193.12</f>
        <v>-3193.12</v>
      </c>
      <c r="L16" s="3">
        <f>0</f>
        <v>0</v>
      </c>
      <c r="M16" s="3">
        <f>-9969.65</f>
        <v>-9969.65</v>
      </c>
      <c r="N16" s="3"/>
      <c r="O16" s="3"/>
      <c r="Q16" s="3">
        <f>SUM(OSRRefD11_5x)+IFERROR(SUM(OSRRefE11_5x),0)</f>
        <v>-41216.85</v>
      </c>
    </row>
    <row r="17" spans="1:17" s="39" customFormat="1" ht="15" hidden="1" customHeight="1" outlineLevel="1" x14ac:dyDescent="0.3">
      <c r="A17" s="24"/>
      <c r="B17" s="11" t="str">
        <f>CONCATENATE("          ","4500"," - ","SALES DISCOUNT")</f>
        <v xml:space="preserve">          4500 - SALES DISCOUNT</v>
      </c>
      <c r="C17" s="23"/>
      <c r="D17" s="3">
        <f>0</f>
        <v>0</v>
      </c>
      <c r="E17" s="3">
        <f>0</f>
        <v>0</v>
      </c>
      <c r="F17" s="3">
        <f>0</f>
        <v>0</v>
      </c>
      <c r="G17" s="3">
        <f>-7607.55</f>
        <v>-7607.55</v>
      </c>
      <c r="H17" s="3">
        <f>-6481.93</f>
        <v>-6481.93</v>
      </c>
      <c r="I17" s="3">
        <f>-49916.63</f>
        <v>-49916.63</v>
      </c>
      <c r="J17" s="3">
        <f>-6387.84</f>
        <v>-6387.84</v>
      </c>
      <c r="K17" s="3">
        <f>-12153.15</f>
        <v>-12153.15</v>
      </c>
      <c r="L17" s="3">
        <f>-9360.04</f>
        <v>-9360.0400000000009</v>
      </c>
      <c r="M17" s="3">
        <f>-14706.77</f>
        <v>-14706.77</v>
      </c>
      <c r="N17" s="3"/>
      <c r="O17" s="3"/>
      <c r="Q17" s="3">
        <f>SUM(OSRRefD11_6x)+IFERROR(SUM(OSRRefE11_6x),0)</f>
        <v>-106613.90999999999</v>
      </c>
    </row>
    <row r="18" spans="1:17" ht="15" customHeight="1" x14ac:dyDescent="0.3">
      <c r="A18" s="6"/>
      <c r="B18" s="7"/>
      <c r="C18" s="6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Q18" s="4"/>
    </row>
    <row r="19" spans="1:17" s="39" customFormat="1" ht="15" customHeight="1" collapsed="1" x14ac:dyDescent="0.3">
      <c r="A19" s="24"/>
      <c r="B19" s="17" t="s">
        <v>284</v>
      </c>
      <c r="C19" s="23"/>
      <c r="D19" s="4">
        <f>SUM(OSRRefD14x_0)</f>
        <v>127421.44</v>
      </c>
      <c r="E19" s="4">
        <f>SUM(OSRRefD14x_1)</f>
        <v>992337.97</v>
      </c>
      <c r="F19" s="4">
        <f>SUM(OSRRefD14x_2)</f>
        <v>385312.29</v>
      </c>
      <c r="G19" s="4">
        <f>SUM(OSRRefD14x_3)</f>
        <v>310679.2</v>
      </c>
      <c r="H19" s="4">
        <f>SUM(OSRRefD14x_4)</f>
        <v>138076.09</v>
      </c>
      <c r="I19" s="4">
        <f>SUM(OSRRefD14x_5)</f>
        <v>258095.33999999997</v>
      </c>
      <c r="J19" s="4">
        <f>SUM(OSRRefD14x_6)</f>
        <v>451554.38</v>
      </c>
      <c r="K19" s="4">
        <f>SUM(OSRRefD14x_7)</f>
        <v>396795.93</v>
      </c>
      <c r="L19" s="4">
        <f>SUM(OSRRefD14x_8)</f>
        <v>259262.7</v>
      </c>
      <c r="M19" s="4">
        <f>SUM(OSRRefD14x_9)</f>
        <v>379784.5</v>
      </c>
      <c r="N19" s="4">
        <f>SUM(OSRRefE14x_0)</f>
        <v>178852</v>
      </c>
      <c r="O19" s="4">
        <f>SUM(OSRRefE14x_1)</f>
        <v>150517</v>
      </c>
      <c r="Q19" s="4">
        <f>SUM(OSRRefG14x)</f>
        <v>4028688.8400000008</v>
      </c>
    </row>
    <row r="20" spans="1:17" s="39" customFormat="1" ht="15" hidden="1" customHeight="1" outlineLevel="1" x14ac:dyDescent="0.3">
      <c r="A20" s="24"/>
      <c r="B20" s="11" t="str">
        <f>CONCATENATE("          ","5000"," - ","PURCHASES @ COST")</f>
        <v xml:space="preserve">          5000 - PURCHASES @ COST</v>
      </c>
      <c r="C20" s="23"/>
      <c r="D20" s="3">
        <v>344773.67</v>
      </c>
      <c r="E20" s="3">
        <v>500180.97</v>
      </c>
      <c r="F20" s="3">
        <v>726303.95</v>
      </c>
      <c r="G20" s="3">
        <v>744878.53</v>
      </c>
      <c r="H20" s="3">
        <v>-67930.34</v>
      </c>
      <c r="I20" s="3">
        <v>283717.63</v>
      </c>
      <c r="J20" s="3">
        <v>488333.93</v>
      </c>
      <c r="K20" s="3">
        <v>391111.63</v>
      </c>
      <c r="L20" s="3">
        <v>115773.52</v>
      </c>
      <c r="M20" s="3">
        <v>156904.57999999999</v>
      </c>
      <c r="N20" s="3">
        <v>178852</v>
      </c>
      <c r="O20" s="3">
        <v>150517</v>
      </c>
      <c r="Q20" s="3">
        <f>SUM(OSRRefD14_0x)+IFERROR(SUM(OSRRefE14_0x),0)</f>
        <v>4013417.0700000003</v>
      </c>
    </row>
    <row r="21" spans="1:17" s="39" customFormat="1" ht="15" hidden="1" customHeight="1" outlineLevel="1" x14ac:dyDescent="0.3">
      <c r="A21" s="24"/>
      <c r="B21" s="11" t="str">
        <f>CONCATENATE("          ","5001"," - ","PURCHASES @ COST-NEW TEXT")</f>
        <v xml:space="preserve">          5001 - PURCHASES @ COST-NEW TEXT</v>
      </c>
      <c r="C21" s="23"/>
      <c r="D21" s="3">
        <v>0</v>
      </c>
      <c r="E21" s="3">
        <v>0</v>
      </c>
      <c r="F21" s="3">
        <v>0</v>
      </c>
      <c r="G21" s="3">
        <v>0</v>
      </c>
      <c r="H21" s="3"/>
      <c r="I21" s="3"/>
      <c r="J21" s="3"/>
      <c r="K21" s="3"/>
      <c r="L21" s="3"/>
      <c r="M21" s="3"/>
      <c r="N21" s="3"/>
      <c r="O21" s="3"/>
      <c r="Q21" s="3">
        <f>SUM(OSRRefD14_1x)+IFERROR(SUM(OSRRefE14_1x),0)</f>
        <v>0</v>
      </c>
    </row>
    <row r="22" spans="1:17" s="39" customFormat="1" ht="15" hidden="1" customHeight="1" outlineLevel="1" x14ac:dyDescent="0.3">
      <c r="A22" s="24"/>
      <c r="B22" s="11" t="str">
        <f>CONCATENATE("          ","5002"," - ","PURCHASES @ COST-USED TEXT")</f>
        <v xml:space="preserve">          5002 - PURCHASES @ COST-USED TEXT</v>
      </c>
      <c r="C22" s="23"/>
      <c r="D22" s="3">
        <v>0</v>
      </c>
      <c r="E22" s="3">
        <v>0</v>
      </c>
      <c r="F22" s="3">
        <v>0</v>
      </c>
      <c r="G22" s="3"/>
      <c r="H22" s="3"/>
      <c r="I22" s="3"/>
      <c r="J22" s="3"/>
      <c r="K22" s="3"/>
      <c r="L22" s="3"/>
      <c r="M22" s="3"/>
      <c r="N22" s="3"/>
      <c r="O22" s="3"/>
      <c r="Q22" s="3">
        <f>SUM(OSRRefD14_2x)+IFERROR(SUM(OSRRefE14_2x),0)</f>
        <v>0</v>
      </c>
    </row>
    <row r="23" spans="1:17" s="39" customFormat="1" ht="15" hidden="1" customHeight="1" outlineLevel="1" x14ac:dyDescent="0.3">
      <c r="A23" s="24"/>
      <c r="B23" s="11" t="str">
        <f>CONCATENATE("          ","5004"," - ","PURCHASES @ COST-DIGITAL TEXT")</f>
        <v xml:space="preserve">          5004 - PURCHASES @ COST-DIGITAL TEXT</v>
      </c>
      <c r="C23" s="23"/>
      <c r="D23" s="3">
        <v>0</v>
      </c>
      <c r="E23" s="3">
        <v>0</v>
      </c>
      <c r="F23" s="3">
        <v>0</v>
      </c>
      <c r="G23" s="3"/>
      <c r="H23" s="3"/>
      <c r="I23" s="3"/>
      <c r="J23" s="3"/>
      <c r="K23" s="3"/>
      <c r="L23" s="3"/>
      <c r="M23" s="3"/>
      <c r="N23" s="3"/>
      <c r="O23" s="3"/>
      <c r="Q23" s="3">
        <f>SUM(OSRRefD14_3x)+IFERROR(SUM(OSRRefE14_3x),0)</f>
        <v>0</v>
      </c>
    </row>
    <row r="24" spans="1:17" s="39" customFormat="1" ht="15" hidden="1" customHeight="1" outlineLevel="1" x14ac:dyDescent="0.3">
      <c r="A24" s="24"/>
      <c r="B24" s="11" t="str">
        <f>CONCATENATE("          ","5026"," - ","PURCHASES @ COST-WRITING INSTR")</f>
        <v xml:space="preserve">          5026 - PURCHASES @ COST-WRITING INSTR</v>
      </c>
      <c r="C24" s="23"/>
      <c r="D24" s="3"/>
      <c r="E24" s="3">
        <v>0</v>
      </c>
      <c r="F24" s="3"/>
      <c r="G24" s="3"/>
      <c r="H24" s="3"/>
      <c r="I24" s="3"/>
      <c r="J24" s="3"/>
      <c r="K24" s="3"/>
      <c r="L24" s="3"/>
      <c r="M24" s="3"/>
      <c r="N24" s="3"/>
      <c r="O24" s="3"/>
      <c r="Q24" s="3">
        <f>SUM(OSRRefD14_4x)+IFERROR(SUM(OSRRefE14_4x),0)</f>
        <v>0</v>
      </c>
    </row>
    <row r="25" spans="1:17" s="39" customFormat="1" ht="15" hidden="1" customHeight="1" outlineLevel="1" x14ac:dyDescent="0.3">
      <c r="A25" s="24"/>
      <c r="B25" s="11" t="str">
        <f>CONCATENATE("          ","5027"," - ","PURCHASES @ COST-SCHOOL SUPPLI")</f>
        <v xml:space="preserve">          5027 - PURCHASES @ COST-SCHOOL SUPPLI</v>
      </c>
      <c r="C25" s="23"/>
      <c r="D25" s="3"/>
      <c r="E25" s="3">
        <v>0</v>
      </c>
      <c r="F25" s="3">
        <v>0</v>
      </c>
      <c r="G25" s="3"/>
      <c r="H25" s="3"/>
      <c r="I25" s="3"/>
      <c r="J25" s="3"/>
      <c r="K25" s="3"/>
      <c r="L25" s="3"/>
      <c r="M25" s="3"/>
      <c r="N25" s="3"/>
      <c r="O25" s="3"/>
      <c r="Q25" s="3">
        <f>SUM(OSRRefD14_5x)+IFERROR(SUM(OSRRefE14_5x),0)</f>
        <v>0</v>
      </c>
    </row>
    <row r="26" spans="1:17" s="39" customFormat="1" ht="15" hidden="1" customHeight="1" outlineLevel="1" x14ac:dyDescent="0.3">
      <c r="A26" s="24"/>
      <c r="B26" s="11" t="str">
        <f>CONCATENATE("          ","5028"," - ","PURCHASES @ COST-ART/TECH")</f>
        <v xml:space="preserve">          5028 - PURCHASES @ COST-ART/TECH</v>
      </c>
      <c r="C26" s="23"/>
      <c r="D26" s="3"/>
      <c r="E26" s="3">
        <v>0</v>
      </c>
      <c r="F26" s="3">
        <v>0</v>
      </c>
      <c r="G26" s="3"/>
      <c r="H26" s="3"/>
      <c r="I26" s="3"/>
      <c r="J26" s="3"/>
      <c r="K26" s="3"/>
      <c r="L26" s="3"/>
      <c r="M26" s="3"/>
      <c r="N26" s="3"/>
      <c r="O26" s="3"/>
      <c r="Q26" s="3">
        <f>SUM(OSRRefD14_6x)+IFERROR(SUM(OSRRefE14_6x),0)</f>
        <v>0</v>
      </c>
    </row>
    <row r="27" spans="1:17" s="39" customFormat="1" ht="15" hidden="1" customHeight="1" outlineLevel="1" x14ac:dyDescent="0.3">
      <c r="A27" s="24"/>
      <c r="B27" s="11" t="str">
        <f>CONCATENATE("          ","5031"," - ","PURCHASES @ COST-FOOD")</f>
        <v xml:space="preserve">          5031 - PURCHASES @ COST-FOOD</v>
      </c>
      <c r="C27" s="23"/>
      <c r="D27" s="3"/>
      <c r="E27" s="3">
        <v>0</v>
      </c>
      <c r="F27" s="3">
        <v>0</v>
      </c>
      <c r="G27" s="3"/>
      <c r="H27" s="3"/>
      <c r="I27" s="3"/>
      <c r="J27" s="3"/>
      <c r="K27" s="3"/>
      <c r="L27" s="3"/>
      <c r="M27" s="3"/>
      <c r="N27" s="3"/>
      <c r="O27" s="3"/>
      <c r="Q27" s="3">
        <f>SUM(OSRRefD14_7x)+IFERROR(SUM(OSRRefE14_7x),0)</f>
        <v>0</v>
      </c>
    </row>
    <row r="28" spans="1:17" s="39" customFormat="1" ht="15" hidden="1" customHeight="1" outlineLevel="1" x14ac:dyDescent="0.3">
      <c r="A28" s="24"/>
      <c r="B28" s="11" t="str">
        <f>CONCATENATE("          ","5040"," - ","PURCHASES @ COST-LOGO CLOTHING")</f>
        <v xml:space="preserve">          5040 - PURCHASES @ COST-LOGO CLOTHING</v>
      </c>
      <c r="C28" s="23"/>
      <c r="D28" s="3">
        <v>0</v>
      </c>
      <c r="E28" s="3">
        <v>0</v>
      </c>
      <c r="F28" s="3">
        <v>0</v>
      </c>
      <c r="G28" s="3"/>
      <c r="H28" s="3"/>
      <c r="I28" s="3"/>
      <c r="J28" s="3"/>
      <c r="K28" s="3"/>
      <c r="L28" s="3"/>
      <c r="M28" s="3"/>
      <c r="N28" s="3"/>
      <c r="O28" s="3"/>
      <c r="Q28" s="3">
        <f>SUM(OSRRefD14_8x)+IFERROR(SUM(OSRRefE14_8x),0)</f>
        <v>0</v>
      </c>
    </row>
    <row r="29" spans="1:17" s="39" customFormat="1" ht="15" hidden="1" customHeight="1" outlineLevel="1" x14ac:dyDescent="0.3">
      <c r="A29" s="24"/>
      <c r="B29" s="11" t="str">
        <f>CONCATENATE("          ","5041"," - ","PURCHASES @ COST-LOGO GIFTS")</f>
        <v xml:space="preserve">          5041 - PURCHASES @ COST-LOGO GIFTS</v>
      </c>
      <c r="C29" s="23"/>
      <c r="D29" s="3">
        <v>0</v>
      </c>
      <c r="E29" s="3">
        <v>0</v>
      </c>
      <c r="F29" s="3">
        <v>0</v>
      </c>
      <c r="G29" s="3"/>
      <c r="H29" s="3"/>
      <c r="I29" s="3"/>
      <c r="J29" s="3"/>
      <c r="K29" s="3"/>
      <c r="L29" s="3"/>
      <c r="M29" s="3"/>
      <c r="N29" s="3"/>
      <c r="O29" s="3"/>
      <c r="Q29" s="3">
        <f>SUM(OSRRefD14_9x)+IFERROR(SUM(OSRRefE14_9x),0)</f>
        <v>0</v>
      </c>
    </row>
    <row r="30" spans="1:17" s="39" customFormat="1" ht="15" hidden="1" customHeight="1" outlineLevel="1" x14ac:dyDescent="0.3">
      <c r="A30" s="24"/>
      <c r="B30" s="11" t="str">
        <f>CONCATENATE("          ","5042"," - ","PURCHASES @ COST-EVERYDAY GIFT")</f>
        <v xml:space="preserve">          5042 - PURCHASES @ COST-EVERYDAY GIFT</v>
      </c>
      <c r="C30" s="23"/>
      <c r="D30" s="3">
        <v>0</v>
      </c>
      <c r="E30" s="3">
        <v>0</v>
      </c>
      <c r="F30" s="3"/>
      <c r="G30" s="3"/>
      <c r="H30" s="3"/>
      <c r="I30" s="3"/>
      <c r="J30" s="3"/>
      <c r="K30" s="3"/>
      <c r="L30" s="3"/>
      <c r="M30" s="3"/>
      <c r="N30" s="3"/>
      <c r="O30" s="3"/>
      <c r="Q30" s="3">
        <f>SUM(OSRRefD14_10x)+IFERROR(SUM(OSRRefE14_10x),0)</f>
        <v>0</v>
      </c>
    </row>
    <row r="31" spans="1:17" s="39" customFormat="1" ht="15" hidden="1" customHeight="1" outlineLevel="1" x14ac:dyDescent="0.3">
      <c r="A31" s="24"/>
      <c r="B31" s="11" t="str">
        <f>CONCATENATE("          ","5043"," - ","PURCHASES @ COST-CARDS")</f>
        <v xml:space="preserve">          5043 - PURCHASES @ COST-CARDS</v>
      </c>
      <c r="C31" s="23"/>
      <c r="D31" s="3">
        <v>0</v>
      </c>
      <c r="E31" s="3">
        <v>0</v>
      </c>
      <c r="F31" s="3"/>
      <c r="G31" s="3"/>
      <c r="H31" s="3"/>
      <c r="I31" s="3"/>
      <c r="J31" s="3"/>
      <c r="K31" s="3"/>
      <c r="L31" s="3"/>
      <c r="M31" s="3"/>
      <c r="N31" s="3"/>
      <c r="O31" s="3"/>
      <c r="Q31" s="3">
        <f>SUM(OSRRefD14_11x)+IFERROR(SUM(OSRRefE14_11x),0)</f>
        <v>0</v>
      </c>
    </row>
    <row r="32" spans="1:17" s="39" customFormat="1" ht="15" hidden="1" customHeight="1" outlineLevel="1" x14ac:dyDescent="0.3">
      <c r="A32" s="24"/>
      <c r="B32" s="11" t="str">
        <f>CONCATENATE("          ","5044"," - ","PURCHASES @ COST-ACCESSORIES")</f>
        <v xml:space="preserve">          5044 - PURCHASES @ COST-ACCESSORIES</v>
      </c>
      <c r="C32" s="23"/>
      <c r="D32" s="3">
        <v>0</v>
      </c>
      <c r="E32" s="3">
        <v>0</v>
      </c>
      <c r="F32" s="3"/>
      <c r="G32" s="3"/>
      <c r="H32" s="3"/>
      <c r="I32" s="3"/>
      <c r="J32" s="3"/>
      <c r="K32" s="3"/>
      <c r="L32" s="3"/>
      <c r="M32" s="3"/>
      <c r="N32" s="3"/>
      <c r="O32" s="3"/>
      <c r="Q32" s="3">
        <f>SUM(OSRRefD14_12x)+IFERROR(SUM(OSRRefE14_12x),0)</f>
        <v>0</v>
      </c>
    </row>
    <row r="33" spans="1:17" s="39" customFormat="1" ht="15" hidden="1" customHeight="1" outlineLevel="1" x14ac:dyDescent="0.3">
      <c r="A33" s="24"/>
      <c r="B33" s="11" t="str">
        <f>CONCATENATE("          ","5045"," - ","PURCHASES @ COST-SPECIAL ORDER")</f>
        <v xml:space="preserve">          5045 - PURCHASES @ COST-SPECIAL ORDER</v>
      </c>
      <c r="C33" s="23"/>
      <c r="D33" s="3">
        <v>0</v>
      </c>
      <c r="E33" s="3">
        <v>0</v>
      </c>
      <c r="F33" s="3">
        <v>0</v>
      </c>
      <c r="G33" s="3"/>
      <c r="H33" s="3"/>
      <c r="I33" s="3"/>
      <c r="J33" s="3"/>
      <c r="K33" s="3"/>
      <c r="L33" s="3"/>
      <c r="M33" s="3"/>
      <c r="N33" s="3"/>
      <c r="O33" s="3"/>
      <c r="Q33" s="3">
        <f>SUM(OSRRefD14_13x)+IFERROR(SUM(OSRRefE14_13x),0)</f>
        <v>0</v>
      </c>
    </row>
    <row r="34" spans="1:17" s="39" customFormat="1" ht="15" hidden="1" customHeight="1" outlineLevel="1" x14ac:dyDescent="0.3">
      <c r="A34" s="24"/>
      <c r="B34" s="11" t="str">
        <f>CONCATENATE("          ","5200"," - ","PURCHASES OFFSET")</f>
        <v xml:space="preserve">          5200 - PURCHASES OFFSET</v>
      </c>
      <c r="C34" s="23"/>
      <c r="D34" s="3">
        <v>-346348.67</v>
      </c>
      <c r="E34" s="3">
        <v>-303819.98</v>
      </c>
      <c r="F34" s="3">
        <v>-697456.98</v>
      </c>
      <c r="G34" s="3">
        <v>-764729.36</v>
      </c>
      <c r="H34" s="3">
        <v>57137.78</v>
      </c>
      <c r="I34" s="3">
        <v>-295778.33</v>
      </c>
      <c r="J34" s="3">
        <v>-472988.62</v>
      </c>
      <c r="K34" s="3">
        <v>-388061.48</v>
      </c>
      <c r="L34" s="3">
        <v>-141093.01</v>
      </c>
      <c r="M34" s="3">
        <v>-214885.79</v>
      </c>
      <c r="N34" s="3"/>
      <c r="O34" s="3"/>
      <c r="Q34" s="3">
        <f>SUM(OSRRefD14_14x)+IFERROR(SUM(OSRRefE14_14x),0)</f>
        <v>-3568024.4399999995</v>
      </c>
    </row>
    <row r="35" spans="1:17" s="39" customFormat="1" ht="15" hidden="1" customHeight="1" outlineLevel="1" x14ac:dyDescent="0.3">
      <c r="A35" s="24"/>
      <c r="B35" s="11" t="str">
        <f>CONCATENATE("          ","5300"," - ","COG$ OFFSET")</f>
        <v xml:space="preserve">          5300 - COG$ OFFSET</v>
      </c>
      <c r="C35" s="23"/>
      <c r="D35" s="3">
        <v>125411.41</v>
      </c>
      <c r="E35" s="3">
        <v>789387.34</v>
      </c>
      <c r="F35" s="3">
        <v>339299.2</v>
      </c>
      <c r="G35" s="3">
        <v>308234.86</v>
      </c>
      <c r="H35" s="3">
        <v>137747.54999999999</v>
      </c>
      <c r="I35" s="3">
        <v>260630.8</v>
      </c>
      <c r="J35" s="3">
        <v>414305.51</v>
      </c>
      <c r="K35" s="3">
        <v>362141.86</v>
      </c>
      <c r="L35" s="3">
        <v>260255.56</v>
      </c>
      <c r="M35" s="3">
        <v>402607.93</v>
      </c>
      <c r="N35" s="3"/>
      <c r="O35" s="3"/>
      <c r="Q35" s="3">
        <f>SUM(OSRRefD14_15x)+IFERROR(SUM(OSRRefE14_15x),0)</f>
        <v>3400022.02</v>
      </c>
    </row>
    <row r="36" spans="1:17" s="39" customFormat="1" ht="15" hidden="1" customHeight="1" outlineLevel="1" x14ac:dyDescent="0.3">
      <c r="A36" s="24"/>
      <c r="B36" s="11" t="str">
        <f>CONCATENATE("          ","5500"," - ","FREIGHT-IN")</f>
        <v xml:space="preserve">          5500 - FREIGHT-IN</v>
      </c>
      <c r="C36" s="23"/>
      <c r="D36" s="3">
        <v>3585.03</v>
      </c>
      <c r="E36" s="3">
        <v>6589.64</v>
      </c>
      <c r="F36" s="3">
        <v>17166.12</v>
      </c>
      <c r="G36" s="3">
        <v>22295.17</v>
      </c>
      <c r="H36" s="3">
        <v>11121.1</v>
      </c>
      <c r="I36" s="3">
        <v>9525.24</v>
      </c>
      <c r="J36" s="3">
        <v>21903.56</v>
      </c>
      <c r="K36" s="3">
        <v>31603.919999999998</v>
      </c>
      <c r="L36" s="3">
        <v>24326.63</v>
      </c>
      <c r="M36" s="3">
        <v>35157.78</v>
      </c>
      <c r="N36" s="3"/>
      <c r="O36" s="3"/>
      <c r="Q36" s="3">
        <f>SUM(OSRRefD14_16x)+IFERROR(SUM(OSRRefE14_16x),0)</f>
        <v>183274.19</v>
      </c>
    </row>
    <row r="37" spans="1:17" s="39" customFormat="1" ht="15" hidden="1" customHeight="1" outlineLevel="1" x14ac:dyDescent="0.3">
      <c r="A37" s="24"/>
      <c r="B37" s="11" t="str">
        <f>CONCATENATE("          ","5501"," - ","FREIGHT-IN-NEW TEXT")</f>
        <v xml:space="preserve">          5501 - FREIGHT-IN-NEW TEXT</v>
      </c>
      <c r="C37" s="23"/>
      <c r="D37" s="3">
        <v>0</v>
      </c>
      <c r="E37" s="3">
        <v>0</v>
      </c>
      <c r="F37" s="3">
        <v>0</v>
      </c>
      <c r="G37" s="3">
        <v>0</v>
      </c>
      <c r="H37" s="3"/>
      <c r="I37" s="3"/>
      <c r="J37" s="3"/>
      <c r="K37" s="3"/>
      <c r="L37" s="3"/>
      <c r="M37" s="3"/>
      <c r="N37" s="3"/>
      <c r="O37" s="3"/>
      <c r="Q37" s="3">
        <f>SUM(OSRRefD14_17x)+IFERROR(SUM(OSRRefE14_17x),0)</f>
        <v>0</v>
      </c>
    </row>
    <row r="38" spans="1:17" s="39" customFormat="1" ht="15" hidden="1" customHeight="1" outlineLevel="1" x14ac:dyDescent="0.3">
      <c r="A38" s="24"/>
      <c r="B38" s="11" t="str">
        <f>CONCATENATE("          ","5502"," - ","FREIGHT-IN-USED TEXT")</f>
        <v xml:space="preserve">          5502 - FREIGHT-IN-USED TEXT</v>
      </c>
      <c r="C38" s="23"/>
      <c r="D38" s="3">
        <v>0</v>
      </c>
      <c r="E38" s="3">
        <v>0</v>
      </c>
      <c r="F38" s="3">
        <v>0</v>
      </c>
      <c r="G38" s="3"/>
      <c r="H38" s="3"/>
      <c r="I38" s="3"/>
      <c r="J38" s="3"/>
      <c r="K38" s="3"/>
      <c r="L38" s="3"/>
      <c r="M38" s="3"/>
      <c r="N38" s="3"/>
      <c r="O38" s="3"/>
      <c r="Q38" s="3">
        <f>SUM(OSRRefD14_18x)+IFERROR(SUM(OSRRefE14_18x),0)</f>
        <v>0</v>
      </c>
    </row>
    <row r="39" spans="1:17" s="39" customFormat="1" ht="15" hidden="1" customHeight="1" outlineLevel="1" x14ac:dyDescent="0.3">
      <c r="A39" s="24"/>
      <c r="B39" s="11" t="str">
        <f>CONCATENATE("          ","5518"," - ","FREIGHT-IN-STUDY GUIDES")</f>
        <v xml:space="preserve">          5518 - FREIGHT-IN-STUDY GUIDES</v>
      </c>
      <c r="C39" s="23"/>
      <c r="D39" s="3">
        <v>0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Q39" s="3">
        <f>SUM(OSRRefD14_19x)+IFERROR(SUM(OSRRefE14_19x),0)</f>
        <v>0</v>
      </c>
    </row>
    <row r="40" spans="1:17" s="39" customFormat="1" ht="15" hidden="1" customHeight="1" outlineLevel="1" x14ac:dyDescent="0.3">
      <c r="A40" s="24"/>
      <c r="B40" s="11" t="str">
        <f>CONCATENATE("          ","5527"," - ","FREIGHT-IN-SCHOOL SUPPLIES")</f>
        <v xml:space="preserve">          5527 - FREIGHT-IN-SCHOOL SUPPLIES</v>
      </c>
      <c r="C40" s="23"/>
      <c r="D40" s="3"/>
      <c r="E40" s="3">
        <v>0</v>
      </c>
      <c r="F40" s="3"/>
      <c r="G40" s="3"/>
      <c r="H40" s="3"/>
      <c r="I40" s="3"/>
      <c r="J40" s="3"/>
      <c r="K40" s="3"/>
      <c r="L40" s="3"/>
      <c r="M40" s="3"/>
      <c r="N40" s="3"/>
      <c r="O40" s="3"/>
      <c r="Q40" s="3">
        <f>SUM(OSRRefD14_20x)+IFERROR(SUM(OSRRefE14_20x),0)</f>
        <v>0</v>
      </c>
    </row>
    <row r="41" spans="1:17" s="39" customFormat="1" ht="15" hidden="1" customHeight="1" outlineLevel="1" x14ac:dyDescent="0.3">
      <c r="A41" s="24"/>
      <c r="B41" s="11" t="str">
        <f>CONCATENATE("          ","5528"," - ","FREIGHT-IN-ART/TECH")</f>
        <v xml:space="preserve">          5528 - FREIGHT-IN-ART/TECH</v>
      </c>
      <c r="C41" s="23"/>
      <c r="D41" s="3"/>
      <c r="E41" s="3">
        <v>0</v>
      </c>
      <c r="F41" s="3">
        <v>0</v>
      </c>
      <c r="G41" s="3"/>
      <c r="H41" s="3"/>
      <c r="I41" s="3"/>
      <c r="J41" s="3"/>
      <c r="K41" s="3"/>
      <c r="L41" s="3"/>
      <c r="M41" s="3"/>
      <c r="N41" s="3"/>
      <c r="O41" s="3"/>
      <c r="Q41" s="3">
        <f>SUM(OSRRefD14_21x)+IFERROR(SUM(OSRRefE14_21x),0)</f>
        <v>0</v>
      </c>
    </row>
    <row r="42" spans="1:17" s="39" customFormat="1" ht="15" hidden="1" customHeight="1" outlineLevel="1" x14ac:dyDescent="0.3">
      <c r="A42" s="24"/>
      <c r="B42" s="11" t="str">
        <f>CONCATENATE("          ","5540"," - ","FREIGHT-IN-LOGO CLOTHING")</f>
        <v xml:space="preserve">          5540 - FREIGHT-IN-LOGO CLOTHING</v>
      </c>
      <c r="C42" s="23"/>
      <c r="D42" s="3">
        <v>0</v>
      </c>
      <c r="E42" s="3">
        <v>0</v>
      </c>
      <c r="F42" s="3"/>
      <c r="G42" s="3"/>
      <c r="H42" s="3"/>
      <c r="I42" s="3"/>
      <c r="J42" s="3"/>
      <c r="K42" s="3"/>
      <c r="L42" s="3"/>
      <c r="M42" s="3"/>
      <c r="N42" s="3"/>
      <c r="O42" s="3"/>
      <c r="Q42" s="3">
        <f>SUM(OSRRefD14_22x)+IFERROR(SUM(OSRRefE14_22x),0)</f>
        <v>0</v>
      </c>
    </row>
    <row r="43" spans="1:17" s="39" customFormat="1" ht="15" hidden="1" customHeight="1" outlineLevel="1" x14ac:dyDescent="0.3">
      <c r="A43" s="24"/>
      <c r="B43" s="11" t="str">
        <f>CONCATENATE("          ","5541"," - ","FREIGHT-IN-LOGO GIFTS")</f>
        <v xml:space="preserve">          5541 - FREIGHT-IN-LOGO GIFTS</v>
      </c>
      <c r="C43" s="23"/>
      <c r="D43" s="3">
        <v>0</v>
      </c>
      <c r="E43" s="3">
        <v>0</v>
      </c>
      <c r="F43" s="3">
        <v>0</v>
      </c>
      <c r="G43" s="3"/>
      <c r="H43" s="3"/>
      <c r="I43" s="3"/>
      <c r="J43" s="3"/>
      <c r="K43" s="3"/>
      <c r="L43" s="3"/>
      <c r="M43" s="3"/>
      <c r="N43" s="3"/>
      <c r="O43" s="3"/>
      <c r="Q43" s="3">
        <f>SUM(OSRRefD14_23x)+IFERROR(SUM(OSRRefE14_23x),0)</f>
        <v>0</v>
      </c>
    </row>
    <row r="44" spans="1:17" s="39" customFormat="1" ht="15" hidden="1" customHeight="1" outlineLevel="1" x14ac:dyDescent="0.3">
      <c r="A44" s="24"/>
      <c r="B44" s="11" t="str">
        <f>CONCATENATE("          ","5542"," - ","FREIGHT-IN-EVERYDAY GIFTS")</f>
        <v xml:space="preserve">          5542 - FREIGHT-IN-EVERYDAY GIFTS</v>
      </c>
      <c r="C44" s="23"/>
      <c r="D44" s="3">
        <v>0</v>
      </c>
      <c r="E44" s="3">
        <v>0</v>
      </c>
      <c r="F44" s="3"/>
      <c r="G44" s="3"/>
      <c r="H44" s="3"/>
      <c r="I44" s="3"/>
      <c r="J44" s="3"/>
      <c r="K44" s="3"/>
      <c r="L44" s="3"/>
      <c r="M44" s="3"/>
      <c r="N44" s="3"/>
      <c r="O44" s="3"/>
      <c r="Q44" s="3">
        <f>SUM(OSRRefD14_24x)+IFERROR(SUM(OSRRefE14_24x),0)</f>
        <v>0</v>
      </c>
    </row>
    <row r="45" spans="1:17" s="39" customFormat="1" ht="15" hidden="1" customHeight="1" outlineLevel="1" x14ac:dyDescent="0.3">
      <c r="A45" s="24"/>
      <c r="B45" s="11" t="str">
        <f>CONCATENATE("          ","5544"," - ","FREIGHT-IN-ACCESSORIES")</f>
        <v xml:space="preserve">          5544 - FREIGHT-IN-ACCESSORIES</v>
      </c>
      <c r="C45" s="23"/>
      <c r="D45" s="3">
        <v>0</v>
      </c>
      <c r="E45" s="3">
        <v>0</v>
      </c>
      <c r="F45" s="3"/>
      <c r="G45" s="3"/>
      <c r="H45" s="3"/>
      <c r="I45" s="3"/>
      <c r="J45" s="3"/>
      <c r="K45" s="3"/>
      <c r="L45" s="3"/>
      <c r="M45" s="3"/>
      <c r="N45" s="3"/>
      <c r="O45" s="3"/>
      <c r="Q45" s="3">
        <f>SUM(OSRRefD14_25x)+IFERROR(SUM(OSRRefE14_25x),0)</f>
        <v>0</v>
      </c>
    </row>
    <row r="46" spans="1:17" s="39" customFormat="1" ht="15" hidden="1" customHeight="1" outlineLevel="1" x14ac:dyDescent="0.3">
      <c r="A46" s="24"/>
      <c r="B46" s="11" t="str">
        <f>CONCATENATE("          ","5545"," - ","FREIGHT-IN-SPECIAL ORDERS")</f>
        <v xml:space="preserve">          5545 - FREIGHT-IN-SPECIAL ORDERS</v>
      </c>
      <c r="C46" s="23"/>
      <c r="D46" s="3">
        <v>0</v>
      </c>
      <c r="E46" s="3">
        <v>0</v>
      </c>
      <c r="F46" s="3"/>
      <c r="G46" s="3"/>
      <c r="H46" s="3"/>
      <c r="I46" s="3"/>
      <c r="J46" s="3"/>
      <c r="K46" s="3"/>
      <c r="L46" s="3"/>
      <c r="M46" s="3"/>
      <c r="N46" s="3"/>
      <c r="O46" s="3"/>
      <c r="Q46" s="3">
        <f>SUM(OSRRefD14_26x)+IFERROR(SUM(OSRRefE14_26x),0)</f>
        <v>0</v>
      </c>
    </row>
    <row r="47" spans="1:17" ht="15" customHeight="1" x14ac:dyDescent="0.3">
      <c r="A47" s="6"/>
      <c r="B47" s="7"/>
      <c r="C47" s="7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Q47" s="4"/>
    </row>
    <row r="48" spans="1:17" s="37" customFormat="1" ht="15" customHeight="1" x14ac:dyDescent="0.3">
      <c r="A48" s="7"/>
      <c r="B48" s="18" t="s">
        <v>285</v>
      </c>
      <c r="C48" s="18"/>
      <c r="D48" s="9">
        <f t="shared" ref="D48:O48" si="0">IFERROR(+D10-D19,0)</f>
        <v>93076.780000000028</v>
      </c>
      <c r="E48" s="9">
        <f t="shared" si="0"/>
        <v>520456.47999999975</v>
      </c>
      <c r="F48" s="9">
        <f t="shared" si="0"/>
        <v>199140.35000000015</v>
      </c>
      <c r="G48" s="9">
        <f t="shared" si="0"/>
        <v>239744.55999999988</v>
      </c>
      <c r="H48" s="9">
        <f t="shared" si="0"/>
        <v>156662.3900000001</v>
      </c>
      <c r="I48" s="9">
        <f t="shared" si="0"/>
        <v>240127.50000000012</v>
      </c>
      <c r="J48" s="9">
        <f t="shared" si="0"/>
        <v>303999.81000000006</v>
      </c>
      <c r="K48" s="9">
        <f t="shared" si="0"/>
        <v>381869.92999999988</v>
      </c>
      <c r="L48" s="9">
        <f t="shared" si="0"/>
        <v>333620.22999999992</v>
      </c>
      <c r="M48" s="9">
        <f t="shared" si="0"/>
        <v>493645.8899999999</v>
      </c>
      <c r="N48" s="9">
        <f t="shared" si="0"/>
        <v>201567</v>
      </c>
      <c r="O48" s="9">
        <f t="shared" si="0"/>
        <v>133958</v>
      </c>
      <c r="Q48" s="9">
        <f>IFERROR(+Q10-Q19,0)</f>
        <v>3297868.919999999</v>
      </c>
    </row>
    <row r="49" spans="1:17" s="38" customFormat="1" ht="15" customHeight="1" x14ac:dyDescent="0.3">
      <c r="B49" s="17"/>
      <c r="C49" s="17"/>
      <c r="D49" s="5">
        <f t="shared" ref="D49:O49" si="1">IFERROR(D48/D10,0)</f>
        <v>0.42212032369240904</v>
      </c>
      <c r="E49" s="5">
        <f t="shared" si="1"/>
        <v>0.34403648162511424</v>
      </c>
      <c r="F49" s="5">
        <f t="shared" si="1"/>
        <v>0.34072966117494158</v>
      </c>
      <c r="G49" s="5">
        <f t="shared" si="1"/>
        <v>0.43556361011741196</v>
      </c>
      <c r="H49" s="5">
        <f t="shared" si="1"/>
        <v>0.53153015513956658</v>
      </c>
      <c r="I49" s="5">
        <f t="shared" si="1"/>
        <v>0.48196806874610582</v>
      </c>
      <c r="J49" s="5">
        <f t="shared" si="1"/>
        <v>0.40235341690051385</v>
      </c>
      <c r="K49" s="5">
        <f t="shared" si="1"/>
        <v>0.49041565787923452</v>
      </c>
      <c r="L49" s="5">
        <f t="shared" si="1"/>
        <v>0.56270844228893546</v>
      </c>
      <c r="M49" s="5">
        <f t="shared" si="1"/>
        <v>0.56518057495114171</v>
      </c>
      <c r="N49" s="5">
        <f t="shared" si="1"/>
        <v>0.52985523856589711</v>
      </c>
      <c r="O49" s="5">
        <f t="shared" si="1"/>
        <v>0.47089550927146501</v>
      </c>
      <c r="P49" s="19"/>
      <c r="Q49" s="5">
        <f>IFERROR(Q48/Q10,0)</f>
        <v>0.45012528775859934</v>
      </c>
    </row>
    <row r="50" spans="1:17" ht="15" customHeight="1" x14ac:dyDescent="0.3">
      <c r="A50" s="6"/>
      <c r="B50" s="7"/>
      <c r="C50" s="6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Q50" s="2"/>
    </row>
    <row r="51" spans="1:17" s="37" customFormat="1" ht="15" customHeight="1" x14ac:dyDescent="0.3">
      <c r="A51" s="7"/>
      <c r="B51" s="17" t="s">
        <v>286</v>
      </c>
      <c r="C51" s="7"/>
      <c r="D51" s="12" cm="1">
        <f t="array" ref="D51">SUM(OSRRefD20x_0)</f>
        <v>363430.32999999996</v>
      </c>
      <c r="E51" s="12" cm="1">
        <f t="array" ref="E51">SUM(OSRRefD20x_1)</f>
        <v>339962.49999999994</v>
      </c>
      <c r="F51" s="12" cm="1">
        <f t="array" ref="F51">SUM(OSRRefD20x_2)</f>
        <v>291858.15999999997</v>
      </c>
      <c r="G51" s="12" cm="1">
        <f t="array" ref="G51">SUM(OSRRefD20x_3)</f>
        <v>331202.60000000003</v>
      </c>
      <c r="H51" s="12" cm="1">
        <f t="array" ref="H51">SUM(OSRRefD20x_4)</f>
        <v>264883.31999999995</v>
      </c>
      <c r="I51" s="12" cm="1">
        <f t="array" ref="I51">SUM(OSRRefD20x_5)</f>
        <v>276339.46000000002</v>
      </c>
      <c r="J51" s="12" cm="1">
        <f t="array" ref="J51">SUM(OSRRefD20x_6)</f>
        <v>357580.35999999993</v>
      </c>
      <c r="K51" s="12" cm="1">
        <f t="array" ref="K51">SUM(OSRRefD20x_7)</f>
        <v>312441.66000000003</v>
      </c>
      <c r="L51" s="12" cm="1">
        <f t="array" ref="L51">SUM(OSRRefD20x_8)</f>
        <v>316367.82000000007</v>
      </c>
      <c r="M51" s="12" cm="1">
        <f t="array" ref="M51">SUM(OSRRefD20x_9)</f>
        <v>359058.46</v>
      </c>
      <c r="N51" s="12" cm="1">
        <f t="array" ref="N51">SUM(OSRRefE20x_0)</f>
        <v>284416.80103275506</v>
      </c>
      <c r="O51" s="12" cm="1">
        <f t="array" ref="O51">SUM(OSRRefE20x_1)</f>
        <v>278741.20626640506</v>
      </c>
      <c r="Q51" s="12" cm="1">
        <f t="array" ref="Q51">SUM(OSRRefG20x)</f>
        <v>3776282.6772991596</v>
      </c>
    </row>
    <row r="52" spans="1:17" s="42" customFormat="1" ht="15" customHeight="1" collapsed="1" x14ac:dyDescent="0.3">
      <c r="A52" s="34"/>
      <c r="B52" s="15" t="str">
        <f>CONCATENATE("     ","*Benefits                                         ")</f>
        <v xml:space="preserve">     *Benefits                                         </v>
      </c>
      <c r="C52" s="15"/>
      <c r="D52" s="2">
        <f>SUM(OSRRefD21_0x_0)</f>
        <v>47426.359999999993</v>
      </c>
      <c r="E52" s="2">
        <f>SUM(OSRRefD21_0x_1)</f>
        <v>52095.850000000006</v>
      </c>
      <c r="F52" s="2">
        <f>SUM(OSRRefD21_0x_2)</f>
        <v>46090.750000000007</v>
      </c>
      <c r="G52" s="2">
        <f>SUM(OSRRefD21_0x_3)</f>
        <v>60225.909999999996</v>
      </c>
      <c r="H52" s="2">
        <f>SUM(OSRRefD21_0x_4)</f>
        <v>51237.49</v>
      </c>
      <c r="I52" s="2">
        <f>SUM(OSRRefD21_0x_5)</f>
        <v>44141.39</v>
      </c>
      <c r="J52" s="2">
        <f>SUM(OSRRefD21_0x_6)</f>
        <v>58185.54</v>
      </c>
      <c r="K52" s="2">
        <f>SUM(OSRRefD21_0x_7)</f>
        <v>20443.749999999993</v>
      </c>
      <c r="L52" s="2">
        <f>SUM(OSRRefD21_0x_8)</f>
        <v>42176.249999999993</v>
      </c>
      <c r="M52" s="2">
        <f>SUM(OSRRefD21_0x_9)</f>
        <v>50595.58</v>
      </c>
      <c r="N52" s="2">
        <f>SUM(OSRRefE21_0x_0)</f>
        <v>43414.506824039781</v>
      </c>
      <c r="O52" s="2">
        <f>SUM(OSRRefE21_0x_1)</f>
        <v>42674.929032689783</v>
      </c>
      <c r="Q52" s="3">
        <f>SUM(OSRRefD20_0x)+IFERROR(SUM(OSRRefE20_0x),0)</f>
        <v>558708.30585672962</v>
      </c>
    </row>
    <row r="53" spans="1:17" s="42" customFormat="1" ht="15" hidden="1" customHeight="1" outlineLevel="1" x14ac:dyDescent="0.3">
      <c r="A53" s="34"/>
      <c r="B53" s="11" t="str">
        <f>CONCATENATE("          ","6111"," - ","F.I.C.A.")</f>
        <v xml:space="preserve">          6111 - F.I.C.A.</v>
      </c>
      <c r="C53" s="15"/>
      <c r="D53" s="3">
        <v>9628.01</v>
      </c>
      <c r="E53" s="3">
        <v>12320.03</v>
      </c>
      <c r="F53" s="3">
        <v>7599.49</v>
      </c>
      <c r="G53" s="3">
        <v>10663.18</v>
      </c>
      <c r="H53" s="3">
        <v>8839.07</v>
      </c>
      <c r="I53" s="3">
        <v>6766.94</v>
      </c>
      <c r="J53" s="3">
        <v>7139.7</v>
      </c>
      <c r="K53" s="3">
        <v>8104.13</v>
      </c>
      <c r="L53" s="3">
        <v>6717.54</v>
      </c>
      <c r="M53" s="3">
        <v>9755.44</v>
      </c>
      <c r="N53" s="3">
        <v>9003.9075770720792</v>
      </c>
      <c r="O53" s="3">
        <v>8661.0057284720806</v>
      </c>
      <c r="P53" s="10"/>
      <c r="Q53" s="3">
        <f>SUM(OSRRefD21_0_0x)+IFERROR(SUM(OSRRefE21_0_0x),0)</f>
        <v>105198.44330554416</v>
      </c>
    </row>
    <row r="54" spans="1:17" s="42" customFormat="1" ht="15" hidden="1" customHeight="1" outlineLevel="1" x14ac:dyDescent="0.3">
      <c r="A54" s="34"/>
      <c r="B54" s="11" t="str">
        <f>CONCATENATE("          ","6112"," - ","COMPENSATION INSURANCE")</f>
        <v xml:space="preserve">          6112 - COMPENSATION INSURANCE</v>
      </c>
      <c r="C54" s="15"/>
      <c r="D54" s="3">
        <v>1973.41</v>
      </c>
      <c r="E54" s="3">
        <v>2539.5500000000002</v>
      </c>
      <c r="F54" s="3">
        <v>2485.61</v>
      </c>
      <c r="G54" s="3">
        <v>3295.05</v>
      </c>
      <c r="H54" s="3">
        <v>2407.42</v>
      </c>
      <c r="I54" s="3">
        <v>2184.3000000000002</v>
      </c>
      <c r="J54" s="3">
        <v>2257.4699999999998</v>
      </c>
      <c r="K54" s="3">
        <v>2747.99</v>
      </c>
      <c r="L54" s="3">
        <v>2432.83</v>
      </c>
      <c r="M54" s="3">
        <v>2266.4499999999998</v>
      </c>
      <c r="N54" s="3">
        <v>2393.2911244799998</v>
      </c>
      <c r="O54" s="3">
        <v>2263.5606274800002</v>
      </c>
      <c r="P54" s="10"/>
      <c r="Q54" s="3">
        <f>SUM(OSRRefD21_0_1x)+IFERROR(SUM(OSRRefE21_0_1x),0)</f>
        <v>29246.931751960004</v>
      </c>
    </row>
    <row r="55" spans="1:17" s="42" customFormat="1" ht="15" hidden="1" customHeight="1" outlineLevel="1" x14ac:dyDescent="0.3">
      <c r="A55" s="34"/>
      <c r="B55" s="11" t="str">
        <f>CONCATENATE("          ","6113"," - ","GROUP INSURANCE")</f>
        <v xml:space="preserve">          6113 - GROUP INSURANCE</v>
      </c>
      <c r="C55" s="15"/>
      <c r="D55" s="3">
        <v>17896.5</v>
      </c>
      <c r="E55" s="3">
        <v>17896.5</v>
      </c>
      <c r="F55" s="3">
        <v>17921.21</v>
      </c>
      <c r="G55" s="3">
        <v>18566.900000000001</v>
      </c>
      <c r="H55" s="3">
        <v>17975.22</v>
      </c>
      <c r="I55" s="3">
        <v>16550.71</v>
      </c>
      <c r="J55" s="3">
        <v>15053.29</v>
      </c>
      <c r="K55" s="3">
        <v>14173.69</v>
      </c>
      <c r="L55" s="3">
        <v>14256.33</v>
      </c>
      <c r="M55" s="3">
        <v>14256.33</v>
      </c>
      <c r="N55" s="3">
        <v>15715.9230769231</v>
      </c>
      <c r="O55" s="3">
        <v>15715.9230769231</v>
      </c>
      <c r="P55" s="10"/>
      <c r="Q55" s="3">
        <f>SUM(OSRRefD21_0_2x)+IFERROR(SUM(OSRRefE21_0_2x),0)</f>
        <v>195978.52615384618</v>
      </c>
    </row>
    <row r="56" spans="1:17" s="42" customFormat="1" ht="15" hidden="1" customHeight="1" outlineLevel="1" x14ac:dyDescent="0.3">
      <c r="A56" s="34"/>
      <c r="B56" s="11" t="str">
        <f>CONCATENATE("          ","6114"," - ","STATE UNEMPLOYMENT INSURANCE")</f>
        <v xml:space="preserve">          6114 - STATE UNEMPLOYMENT INSURANCE</v>
      </c>
      <c r="C56" s="15"/>
      <c r="D56" s="3">
        <v>357.53</v>
      </c>
      <c r="E56" s="3">
        <v>460.58</v>
      </c>
      <c r="F56" s="3">
        <v>449.18</v>
      </c>
      <c r="G56" s="3">
        <v>592.89</v>
      </c>
      <c r="H56" s="3">
        <v>432.61</v>
      </c>
      <c r="I56" s="3">
        <v>393.4</v>
      </c>
      <c r="J56" s="3">
        <v>406.86</v>
      </c>
      <c r="K56" s="3">
        <v>498.17</v>
      </c>
      <c r="L56" s="3">
        <v>436.73</v>
      </c>
      <c r="M56" s="3">
        <v>406.64</v>
      </c>
      <c r="N56" s="3">
        <v>322.17380521846201</v>
      </c>
      <c r="O56" s="3">
        <v>304.71008446846201</v>
      </c>
      <c r="P56" s="10"/>
      <c r="Q56" s="3">
        <f>SUM(OSRRefD21_0_3x)+IFERROR(SUM(OSRRefE21_0_3x),0)</f>
        <v>5061.4738896869239</v>
      </c>
    </row>
    <row r="57" spans="1:17" s="42" customFormat="1" ht="15" hidden="1" customHeight="1" outlineLevel="1" x14ac:dyDescent="0.3">
      <c r="A57" s="34"/>
      <c r="B57" s="11" t="str">
        <f>CONCATENATE("          ","6115"," - ","P.E.R.S.")</f>
        <v xml:space="preserve">          6115 - P.E.R.S.</v>
      </c>
      <c r="C57" s="15"/>
      <c r="D57" s="3">
        <v>6296.23</v>
      </c>
      <c r="E57" s="3">
        <v>6296.23</v>
      </c>
      <c r="F57" s="3">
        <v>6296.23</v>
      </c>
      <c r="G57" s="3">
        <v>9444.34</v>
      </c>
      <c r="H57" s="3">
        <v>8571.01</v>
      </c>
      <c r="I57" s="3">
        <v>5703.78</v>
      </c>
      <c r="J57" s="3">
        <v>5727.73</v>
      </c>
      <c r="K57" s="3">
        <v>6920.65</v>
      </c>
      <c r="L57" s="3">
        <v>4993</v>
      </c>
      <c r="M57" s="3">
        <v>7052.79</v>
      </c>
      <c r="N57" s="3">
        <v>4215.5982431846096</v>
      </c>
      <c r="O57" s="3">
        <v>4215.5982431846096</v>
      </c>
      <c r="P57" s="10"/>
      <c r="Q57" s="3">
        <f>SUM(OSRRefD21_0_4x)+IFERROR(SUM(OSRRefE21_0_4x),0)</f>
        <v>75733.186486369232</v>
      </c>
    </row>
    <row r="58" spans="1:17" s="42" customFormat="1" ht="15" hidden="1" customHeight="1" outlineLevel="1" x14ac:dyDescent="0.3">
      <c r="A58" s="34"/>
      <c r="B58" s="11" t="str">
        <f>CONCATENATE("          ","6116"," - ","EDUCATIONAL BENEFITS")</f>
        <v xml:space="preserve">          6116 - EDUCATIONAL BENEFITS</v>
      </c>
      <c r="C58" s="15"/>
      <c r="D58" s="3"/>
      <c r="E58" s="3"/>
      <c r="F58" s="3"/>
      <c r="G58" s="3"/>
      <c r="H58" s="3"/>
      <c r="I58" s="3"/>
      <c r="J58" s="3"/>
      <c r="K58" s="3"/>
      <c r="L58" s="3"/>
      <c r="M58" s="3"/>
      <c r="N58" s="3">
        <v>0</v>
      </c>
      <c r="O58" s="3">
        <v>0</v>
      </c>
      <c r="P58" s="10"/>
      <c r="Q58" s="3">
        <f>SUM(OSRRefD21_0_5x)+IFERROR(SUM(OSRRefE21_0_5x),0)</f>
        <v>0</v>
      </c>
    </row>
    <row r="59" spans="1:17" s="42" customFormat="1" ht="15" hidden="1" customHeight="1" outlineLevel="1" x14ac:dyDescent="0.3">
      <c r="A59" s="34"/>
      <c r="B59" s="11" t="str">
        <f>CONCATENATE("          ","6117"," - ","RETIREMENT STAFF HOURLY")</f>
        <v xml:space="preserve">          6117 - RETIREMENT STAFF HOURLY</v>
      </c>
      <c r="C59" s="15"/>
      <c r="D59" s="3">
        <v>552.85</v>
      </c>
      <c r="E59" s="3">
        <v>962.68</v>
      </c>
      <c r="F59" s="3">
        <v>424.12</v>
      </c>
      <c r="G59" s="3">
        <v>576.07000000000005</v>
      </c>
      <c r="H59" s="3">
        <v>588.41999999999996</v>
      </c>
      <c r="I59" s="3">
        <v>590.27</v>
      </c>
      <c r="J59" s="3">
        <v>968.65</v>
      </c>
      <c r="K59" s="3">
        <v>701.53</v>
      </c>
      <c r="L59" s="3">
        <v>775.07</v>
      </c>
      <c r="M59" s="3">
        <v>735.56</v>
      </c>
      <c r="N59" s="3"/>
      <c r="O59" s="3"/>
      <c r="P59" s="10"/>
      <c r="Q59" s="3">
        <f>SUM(OSRRefD21_0_6x)+IFERROR(SUM(OSRRefE21_0_6x),0)</f>
        <v>6875.2199999999993</v>
      </c>
    </row>
    <row r="60" spans="1:17" s="42" customFormat="1" ht="15" hidden="1" customHeight="1" outlineLevel="1" x14ac:dyDescent="0.3">
      <c r="A60" s="34"/>
      <c r="B60" s="11" t="str">
        <f>CONCATENATE("          ","6118"," - ","VACATION")</f>
        <v xml:space="preserve">          6118 - VACATION</v>
      </c>
      <c r="C60" s="15"/>
      <c r="D60" s="3">
        <v>5400.79</v>
      </c>
      <c r="E60" s="3">
        <v>5549.94</v>
      </c>
      <c r="F60" s="3">
        <v>4674.6000000000004</v>
      </c>
      <c r="G60" s="3">
        <v>7622.27</v>
      </c>
      <c r="H60" s="3">
        <v>5643.29</v>
      </c>
      <c r="I60" s="3">
        <v>5402.63</v>
      </c>
      <c r="J60" s="3">
        <v>9670.4599999999991</v>
      </c>
      <c r="K60" s="3">
        <v>7602.2</v>
      </c>
      <c r="L60" s="3">
        <v>5231.3599999999997</v>
      </c>
      <c r="M60" s="3">
        <v>7530.47</v>
      </c>
      <c r="N60" s="3">
        <v>3793.1837726692302</v>
      </c>
      <c r="O60" s="3">
        <v>3793.1837726692302</v>
      </c>
      <c r="P60" s="10"/>
      <c r="Q60" s="3">
        <f>SUM(OSRRefD21_0_7x)+IFERROR(SUM(OSRRefE21_0_7x),0)</f>
        <v>71914.377545338459</v>
      </c>
    </row>
    <row r="61" spans="1:17" s="42" customFormat="1" ht="15" hidden="1" customHeight="1" outlineLevel="1" x14ac:dyDescent="0.3">
      <c r="A61" s="34"/>
      <c r="B61" s="11" t="str">
        <f>CONCATENATE("          ","6119"," - ","SICK LEAVE")</f>
        <v xml:space="preserve">          6119 - SICK LEAVE</v>
      </c>
      <c r="C61" s="15"/>
      <c r="D61" s="3">
        <v>3886.05</v>
      </c>
      <c r="E61" s="3">
        <v>3886.05</v>
      </c>
      <c r="F61" s="3">
        <v>3898.37</v>
      </c>
      <c r="G61" s="3">
        <v>5499.11</v>
      </c>
      <c r="H61" s="3">
        <v>3805.28</v>
      </c>
      <c r="I61" s="3">
        <v>3805.28</v>
      </c>
      <c r="J61" s="3">
        <v>14065.21</v>
      </c>
      <c r="K61" s="3">
        <v>-23816.080000000002</v>
      </c>
      <c r="L61" s="3">
        <v>3899.81</v>
      </c>
      <c r="M61" s="3">
        <v>5490.17</v>
      </c>
      <c r="N61" s="3">
        <v>5695.4292244922999</v>
      </c>
      <c r="O61" s="3">
        <v>5445.9474994923003</v>
      </c>
      <c r="P61" s="10"/>
      <c r="Q61" s="3">
        <f>SUM(OSRRefD21_0_8x)+IFERROR(SUM(OSRRefE21_0_8x),0)</f>
        <v>35560.626723984598</v>
      </c>
    </row>
    <row r="62" spans="1:17" s="42" customFormat="1" ht="15" hidden="1" customHeight="1" outlineLevel="1" x14ac:dyDescent="0.3">
      <c r="A62" s="34"/>
      <c r="B62" s="11" t="str">
        <f>CONCATENATE("          ","6156"," - ","EMPLOYEE MEALS")</f>
        <v xml:space="preserve">          6156 - EMPLOYEE MEALS</v>
      </c>
      <c r="C62" s="15"/>
      <c r="D62" s="3">
        <v>1434.99</v>
      </c>
      <c r="E62" s="3">
        <v>2184.29</v>
      </c>
      <c r="F62" s="3">
        <v>2341.94</v>
      </c>
      <c r="G62" s="3">
        <v>3966.1</v>
      </c>
      <c r="H62" s="3">
        <v>2975.17</v>
      </c>
      <c r="I62" s="3">
        <v>2744.08</v>
      </c>
      <c r="J62" s="3">
        <v>2896.17</v>
      </c>
      <c r="K62" s="3">
        <v>3511.47</v>
      </c>
      <c r="L62" s="3">
        <v>3433.58</v>
      </c>
      <c r="M62" s="3">
        <v>3101.73</v>
      </c>
      <c r="N62" s="3">
        <v>2275</v>
      </c>
      <c r="O62" s="3">
        <v>2275</v>
      </c>
      <c r="P62" s="10"/>
      <c r="Q62" s="3">
        <f>SUM(OSRRefD21_0_9x)+IFERROR(SUM(OSRRefE21_0_9x),0)</f>
        <v>33139.520000000004</v>
      </c>
    </row>
    <row r="63" spans="1:17" s="42" customFormat="1" ht="15" customHeight="1" collapsed="1" x14ac:dyDescent="0.3">
      <c r="A63" s="34"/>
      <c r="B63" s="15" t="str">
        <f>CONCATENATE("     ","*Payroll                                          ")</f>
        <v xml:space="preserve">     *Payroll                                          </v>
      </c>
      <c r="C63" s="15"/>
      <c r="D63" s="2">
        <f>SUM(OSRRefD21_1x_0)</f>
        <v>166272.59000000003</v>
      </c>
      <c r="E63" s="2">
        <f>SUM(OSRRefD21_1x_1)</f>
        <v>186593.31999999998</v>
      </c>
      <c r="F63" s="2">
        <f>SUM(OSRRefD21_1x_2)</f>
        <v>158667.88</v>
      </c>
      <c r="G63" s="2">
        <f>SUM(OSRRefD21_1x_3)</f>
        <v>172006.66000000003</v>
      </c>
      <c r="H63" s="2">
        <f>SUM(OSRRefD21_1x_4)</f>
        <v>121390.19</v>
      </c>
      <c r="I63" s="2">
        <f>SUM(OSRRefD21_1x_5)</f>
        <v>149267.02000000002</v>
      </c>
      <c r="J63" s="2">
        <f>SUM(OSRRefD21_1x_6)</f>
        <v>194439.41</v>
      </c>
      <c r="K63" s="2">
        <f>SUM(OSRRefD21_1x_7)</f>
        <v>186124.57</v>
      </c>
      <c r="L63" s="2">
        <f>SUM(OSRRefD21_1x_8)</f>
        <v>166169.60000000001</v>
      </c>
      <c r="M63" s="2">
        <f>SUM(OSRRefD21_1x_9)</f>
        <v>190153.35</v>
      </c>
      <c r="N63" s="2">
        <f>SUM(OSRRefE21_1x_0)</f>
        <v>146695.29420871529</v>
      </c>
      <c r="O63" s="2">
        <f>SUM(OSRRefE21_1x_1)</f>
        <v>138220.27723371529</v>
      </c>
      <c r="Q63" s="3">
        <f>SUM(OSRRefD20_1x)+IFERROR(SUM(OSRRefE20_1x),0)</f>
        <v>1976000.1614424309</v>
      </c>
    </row>
    <row r="64" spans="1:17" s="42" customFormat="1" ht="15" hidden="1" customHeight="1" outlineLevel="1" x14ac:dyDescent="0.3">
      <c r="A64" s="34"/>
      <c r="B64" s="11" t="str">
        <f>CONCATENATE("          ","6001"," - ","ADMINISTRATIVE SALARIES")</f>
        <v xml:space="preserve">          6001 - ADMINISTRATIVE SALARIES</v>
      </c>
      <c r="C64" s="15"/>
      <c r="D64" s="3">
        <v>5599.1</v>
      </c>
      <c r="E64" s="3">
        <v>4479.1000000000004</v>
      </c>
      <c r="F64" s="3">
        <v>4479.1000000000004</v>
      </c>
      <c r="G64" s="3">
        <v>4926.78</v>
      </c>
      <c r="H64" s="3">
        <v>4192.43</v>
      </c>
      <c r="I64" s="3">
        <v>4658.26</v>
      </c>
      <c r="J64" s="3">
        <v>5357.43</v>
      </c>
      <c r="K64" s="3">
        <v>7265.35</v>
      </c>
      <c r="L64" s="3">
        <v>3959.51</v>
      </c>
      <c r="M64" s="3">
        <v>2749.47</v>
      </c>
      <c r="N64" s="3">
        <v>4139.8076923076896</v>
      </c>
      <c r="O64" s="3">
        <v>4139.8076923076896</v>
      </c>
      <c r="P64" s="10"/>
      <c r="Q64" s="3">
        <f>SUM(OSRRefD21_1_0x)+IFERROR(SUM(OSRRefE21_1_0x),0)</f>
        <v>55946.145384615389</v>
      </c>
    </row>
    <row r="65" spans="1:17" s="42" customFormat="1" ht="15" hidden="1" customHeight="1" outlineLevel="1" x14ac:dyDescent="0.3">
      <c r="A65" s="34"/>
      <c r="B65" s="11" t="str">
        <f>CONCATENATE("          ","6002"," - ","STAFF SALARIES")</f>
        <v xml:space="preserve">          6002 - STAFF SALARIES</v>
      </c>
      <c r="C65" s="15"/>
      <c r="D65" s="3">
        <v>68536.740000000005</v>
      </c>
      <c r="E65" s="3">
        <v>58749.01</v>
      </c>
      <c r="F65" s="3">
        <v>59317.32</v>
      </c>
      <c r="G65" s="3">
        <v>62962.98</v>
      </c>
      <c r="H65" s="3">
        <v>39449.300000000003</v>
      </c>
      <c r="I65" s="3">
        <v>52623.72</v>
      </c>
      <c r="J65" s="3">
        <v>63389.16</v>
      </c>
      <c r="K65" s="3">
        <v>63093.51</v>
      </c>
      <c r="L65" s="3">
        <v>47158.67</v>
      </c>
      <c r="M65" s="3">
        <v>58548.65</v>
      </c>
      <c r="N65" s="3">
        <v>40067.404623407601</v>
      </c>
      <c r="O65" s="3">
        <v>40067.404623407601</v>
      </c>
      <c r="P65" s="10"/>
      <c r="Q65" s="3">
        <f>SUM(OSRRefD21_1_1x)+IFERROR(SUM(OSRRefE21_1_1x),0)</f>
        <v>653963.86924681521</v>
      </c>
    </row>
    <row r="66" spans="1:17" s="42" customFormat="1" ht="15" hidden="1" customHeight="1" outlineLevel="1" x14ac:dyDescent="0.3">
      <c r="A66" s="34"/>
      <c r="B66" s="11" t="str">
        <f>CONCATENATE("          ","6003"," - ","STAFF HOURLY-9 MONTH")</f>
        <v xml:space="preserve">          6003 - STAFF HOURLY-9 MONTH</v>
      </c>
      <c r="C66" s="15"/>
      <c r="D66" s="3"/>
      <c r="E66" s="3"/>
      <c r="F66" s="3"/>
      <c r="G66" s="3"/>
      <c r="H66" s="3"/>
      <c r="I66" s="3"/>
      <c r="J66" s="3"/>
      <c r="K66" s="3"/>
      <c r="L66" s="3"/>
      <c r="M66" s="3"/>
      <c r="N66" s="3">
        <v>0</v>
      </c>
      <c r="O66" s="3">
        <v>0</v>
      </c>
      <c r="P66" s="10"/>
      <c r="Q66" s="3">
        <f>SUM(OSRRefD21_1_2x)+IFERROR(SUM(OSRRefE21_1_2x),0)</f>
        <v>0</v>
      </c>
    </row>
    <row r="67" spans="1:17" s="42" customFormat="1" ht="15" hidden="1" customHeight="1" outlineLevel="1" x14ac:dyDescent="0.3">
      <c r="A67" s="34"/>
      <c r="B67" s="11" t="str">
        <f>CONCATENATE("          ","6004"," - ","STAFF HOURLY")</f>
        <v xml:space="preserve">          6004 - STAFF HOURLY</v>
      </c>
      <c r="C67" s="15"/>
      <c r="D67" s="3">
        <v>18084.38</v>
      </c>
      <c r="E67" s="3">
        <v>19678.82</v>
      </c>
      <c r="F67" s="3">
        <v>21848.69</v>
      </c>
      <c r="G67" s="3">
        <v>30372.86</v>
      </c>
      <c r="H67" s="3">
        <v>20628.84</v>
      </c>
      <c r="I67" s="3">
        <v>21860.77</v>
      </c>
      <c r="J67" s="3">
        <v>21317.88</v>
      </c>
      <c r="K67" s="3">
        <v>31527.18</v>
      </c>
      <c r="L67" s="3">
        <v>21529.040000000001</v>
      </c>
      <c r="M67" s="3">
        <v>38366.57</v>
      </c>
      <c r="N67" s="3">
        <v>36029.393568</v>
      </c>
      <c r="O67" s="3">
        <v>34643.393568</v>
      </c>
      <c r="P67" s="10"/>
      <c r="Q67" s="3">
        <f>SUM(OSRRefD21_1_3x)+IFERROR(SUM(OSRRefE21_1_3x),0)</f>
        <v>315887.81713600003</v>
      </c>
    </row>
    <row r="68" spans="1:17" s="42" customFormat="1" ht="15" hidden="1" customHeight="1" outlineLevel="1" x14ac:dyDescent="0.3">
      <c r="A68" s="34"/>
      <c r="B68" s="11" t="str">
        <f>CONCATENATE("          ","6005"," - ","TEMPORARY WAGES-HOURLY")</f>
        <v xml:space="preserve">          6005 - TEMPORARY WAGES-HOURLY</v>
      </c>
      <c r="C68" s="15"/>
      <c r="D68" s="3">
        <v>9447.7999999999993</v>
      </c>
      <c r="E68" s="3">
        <v>9622.7900000000009</v>
      </c>
      <c r="F68" s="3">
        <v>8688.1200000000008</v>
      </c>
      <c r="G68" s="3">
        <v>11398.46</v>
      </c>
      <c r="H68" s="3">
        <v>7275.68</v>
      </c>
      <c r="I68" s="3">
        <v>6414.59</v>
      </c>
      <c r="J68" s="3">
        <v>7084.01</v>
      </c>
      <c r="K68" s="3">
        <v>7122.26</v>
      </c>
      <c r="L68" s="3">
        <v>5143.54</v>
      </c>
      <c r="M68" s="3">
        <v>6503.23</v>
      </c>
      <c r="N68" s="3">
        <v>2252.5</v>
      </c>
      <c r="O68" s="3">
        <v>2396.66</v>
      </c>
      <c r="P68" s="10"/>
      <c r="Q68" s="3">
        <f>SUM(OSRRefD21_1_4x)+IFERROR(SUM(OSRRefE21_1_4x),0)</f>
        <v>83349.64</v>
      </c>
    </row>
    <row r="69" spans="1:17" s="42" customFormat="1" ht="15" hidden="1" customHeight="1" outlineLevel="1" x14ac:dyDescent="0.3">
      <c r="A69" s="34"/>
      <c r="B69" s="11" t="str">
        <f>CONCATENATE("          ","6006"," - ","TEMPORARY PART TIME")</f>
        <v xml:space="preserve">          6006 - TEMPORARY PART TIME</v>
      </c>
      <c r="C69" s="15"/>
      <c r="D69" s="3">
        <v>2864.4</v>
      </c>
      <c r="E69" s="3">
        <v>3273.79</v>
      </c>
      <c r="F69" s="3">
        <v>2957.46</v>
      </c>
      <c r="G69" s="3">
        <v>781.97</v>
      </c>
      <c r="H69" s="3"/>
      <c r="I69" s="3"/>
      <c r="J69" s="3">
        <v>2092.35</v>
      </c>
      <c r="K69" s="3">
        <v>2310.4</v>
      </c>
      <c r="L69" s="3">
        <v>1071.74</v>
      </c>
      <c r="M69" s="3">
        <v>2482.0300000000002</v>
      </c>
      <c r="N69" s="3">
        <v>0</v>
      </c>
      <c r="O69" s="3">
        <v>0</v>
      </c>
      <c r="P69" s="10"/>
      <c r="Q69" s="3">
        <f>SUM(OSRRefD21_1_5x)+IFERROR(SUM(OSRRefE21_1_5x),0)</f>
        <v>17834.14</v>
      </c>
    </row>
    <row r="70" spans="1:17" s="42" customFormat="1" ht="15" hidden="1" customHeight="1" outlineLevel="1" x14ac:dyDescent="0.3">
      <c r="A70" s="34"/>
      <c r="B70" s="11" t="str">
        <f>CONCATENATE("          ","6007"," - ","STUDENT HOURLY")</f>
        <v xml:space="preserve">          6007 - STUDENT HOURLY</v>
      </c>
      <c r="C70" s="15"/>
      <c r="D70" s="3">
        <v>51955.82</v>
      </c>
      <c r="E70" s="3">
        <v>76510.509999999995</v>
      </c>
      <c r="F70" s="3">
        <v>51710.95</v>
      </c>
      <c r="G70" s="3">
        <v>51649.760000000002</v>
      </c>
      <c r="H70" s="3">
        <v>42782.01</v>
      </c>
      <c r="I70" s="3">
        <v>57123.01</v>
      </c>
      <c r="J70" s="3">
        <v>89539.64</v>
      </c>
      <c r="K70" s="3">
        <v>59937.7</v>
      </c>
      <c r="L70" s="3">
        <v>77003.78</v>
      </c>
      <c r="M70" s="3">
        <v>62645.36</v>
      </c>
      <c r="N70" s="3">
        <v>30466.416000000001</v>
      </c>
      <c r="O70" s="3">
        <v>27441.011350000001</v>
      </c>
      <c r="P70" s="10"/>
      <c r="Q70" s="3">
        <f>SUM(OSRRefD21_1_6x)+IFERROR(SUM(OSRRefE21_1_6x),0)</f>
        <v>678765.96735000005</v>
      </c>
    </row>
    <row r="71" spans="1:17" s="42" customFormat="1" ht="15" hidden="1" customHeight="1" outlineLevel="1" x14ac:dyDescent="0.3">
      <c r="A71" s="34"/>
      <c r="B71" s="11" t="str">
        <f>CONCATENATE("          ","6008"," - ","STUDENT HOURLY-FICA EXEMPT")</f>
        <v xml:space="preserve">          6008 - STUDENT HOURLY-FICA EXEMPT</v>
      </c>
      <c r="C71" s="15"/>
      <c r="D71" s="3">
        <v>9784.35</v>
      </c>
      <c r="E71" s="3">
        <v>14279.3</v>
      </c>
      <c r="F71" s="3">
        <v>9666.24</v>
      </c>
      <c r="G71" s="3">
        <v>9913.85</v>
      </c>
      <c r="H71" s="3">
        <v>7061.93</v>
      </c>
      <c r="I71" s="3">
        <v>6586.67</v>
      </c>
      <c r="J71" s="3">
        <v>5658.94</v>
      </c>
      <c r="K71" s="3">
        <v>14868.17</v>
      </c>
      <c r="L71" s="3">
        <v>10303.32</v>
      </c>
      <c r="M71" s="3">
        <v>18858.04</v>
      </c>
      <c r="N71" s="3">
        <v>33739.772324999998</v>
      </c>
      <c r="O71" s="3">
        <v>29532</v>
      </c>
      <c r="P71" s="10"/>
      <c r="Q71" s="3">
        <f>SUM(OSRRefD21_1_7x)+IFERROR(SUM(OSRRefE21_1_7x),0)</f>
        <v>170252.582325</v>
      </c>
    </row>
    <row r="72" spans="1:17" s="42" customFormat="1" ht="15" hidden="1" customHeight="1" outlineLevel="1" x14ac:dyDescent="0.3">
      <c r="A72" s="34"/>
      <c r="B72" s="11" t="str">
        <f>CONCATENATE("          ","6009"," - ","TEMPORARY-SEASONAL")</f>
        <v xml:space="preserve">          6009 - TEMPORARY-SEASONAL</v>
      </c>
      <c r="C72" s="15"/>
      <c r="D72" s="3"/>
      <c r="E72" s="3"/>
      <c r="F72" s="3"/>
      <c r="G72" s="3"/>
      <c r="H72" s="3"/>
      <c r="I72" s="3"/>
      <c r="J72" s="3"/>
      <c r="K72" s="3"/>
      <c r="L72" s="3"/>
      <c r="M72" s="3"/>
      <c r="N72" s="3">
        <v>0</v>
      </c>
      <c r="O72" s="3">
        <v>0</v>
      </c>
      <c r="P72" s="10"/>
      <c r="Q72" s="3">
        <f>SUM(OSRRefD21_1_8x)+IFERROR(SUM(OSRRefE21_1_8x),0)</f>
        <v>0</v>
      </c>
    </row>
    <row r="73" spans="1:17" s="42" customFormat="1" ht="15" hidden="1" customHeight="1" outlineLevel="1" x14ac:dyDescent="0.3">
      <c r="A73" s="34"/>
      <c r="B73" s="11" t="str">
        <f>CONCATENATE("          ","6010"," - ","GRATUITY")</f>
        <v xml:space="preserve">          6010 - GRATUITY</v>
      </c>
      <c r="C73" s="15"/>
      <c r="D73" s="3"/>
      <c r="E73" s="3"/>
      <c r="F73" s="3"/>
      <c r="G73" s="3"/>
      <c r="H73" s="3"/>
      <c r="I73" s="3"/>
      <c r="J73" s="3"/>
      <c r="K73" s="3"/>
      <c r="L73" s="3"/>
      <c r="M73" s="3"/>
      <c r="N73" s="3">
        <v>0</v>
      </c>
      <c r="O73" s="3">
        <v>0</v>
      </c>
      <c r="P73" s="10"/>
      <c r="Q73" s="3">
        <f>SUM(OSRRefD21_1_9x)+IFERROR(SUM(OSRRefE21_1_9x),0)</f>
        <v>0</v>
      </c>
    </row>
    <row r="74" spans="1:17" s="42" customFormat="1" ht="15" customHeight="1" collapsed="1" x14ac:dyDescent="0.3">
      <c r="A74" s="34"/>
      <c r="B74" s="15" t="str">
        <f>CONCATENATE("     ","Advertising/Promo                                 ")</f>
        <v xml:space="preserve">     Advertising/Promo                                 </v>
      </c>
      <c r="C74" s="15"/>
      <c r="D74" s="2">
        <f>SUM(OSRRefD21_2x_0)</f>
        <v>493.63</v>
      </c>
      <c r="E74" s="2">
        <f>SUM(OSRRefD21_2x_1)</f>
        <v>1542.54</v>
      </c>
      <c r="F74" s="2">
        <f>SUM(OSRRefD21_2x_2)</f>
        <v>163.18</v>
      </c>
      <c r="G74" s="2">
        <f>SUM(OSRRefD21_2x_3)</f>
        <v>950.63</v>
      </c>
      <c r="H74" s="2">
        <f>SUM(OSRRefD21_2x_4)</f>
        <v>1682.71</v>
      </c>
      <c r="I74" s="2">
        <f>SUM(OSRRefD21_2x_5)</f>
        <v>722.3</v>
      </c>
      <c r="J74" s="2">
        <f>SUM(OSRRefD21_2x_6)</f>
        <v>722.24</v>
      </c>
      <c r="K74" s="2">
        <f>SUM(OSRRefD21_2x_7)</f>
        <v>366.64</v>
      </c>
      <c r="L74" s="2">
        <f>SUM(OSRRefD21_2x_8)</f>
        <v>2355.75</v>
      </c>
      <c r="M74" s="2">
        <f>SUM(OSRRefD21_2x_9)</f>
        <v>3210.66</v>
      </c>
      <c r="N74" s="2">
        <f>SUM(OSRRefE21_2x_0)</f>
        <v>400</v>
      </c>
      <c r="O74" s="2">
        <f>SUM(OSRRefE21_2x_1)</f>
        <v>300</v>
      </c>
      <c r="Q74" s="3">
        <f>SUM(OSRRefD20_2x)+IFERROR(SUM(OSRRefE20_2x),0)</f>
        <v>12910.28</v>
      </c>
    </row>
    <row r="75" spans="1:17" s="42" customFormat="1" ht="15" hidden="1" customHeight="1" outlineLevel="1" x14ac:dyDescent="0.3">
      <c r="A75" s="34"/>
      <c r="B75" s="11" t="str">
        <f>CONCATENATE("          ","6362"," - ","ADVERTISING EXPENSE")</f>
        <v xml:space="preserve">          6362 - ADVERTISING EXPENSE</v>
      </c>
      <c r="C75" s="15"/>
      <c r="D75" s="3">
        <v>493.63</v>
      </c>
      <c r="E75" s="3">
        <v>1542.54</v>
      </c>
      <c r="F75" s="3">
        <v>163.18</v>
      </c>
      <c r="G75" s="3">
        <v>950.63</v>
      </c>
      <c r="H75" s="3">
        <v>1682.71</v>
      </c>
      <c r="I75" s="3">
        <v>722.3</v>
      </c>
      <c r="J75" s="3">
        <v>722.24</v>
      </c>
      <c r="K75" s="3">
        <v>366.64</v>
      </c>
      <c r="L75" s="3">
        <v>2355.75</v>
      </c>
      <c r="M75" s="3">
        <v>3210.66</v>
      </c>
      <c r="N75" s="3">
        <v>400</v>
      </c>
      <c r="O75" s="3">
        <v>300</v>
      </c>
      <c r="P75" s="10"/>
      <c r="Q75" s="3">
        <f>SUM(OSRRefD21_2_0x)+IFERROR(SUM(OSRRefE21_2_0x),0)</f>
        <v>12910.28</v>
      </c>
    </row>
    <row r="76" spans="1:17" s="42" customFormat="1" ht="15" customHeight="1" collapsed="1" x14ac:dyDescent="0.3">
      <c r="A76" s="34"/>
      <c r="B76" s="15" t="str">
        <f>CONCATENATE("     ","Bad Debts/Over/Short                              ")</f>
        <v xml:space="preserve">     Bad Debts/Over/Short                              </v>
      </c>
      <c r="C76" s="15"/>
      <c r="D76" s="2">
        <f>SUM(OSRRefD21_3x_0)</f>
        <v>1.27</v>
      </c>
      <c r="E76" s="2">
        <f>SUM(OSRRefD21_3x_1)</f>
        <v>150.76</v>
      </c>
      <c r="F76" s="2">
        <f>SUM(OSRRefD21_3x_2)</f>
        <v>96.88</v>
      </c>
      <c r="G76" s="2">
        <f>SUM(OSRRefD21_3x_3)</f>
        <v>-30.42</v>
      </c>
      <c r="H76" s="2">
        <f>SUM(OSRRefD21_3x_4)</f>
        <v>-40.770000000000003</v>
      </c>
      <c r="I76" s="2">
        <f>SUM(OSRRefD21_3x_5)</f>
        <v>-24.66</v>
      </c>
      <c r="J76" s="2">
        <f>SUM(OSRRefD21_3x_6)</f>
        <v>-2.2799999999999998</v>
      </c>
      <c r="K76" s="2">
        <f>SUM(OSRRefD21_3x_7)</f>
        <v>-51.1</v>
      </c>
      <c r="L76" s="2">
        <f>SUM(OSRRefD21_3x_8)</f>
        <v>-46.63</v>
      </c>
      <c r="M76" s="2">
        <f>SUM(OSRRefD21_3x_9)</f>
        <v>-46.29</v>
      </c>
      <c r="N76" s="2">
        <f>SUM(OSRRefE21_3x_0)</f>
        <v>235</v>
      </c>
      <c r="O76" s="2">
        <f>SUM(OSRRefE21_3x_1)</f>
        <v>235</v>
      </c>
      <c r="Q76" s="3">
        <f>SUM(OSRRefD20_3x)+IFERROR(SUM(OSRRefE20_3x),0)</f>
        <v>476.76</v>
      </c>
    </row>
    <row r="77" spans="1:17" s="42" customFormat="1" ht="15" hidden="1" customHeight="1" outlineLevel="1" x14ac:dyDescent="0.3">
      <c r="A77" s="34"/>
      <c r="B77" s="11" t="str">
        <f>CONCATENATE("          ","6272"," - ","CASH (OVER/SHORT)")</f>
        <v xml:space="preserve">          6272 - CASH (OVER/SHORT)</v>
      </c>
      <c r="C77" s="15"/>
      <c r="D77" s="3">
        <v>1.27</v>
      </c>
      <c r="E77" s="3">
        <v>150.76</v>
      </c>
      <c r="F77" s="3">
        <v>96.88</v>
      </c>
      <c r="G77" s="3">
        <v>-30.42</v>
      </c>
      <c r="H77" s="3">
        <v>-40.770000000000003</v>
      </c>
      <c r="I77" s="3">
        <v>-24.66</v>
      </c>
      <c r="J77" s="3">
        <v>-2.2799999999999998</v>
      </c>
      <c r="K77" s="3">
        <v>-51.1</v>
      </c>
      <c r="L77" s="3">
        <v>-46.63</v>
      </c>
      <c r="M77" s="3">
        <v>-46.29</v>
      </c>
      <c r="N77" s="3">
        <v>235</v>
      </c>
      <c r="O77" s="3">
        <v>235</v>
      </c>
      <c r="P77" s="10"/>
      <c r="Q77" s="3">
        <f>SUM(OSRRefD21_3_0x)+IFERROR(SUM(OSRRefE21_3_0x),0)</f>
        <v>476.76</v>
      </c>
    </row>
    <row r="78" spans="1:17" s="42" customFormat="1" ht="15" customHeight="1" collapsed="1" x14ac:dyDescent="0.3">
      <c r="A78" s="34"/>
      <c r="B78" s="15" t="str">
        <f>CONCATENATE("     ","Bank/card Fees                                    ")</f>
        <v xml:space="preserve">     Bank/card Fees                                    </v>
      </c>
      <c r="C78" s="15"/>
      <c r="D78" s="2">
        <f>SUM(OSRRefD21_4x_0)</f>
        <v>3961.88</v>
      </c>
      <c r="E78" s="2">
        <f>SUM(OSRRefD21_4x_1)</f>
        <v>23002.82</v>
      </c>
      <c r="F78" s="2">
        <f>SUM(OSRRefD21_4x_2)</f>
        <v>10623.99</v>
      </c>
      <c r="G78" s="2">
        <f>SUM(OSRRefD21_4x_3)</f>
        <v>12740.8</v>
      </c>
      <c r="H78" s="2">
        <f>SUM(OSRRefD21_4x_4)</f>
        <v>7877.66</v>
      </c>
      <c r="I78" s="2">
        <f>SUM(OSRRefD21_4x_5)</f>
        <v>9159.44</v>
      </c>
      <c r="J78" s="2">
        <f>SUM(OSRRefD21_4x_6)</f>
        <v>12256.54</v>
      </c>
      <c r="K78" s="2">
        <f>SUM(OSRRefD21_4x_7)</f>
        <v>15661.69</v>
      </c>
      <c r="L78" s="2">
        <f>SUM(OSRRefD21_4x_8)</f>
        <v>16082.6</v>
      </c>
      <c r="M78" s="2">
        <f>SUM(OSRRefD21_4x_9)</f>
        <v>15412.52</v>
      </c>
      <c r="N78" s="2">
        <f>SUM(OSRRefE21_4x_0)</f>
        <v>13471</v>
      </c>
      <c r="O78" s="2">
        <f>SUM(OSRRefE21_4x_1)</f>
        <v>7144</v>
      </c>
      <c r="Q78" s="3">
        <f>SUM(OSRRefD20_4x)+IFERROR(SUM(OSRRefE20_4x),0)</f>
        <v>147394.94</v>
      </c>
    </row>
    <row r="79" spans="1:17" s="42" customFormat="1" ht="15" hidden="1" customHeight="1" outlineLevel="1" x14ac:dyDescent="0.3">
      <c r="A79" s="34"/>
      <c r="B79" s="11" t="str">
        <f>CONCATENATE("          ","6381"," - ","BANK/CREDIT CARD FEES")</f>
        <v xml:space="preserve">          6381 - BANK/CREDIT CARD FEES</v>
      </c>
      <c r="C79" s="15"/>
      <c r="D79" s="3">
        <v>3961.88</v>
      </c>
      <c r="E79" s="3">
        <v>23002.82</v>
      </c>
      <c r="F79" s="3">
        <v>10623.99</v>
      </c>
      <c r="G79" s="3">
        <v>12740.8</v>
      </c>
      <c r="H79" s="3">
        <v>7877.66</v>
      </c>
      <c r="I79" s="3">
        <v>9159.44</v>
      </c>
      <c r="J79" s="3">
        <v>12256.54</v>
      </c>
      <c r="K79" s="3">
        <v>15661.69</v>
      </c>
      <c r="L79" s="3">
        <v>16082.6</v>
      </c>
      <c r="M79" s="3">
        <v>15412.52</v>
      </c>
      <c r="N79" s="3">
        <v>13471</v>
      </c>
      <c r="O79" s="3">
        <v>7144</v>
      </c>
      <c r="P79" s="10"/>
      <c r="Q79" s="3">
        <f>SUM(OSRRefD21_4_0x)+IFERROR(SUM(OSRRefE21_4_0x),0)</f>
        <v>147394.94</v>
      </c>
    </row>
    <row r="80" spans="1:17" s="42" customFormat="1" ht="15" customHeight="1" collapsed="1" x14ac:dyDescent="0.3">
      <c r="A80" s="34"/>
      <c r="B80" s="15" t="str">
        <f>CONCATENATE("     ","Depreciation                                      ")</f>
        <v xml:space="preserve">     Depreciation                                      </v>
      </c>
      <c r="C80" s="15"/>
      <c r="D80" s="2">
        <f>SUM(OSRRefD21_5x_0)</f>
        <v>30720.68</v>
      </c>
      <c r="E80" s="2">
        <f>SUM(OSRRefD21_5x_1)</f>
        <v>30720.68</v>
      </c>
      <c r="F80" s="2">
        <f>SUM(OSRRefD21_5x_2)</f>
        <v>30720.68</v>
      </c>
      <c r="G80" s="2">
        <f>SUM(OSRRefD21_5x_3)</f>
        <v>30614.86</v>
      </c>
      <c r="H80" s="2">
        <f>SUM(OSRRefD21_5x_4)</f>
        <v>30614.85</v>
      </c>
      <c r="I80" s="2">
        <f>SUM(OSRRefD21_5x_5)</f>
        <v>30614.839999999997</v>
      </c>
      <c r="J80" s="2">
        <f>SUM(OSRRefD21_5x_6)</f>
        <v>28349.93</v>
      </c>
      <c r="K80" s="2">
        <f>SUM(OSRRefD21_5x_7)</f>
        <v>27540.04</v>
      </c>
      <c r="L80" s="2">
        <f>SUM(OSRRefD21_5x_8)</f>
        <v>27540.01</v>
      </c>
      <c r="M80" s="2">
        <f>SUM(OSRRefD21_5x_9)</f>
        <v>16380.05</v>
      </c>
      <c r="N80" s="2">
        <f>SUM(OSRRefE21_5x_0)</f>
        <v>16259</v>
      </c>
      <c r="O80" s="2">
        <f>SUM(OSRRefE21_5x_1)</f>
        <v>16259</v>
      </c>
      <c r="Q80" s="3">
        <f>SUM(OSRRefD20_5x)+IFERROR(SUM(OSRRefE20_5x),0)</f>
        <v>316334.62</v>
      </c>
    </row>
    <row r="81" spans="1:17" s="42" customFormat="1" ht="15" hidden="1" customHeight="1" outlineLevel="1" x14ac:dyDescent="0.3">
      <c r="A81" s="34"/>
      <c r="B81" s="11" t="str">
        <f>CONCATENATE("          ","6321"," - ","BUILDING DEPRECIATION")</f>
        <v xml:space="preserve">          6321 - BUILDING DEPRECIATION</v>
      </c>
      <c r="C81" s="15"/>
      <c r="D81" s="3">
        <v>16396.52</v>
      </c>
      <c r="E81" s="3">
        <v>16396.52</v>
      </c>
      <c r="F81" s="3">
        <v>16396.52</v>
      </c>
      <c r="G81" s="3">
        <v>16396.52</v>
      </c>
      <c r="H81" s="3">
        <v>16396.52</v>
      </c>
      <c r="I81" s="3">
        <v>16396.509999999998</v>
      </c>
      <c r="J81" s="3">
        <v>14131.6</v>
      </c>
      <c r="K81" s="3">
        <v>13321.71</v>
      </c>
      <c r="L81" s="3">
        <v>13321.71</v>
      </c>
      <c r="M81" s="3">
        <v>13321.71</v>
      </c>
      <c r="N81" s="3"/>
      <c r="O81" s="3"/>
      <c r="P81" s="10"/>
      <c r="Q81" s="3">
        <f>SUM(OSRRefD21_5_0x)+IFERROR(SUM(OSRRefE21_5_0x),0)</f>
        <v>152475.84</v>
      </c>
    </row>
    <row r="82" spans="1:17" s="42" customFormat="1" ht="15" hidden="1" customHeight="1" outlineLevel="1" x14ac:dyDescent="0.3">
      <c r="A82" s="34"/>
      <c r="B82" s="11" t="str">
        <f>CONCATENATE("          ","6322"," - ","EQUIPMENT DEPRECIATION EXPENSE")</f>
        <v xml:space="preserve">          6322 - EQUIPMENT DEPRECIATION EXPENSE</v>
      </c>
      <c r="C82" s="15"/>
      <c r="D82" s="3">
        <v>14324.16</v>
      </c>
      <c r="E82" s="3">
        <v>14324.16</v>
      </c>
      <c r="F82" s="3">
        <v>14324.16</v>
      </c>
      <c r="G82" s="3">
        <v>14218.34</v>
      </c>
      <c r="H82" s="3">
        <v>14218.33</v>
      </c>
      <c r="I82" s="3">
        <v>14218.33</v>
      </c>
      <c r="J82" s="3">
        <v>14218.33</v>
      </c>
      <c r="K82" s="3">
        <v>14218.33</v>
      </c>
      <c r="L82" s="3">
        <v>14218.3</v>
      </c>
      <c r="M82" s="3">
        <v>3058.34</v>
      </c>
      <c r="N82" s="3">
        <v>16259</v>
      </c>
      <c r="O82" s="3">
        <v>16259</v>
      </c>
      <c r="P82" s="10"/>
      <c r="Q82" s="3">
        <f>SUM(OSRRefD21_5_1x)+IFERROR(SUM(OSRRefE21_5_1x),0)</f>
        <v>163858.78</v>
      </c>
    </row>
    <row r="83" spans="1:17" s="42" customFormat="1" ht="15" customHeight="1" collapsed="1" x14ac:dyDescent="0.3">
      <c r="A83" s="34"/>
      <c r="B83" s="15" t="str">
        <f>CONCATENATE("     ","Discounts and Markdowns                           ")</f>
        <v xml:space="preserve">     Discounts and Markdowns                           </v>
      </c>
      <c r="C83" s="15"/>
      <c r="D83" s="2">
        <f>SUM(OSRRefD21_6x_0)</f>
        <v>-0.68</v>
      </c>
      <c r="E83" s="2">
        <f>SUM(OSRRefD21_6x_1)</f>
        <v>-157.30000000000001</v>
      </c>
      <c r="F83" s="2">
        <f>SUM(OSRRefD21_6x_2)</f>
        <v>135.49</v>
      </c>
      <c r="G83" s="2">
        <f>SUM(OSRRefD21_6x_3)</f>
        <v>-43.75</v>
      </c>
      <c r="H83" s="2">
        <f>SUM(OSRRefD21_6x_4)</f>
        <v>3409.87</v>
      </c>
      <c r="I83" s="2">
        <f>SUM(OSRRefD21_6x_5)</f>
        <v>11.17</v>
      </c>
      <c r="J83" s="2">
        <f>SUM(OSRRefD21_6x_6)</f>
        <v>-1290.25</v>
      </c>
      <c r="K83" s="2">
        <f>SUM(OSRRefD21_6x_7)</f>
        <v>0</v>
      </c>
      <c r="L83" s="2">
        <f>SUM(OSRRefD21_6x_8)</f>
        <v>-7.72</v>
      </c>
      <c r="M83" s="2">
        <f>SUM(OSRRefD21_6x_9)</f>
        <v>-50.18</v>
      </c>
      <c r="N83" s="2">
        <f>SUM(OSRRefE21_6x_0)</f>
        <v>0</v>
      </c>
      <c r="O83" s="2">
        <f>SUM(OSRRefE21_6x_1)</f>
        <v>0</v>
      </c>
      <c r="Q83" s="3">
        <f>SUM(OSRRefD20_6x)+IFERROR(SUM(OSRRefE20_6x),0)</f>
        <v>2006.6500000000003</v>
      </c>
    </row>
    <row r="84" spans="1:17" s="42" customFormat="1" ht="15" hidden="1" customHeight="1" outlineLevel="1" x14ac:dyDescent="0.3">
      <c r="A84" s="34"/>
      <c r="B84" s="11" t="str">
        <f>CONCATENATE("          ","6382"," - ","DISCOUNTS/MARK DOWNS")</f>
        <v xml:space="preserve">          6382 - DISCOUNTS/MARK DOWNS</v>
      </c>
      <c r="C84" s="15"/>
      <c r="D84" s="3"/>
      <c r="E84" s="3"/>
      <c r="F84" s="3"/>
      <c r="G84" s="3"/>
      <c r="H84" s="3">
        <v>3410</v>
      </c>
      <c r="I84" s="3"/>
      <c r="J84" s="3">
        <v>-1238.6500000000001</v>
      </c>
      <c r="K84" s="3"/>
      <c r="L84" s="3"/>
      <c r="M84" s="3"/>
      <c r="N84" s="3"/>
      <c r="O84" s="3"/>
      <c r="P84" s="10"/>
      <c r="Q84" s="3">
        <f>SUM(OSRRefD21_6_0x)+IFERROR(SUM(OSRRefE21_6_0x),0)</f>
        <v>2171.35</v>
      </c>
    </row>
    <row r="85" spans="1:17" s="42" customFormat="1" ht="15" hidden="1" customHeight="1" outlineLevel="1" x14ac:dyDescent="0.3">
      <c r="A85" s="34"/>
      <c r="B85" s="11" t="str">
        <f>CONCATENATE("          ","9175"," - ","EARNED DISCOUNTS")</f>
        <v xml:space="preserve">          9175 - EARNED DISCOUNTS</v>
      </c>
      <c r="C85" s="15"/>
      <c r="D85" s="3">
        <v>-0.68</v>
      </c>
      <c r="E85" s="3">
        <v>-157.30000000000001</v>
      </c>
      <c r="F85" s="3">
        <v>135.49</v>
      </c>
      <c r="G85" s="3">
        <v>-43.75</v>
      </c>
      <c r="H85" s="3">
        <v>-0.13</v>
      </c>
      <c r="I85" s="3">
        <v>11.17</v>
      </c>
      <c r="J85" s="3">
        <v>-51.6</v>
      </c>
      <c r="K85" s="3">
        <v>0</v>
      </c>
      <c r="L85" s="3">
        <v>-7.72</v>
      </c>
      <c r="M85" s="3">
        <v>-50.18</v>
      </c>
      <c r="N85" s="3"/>
      <c r="O85" s="3"/>
      <c r="P85" s="10"/>
      <c r="Q85" s="3">
        <f>SUM(OSRRefD21_6_1x)+IFERROR(SUM(OSRRefE21_6_1x),0)</f>
        <v>-164.70000000000002</v>
      </c>
    </row>
    <row r="86" spans="1:17" s="42" customFormat="1" ht="15" customHeight="1" collapsed="1" x14ac:dyDescent="0.3">
      <c r="A86" s="34"/>
      <c r="B86" s="15" t="str">
        <f>CONCATENATE("     ","Donations                                         ")</f>
        <v xml:space="preserve">     Donations                                         </v>
      </c>
      <c r="C86" s="15"/>
      <c r="D86" s="2">
        <f>SUM(OSRRefD21_7x_0)</f>
        <v>0</v>
      </c>
      <c r="E86" s="2">
        <f>SUM(OSRRefD21_7x_1)</f>
        <v>0</v>
      </c>
      <c r="F86" s="2">
        <f>SUM(OSRRefD21_7x_2)</f>
        <v>0</v>
      </c>
      <c r="G86" s="2">
        <f>SUM(OSRRefD21_7x_3)</f>
        <v>1483.48</v>
      </c>
      <c r="H86" s="2">
        <f>SUM(OSRRefD21_7x_4)</f>
        <v>1336.74</v>
      </c>
      <c r="I86" s="2">
        <f>SUM(OSRRefD21_7x_5)</f>
        <v>0</v>
      </c>
      <c r="J86" s="2">
        <f>SUM(OSRRefD21_7x_6)</f>
        <v>0</v>
      </c>
      <c r="K86" s="2">
        <f>SUM(OSRRefD21_7x_7)</f>
        <v>2998.05</v>
      </c>
      <c r="L86" s="2">
        <f>SUM(OSRRefD21_7x_8)</f>
        <v>0</v>
      </c>
      <c r="M86" s="2">
        <f>SUM(OSRRefD21_7x_9)</f>
        <v>1488.53</v>
      </c>
      <c r="N86" s="2">
        <f>SUM(OSRRefE21_7x_0)</f>
        <v>1250</v>
      </c>
      <c r="O86" s="2">
        <f>SUM(OSRRefE21_7x_1)</f>
        <v>1250</v>
      </c>
      <c r="Q86" s="3">
        <f>SUM(OSRRefD20_7x)+IFERROR(SUM(OSRRefE20_7x),0)</f>
        <v>9806.7999999999993</v>
      </c>
    </row>
    <row r="87" spans="1:17" s="42" customFormat="1" ht="15" hidden="1" customHeight="1" outlineLevel="1" x14ac:dyDescent="0.3">
      <c r="A87" s="34"/>
      <c r="B87" s="11" t="str">
        <f>CONCATENATE("          ","6399"," - ","DONATION-ON CAMPUS")</f>
        <v xml:space="preserve">          6399 - DONATION-ON CAMPUS</v>
      </c>
      <c r="C87" s="15"/>
      <c r="D87" s="3"/>
      <c r="E87" s="3"/>
      <c r="F87" s="3"/>
      <c r="G87" s="3">
        <v>1483.48</v>
      </c>
      <c r="H87" s="3">
        <v>1336.74</v>
      </c>
      <c r="I87" s="3"/>
      <c r="J87" s="3"/>
      <c r="K87" s="3">
        <v>2998.05</v>
      </c>
      <c r="L87" s="3"/>
      <c r="M87" s="3">
        <v>1488.53</v>
      </c>
      <c r="N87" s="3">
        <v>1250</v>
      </c>
      <c r="O87" s="3">
        <v>1250</v>
      </c>
      <c r="P87" s="10"/>
      <c r="Q87" s="3">
        <f>SUM(OSRRefD21_7_0x)+IFERROR(SUM(OSRRefE21_7_0x),0)</f>
        <v>9806.7999999999993</v>
      </c>
    </row>
    <row r="88" spans="1:17" s="42" customFormat="1" ht="15" customHeight="1" collapsed="1" x14ac:dyDescent="0.3">
      <c r="A88" s="34"/>
      <c r="B88" s="15" t="str">
        <f>CONCATENATE("     ","Employees' Appreciation                           ")</f>
        <v xml:space="preserve">     Employees' Appreciation                           </v>
      </c>
      <c r="C88" s="15"/>
      <c r="D88" s="2">
        <f>SUM(OSRRefD21_8x_0)</f>
        <v>537.36</v>
      </c>
      <c r="E88" s="2">
        <f>SUM(OSRRefD21_8x_1)</f>
        <v>400</v>
      </c>
      <c r="F88" s="2">
        <f>SUM(OSRRefD21_8x_2)</f>
        <v>447.27</v>
      </c>
      <c r="G88" s="2">
        <f>SUM(OSRRefD21_8x_3)</f>
        <v>0</v>
      </c>
      <c r="H88" s="2">
        <f>SUM(OSRRefD21_8x_4)</f>
        <v>490.02</v>
      </c>
      <c r="I88" s="2">
        <f>SUM(OSRRefD21_8x_5)</f>
        <v>949.16</v>
      </c>
      <c r="J88" s="2">
        <f>SUM(OSRRefD21_8x_6)</f>
        <v>1421.38</v>
      </c>
      <c r="K88" s="2">
        <f>SUM(OSRRefD21_8x_7)</f>
        <v>0</v>
      </c>
      <c r="L88" s="2">
        <f>SUM(OSRRefD21_8x_8)</f>
        <v>74.69</v>
      </c>
      <c r="M88" s="2">
        <f>SUM(OSRRefD21_8x_9)</f>
        <v>0</v>
      </c>
      <c r="N88" s="2">
        <f>SUM(OSRRefE21_8x_0)</f>
        <v>225</v>
      </c>
      <c r="O88" s="2">
        <f>SUM(OSRRefE21_8x_1)</f>
        <v>225</v>
      </c>
      <c r="Q88" s="3">
        <f>SUM(OSRRefD20_8x)+IFERROR(SUM(OSRRefE20_8x),0)</f>
        <v>4769.88</v>
      </c>
    </row>
    <row r="89" spans="1:17" s="42" customFormat="1" ht="15" hidden="1" customHeight="1" outlineLevel="1" x14ac:dyDescent="0.3">
      <c r="A89" s="34"/>
      <c r="B89" s="11" t="str">
        <f>CONCATENATE("          ","6277"," - ","EMPLOYEE APPRECIATION")</f>
        <v xml:space="preserve">          6277 - EMPLOYEE APPRECIATION</v>
      </c>
      <c r="C89" s="15"/>
      <c r="D89" s="3">
        <v>537.36</v>
      </c>
      <c r="E89" s="3">
        <v>400</v>
      </c>
      <c r="F89" s="3">
        <v>447.27</v>
      </c>
      <c r="G89" s="3"/>
      <c r="H89" s="3">
        <v>490.02</v>
      </c>
      <c r="I89" s="3">
        <v>949.16</v>
      </c>
      <c r="J89" s="3">
        <v>1421.38</v>
      </c>
      <c r="K89" s="3"/>
      <c r="L89" s="3">
        <v>74.69</v>
      </c>
      <c r="M89" s="3"/>
      <c r="N89" s="3">
        <v>225</v>
      </c>
      <c r="O89" s="3">
        <v>225</v>
      </c>
      <c r="P89" s="10"/>
      <c r="Q89" s="3">
        <f>SUM(OSRRefD21_8_0x)+IFERROR(SUM(OSRRefE21_8_0x),0)</f>
        <v>4769.88</v>
      </c>
    </row>
    <row r="90" spans="1:17" s="42" customFormat="1" ht="15" customHeight="1" collapsed="1" x14ac:dyDescent="0.3">
      <c r="A90" s="34"/>
      <c r="B90" s="15" t="str">
        <f>CONCATENATE("     ","Equipment Rental                                  ")</f>
        <v xml:space="preserve">     Equipment Rental                                  </v>
      </c>
      <c r="C90" s="15"/>
      <c r="D90" s="2">
        <f>SUM(OSRRefD21_9x_0)</f>
        <v>1388.16</v>
      </c>
      <c r="E90" s="2">
        <f>SUM(OSRRefD21_9x_1)</f>
        <v>2303.73</v>
      </c>
      <c r="F90" s="2">
        <f>SUM(OSRRefD21_9x_2)</f>
        <v>1388.16</v>
      </c>
      <c r="G90" s="2">
        <f>SUM(OSRRefD21_9x_3)</f>
        <v>1531.35</v>
      </c>
      <c r="H90" s="2">
        <f>SUM(OSRRefD21_9x_4)</f>
        <v>1712.05</v>
      </c>
      <c r="I90" s="2">
        <f>SUM(OSRRefD21_9x_5)</f>
        <v>1507.07</v>
      </c>
      <c r="J90" s="2">
        <f>SUM(OSRRefD21_9x_6)</f>
        <v>1479.42</v>
      </c>
      <c r="K90" s="2">
        <f>SUM(OSRRefD21_9x_7)</f>
        <v>1388.16</v>
      </c>
      <c r="L90" s="2">
        <f>SUM(OSRRefD21_9x_8)</f>
        <v>1712.05</v>
      </c>
      <c r="M90" s="2">
        <f>SUM(OSRRefD21_9x_9)</f>
        <v>1388.16</v>
      </c>
      <c r="N90" s="2">
        <f>SUM(OSRRefE21_9x_0)</f>
        <v>1700</v>
      </c>
      <c r="O90" s="2">
        <f>SUM(OSRRefE21_9x_1)</f>
        <v>1700</v>
      </c>
      <c r="Q90" s="3">
        <f>SUM(OSRRefD20_9x)+IFERROR(SUM(OSRRefE20_9x),0)</f>
        <v>19198.309999999998</v>
      </c>
    </row>
    <row r="91" spans="1:17" s="42" customFormat="1" ht="15" hidden="1" customHeight="1" outlineLevel="1" x14ac:dyDescent="0.3">
      <c r="A91" s="34"/>
      <c r="B91" s="11" t="str">
        <f>CONCATENATE("          ","6351"," - ","EQUIPMENT RENTAL")</f>
        <v xml:space="preserve">          6351 - EQUIPMENT RENTAL</v>
      </c>
      <c r="C91" s="15"/>
      <c r="D91" s="3">
        <v>1388.16</v>
      </c>
      <c r="E91" s="3">
        <v>2303.73</v>
      </c>
      <c r="F91" s="3">
        <v>1388.16</v>
      </c>
      <c r="G91" s="3">
        <v>1531.35</v>
      </c>
      <c r="H91" s="3">
        <v>1712.05</v>
      </c>
      <c r="I91" s="3">
        <v>1507.07</v>
      </c>
      <c r="J91" s="3">
        <v>1479.42</v>
      </c>
      <c r="K91" s="3">
        <v>1388.16</v>
      </c>
      <c r="L91" s="3">
        <v>1712.05</v>
      </c>
      <c r="M91" s="3">
        <v>1388.16</v>
      </c>
      <c r="N91" s="3">
        <v>1700</v>
      </c>
      <c r="O91" s="3">
        <v>1700</v>
      </c>
      <c r="P91" s="10"/>
      <c r="Q91" s="3">
        <f>SUM(OSRRefD21_9_0x)+IFERROR(SUM(OSRRefE21_9_0x),0)</f>
        <v>19198.309999999998</v>
      </c>
    </row>
    <row r="92" spans="1:17" s="42" customFormat="1" ht="15" customHeight="1" collapsed="1" x14ac:dyDescent="0.3">
      <c r="A92" s="34"/>
      <c r="B92" s="15" t="str">
        <f>CONCATENATE("     ","Freight out/Postage                               ")</f>
        <v xml:space="preserve">     Freight out/Postage                               </v>
      </c>
      <c r="C92" s="15"/>
      <c r="D92" s="2">
        <f>SUM(OSRRefD21_10x_0)</f>
        <v>3589.6099999999997</v>
      </c>
      <c r="E92" s="2">
        <f>SUM(OSRRefD21_10x_1)</f>
        <v>-19372.54</v>
      </c>
      <c r="F92" s="2">
        <f>SUM(OSRRefD21_10x_2)</f>
        <v>3653.1299999999992</v>
      </c>
      <c r="G92" s="2">
        <f>SUM(OSRRefD21_10x_3)</f>
        <v>-23519.489999999998</v>
      </c>
      <c r="H92" s="2">
        <f>SUM(OSRRefD21_10x_4)</f>
        <v>5663.0599999999995</v>
      </c>
      <c r="I92" s="2">
        <f>SUM(OSRRefD21_10x_5)</f>
        <v>-2180.9800000000014</v>
      </c>
      <c r="J92" s="2">
        <f>SUM(OSRRefD21_10x_6)</f>
        <v>-7280.8900000000012</v>
      </c>
      <c r="K92" s="2">
        <f>SUM(OSRRefD21_10x_7)</f>
        <v>-7059.8099999999995</v>
      </c>
      <c r="L92" s="2">
        <f>SUM(OSRRefD21_10x_8)</f>
        <v>1779.17</v>
      </c>
      <c r="M92" s="2">
        <f>SUM(OSRRefD21_10x_9)</f>
        <v>750.14999999999964</v>
      </c>
      <c r="N92" s="2">
        <f>SUM(OSRRefE21_10x_0)</f>
        <v>-1850</v>
      </c>
      <c r="O92" s="2">
        <f>SUM(OSRRefE21_10x_1)</f>
        <v>-2350</v>
      </c>
      <c r="Q92" s="3">
        <f>SUM(OSRRefD20_10x)+IFERROR(SUM(OSRRefE20_10x),0)</f>
        <v>-48178.590000000004</v>
      </c>
    </row>
    <row r="93" spans="1:17" s="42" customFormat="1" ht="15" hidden="1" customHeight="1" outlineLevel="1" x14ac:dyDescent="0.3">
      <c r="A93" s="34"/>
      <c r="B93" s="11" t="str">
        <f>CONCATENATE("          ","6305"," - ","FREIGHT OUT")</f>
        <v xml:space="preserve">          6305 - FREIGHT OUT</v>
      </c>
      <c r="C93" s="15"/>
      <c r="D93" s="3">
        <v>10889.5</v>
      </c>
      <c r="E93" s="3">
        <v>4399.6499999999996</v>
      </c>
      <c r="F93" s="3">
        <v>13290.66</v>
      </c>
      <c r="G93" s="3">
        <v>26185.08</v>
      </c>
      <c r="H93" s="3">
        <v>11063.73</v>
      </c>
      <c r="I93" s="3">
        <v>12270.64</v>
      </c>
      <c r="J93" s="3">
        <v>16037.19</v>
      </c>
      <c r="K93" s="3">
        <v>7594.99</v>
      </c>
      <c r="L93" s="3">
        <v>10386.42</v>
      </c>
      <c r="M93" s="3">
        <v>14219.32</v>
      </c>
      <c r="N93" s="3">
        <v>2550</v>
      </c>
      <c r="O93" s="3">
        <v>2050</v>
      </c>
      <c r="P93" s="10"/>
      <c r="Q93" s="3">
        <f>SUM(OSRRefD21_10_0x)+IFERROR(SUM(OSRRefE21_10_0x),0)</f>
        <v>130937.18</v>
      </c>
    </row>
    <row r="94" spans="1:17" s="42" customFormat="1" ht="15" hidden="1" customHeight="1" outlineLevel="1" x14ac:dyDescent="0.3">
      <c r="A94" s="34"/>
      <c r="B94" s="11" t="str">
        <f>CONCATENATE("          ","6307"," - ","POSTAGE")</f>
        <v xml:space="preserve">          6307 - POSTAGE</v>
      </c>
      <c r="C94" s="15"/>
      <c r="D94" s="3">
        <v>-7299.89</v>
      </c>
      <c r="E94" s="3">
        <v>-23772.19</v>
      </c>
      <c r="F94" s="3">
        <v>-9637.5300000000007</v>
      </c>
      <c r="G94" s="3">
        <v>-49704.57</v>
      </c>
      <c r="H94" s="3">
        <v>-5400.67</v>
      </c>
      <c r="I94" s="3">
        <v>-14451.62</v>
      </c>
      <c r="J94" s="3">
        <v>-23318.080000000002</v>
      </c>
      <c r="K94" s="3">
        <v>-14654.8</v>
      </c>
      <c r="L94" s="3">
        <v>-8607.25</v>
      </c>
      <c r="M94" s="3">
        <v>-13469.17</v>
      </c>
      <c r="N94" s="3">
        <v>-4400</v>
      </c>
      <c r="O94" s="3">
        <v>-4400</v>
      </c>
      <c r="P94" s="10"/>
      <c r="Q94" s="3">
        <f>SUM(OSRRefD21_10_1x)+IFERROR(SUM(OSRRefE21_10_1x),0)</f>
        <v>-179115.77</v>
      </c>
    </row>
    <row r="95" spans="1:17" s="42" customFormat="1" ht="15" customHeight="1" collapsed="1" x14ac:dyDescent="0.3">
      <c r="A95" s="34"/>
      <c r="B95" s="15" t="str">
        <f>CONCATENATE("     ","General                                           ")</f>
        <v xml:space="preserve">     General                                           </v>
      </c>
      <c r="C95" s="15"/>
      <c r="D95" s="2">
        <f>SUM(OSRRefD21_11x_0)</f>
        <v>778</v>
      </c>
      <c r="E95" s="2">
        <f>SUM(OSRRefD21_11x_1)</f>
        <v>997.29</v>
      </c>
      <c r="F95" s="2">
        <f>SUM(OSRRefD21_11x_2)</f>
        <v>91.31</v>
      </c>
      <c r="G95" s="2">
        <f>SUM(OSRRefD21_11x_3)</f>
        <v>327.5</v>
      </c>
      <c r="H95" s="2">
        <f>SUM(OSRRefD21_11x_4)</f>
        <v>1135.0899999999999</v>
      </c>
      <c r="I95" s="2">
        <f>SUM(OSRRefD21_11x_5)</f>
        <v>1002</v>
      </c>
      <c r="J95" s="2">
        <f>SUM(OSRRefD21_11x_6)</f>
        <v>0</v>
      </c>
      <c r="K95" s="2">
        <f>SUM(OSRRefD21_11x_7)</f>
        <v>1424.16</v>
      </c>
      <c r="L95" s="2">
        <f>SUM(OSRRefD21_11x_8)</f>
        <v>191.1</v>
      </c>
      <c r="M95" s="2">
        <f>SUM(OSRRefD21_11x_9)</f>
        <v>493.61</v>
      </c>
      <c r="N95" s="2">
        <f>SUM(OSRRefE21_11x_0)</f>
        <v>950</v>
      </c>
      <c r="O95" s="2">
        <f>SUM(OSRRefE21_11x_1)</f>
        <v>1200</v>
      </c>
      <c r="Q95" s="3">
        <f>SUM(OSRRefD20_11x)+IFERROR(SUM(OSRRefE20_11x),0)</f>
        <v>8590.06</v>
      </c>
    </row>
    <row r="96" spans="1:17" s="42" customFormat="1" ht="15" hidden="1" customHeight="1" outlineLevel="1" x14ac:dyDescent="0.3">
      <c r="A96" s="34"/>
      <c r="B96" s="11" t="str">
        <f>CONCATENATE("          ","6279"," - ","GENERAL EXPENSE")</f>
        <v xml:space="preserve">          6279 - GENERAL EXPENSE</v>
      </c>
      <c r="C96" s="15"/>
      <c r="D96" s="3">
        <v>778</v>
      </c>
      <c r="E96" s="3">
        <v>997.29</v>
      </c>
      <c r="F96" s="3">
        <v>91.31</v>
      </c>
      <c r="G96" s="3">
        <v>327.5</v>
      </c>
      <c r="H96" s="3">
        <v>1135.0899999999999</v>
      </c>
      <c r="I96" s="3">
        <v>1002</v>
      </c>
      <c r="J96" s="3"/>
      <c r="K96" s="3">
        <v>1424.16</v>
      </c>
      <c r="L96" s="3">
        <v>191.1</v>
      </c>
      <c r="M96" s="3">
        <v>493.61</v>
      </c>
      <c r="N96" s="3">
        <v>950</v>
      </c>
      <c r="O96" s="3">
        <v>1200</v>
      </c>
      <c r="P96" s="10"/>
      <c r="Q96" s="3">
        <f>SUM(OSRRefD21_11_0x)+IFERROR(SUM(OSRRefE21_11_0x),0)</f>
        <v>8590.06</v>
      </c>
    </row>
    <row r="97" spans="1:17" s="42" customFormat="1" ht="15" customHeight="1" collapsed="1" x14ac:dyDescent="0.3">
      <c r="A97" s="34"/>
      <c r="B97" s="15" t="str">
        <f>CONCATENATE("     ","Insurance                                         ")</f>
        <v xml:space="preserve">     Insurance                                         </v>
      </c>
      <c r="C97" s="15"/>
      <c r="D97" s="2">
        <f>SUM(OSRRefD21_12x_0)</f>
        <v>5494.57</v>
      </c>
      <c r="E97" s="2">
        <f>SUM(OSRRefD21_12x_1)</f>
        <v>5494.57</v>
      </c>
      <c r="F97" s="2">
        <f>SUM(OSRRefD21_12x_2)</f>
        <v>5494.57</v>
      </c>
      <c r="G97" s="2">
        <f>SUM(OSRRefD21_12x_3)</f>
        <v>5494.57</v>
      </c>
      <c r="H97" s="2">
        <f>SUM(OSRRefD21_12x_4)</f>
        <v>5494.57</v>
      </c>
      <c r="I97" s="2">
        <f>SUM(OSRRefD21_12x_5)</f>
        <v>5494.57</v>
      </c>
      <c r="J97" s="2">
        <f>SUM(OSRRefD21_12x_6)</f>
        <v>5494.57</v>
      </c>
      <c r="K97" s="2">
        <f>SUM(OSRRefD21_12x_7)</f>
        <v>5494.57</v>
      </c>
      <c r="L97" s="2">
        <f>SUM(OSRRefD21_12x_8)</f>
        <v>5494.57</v>
      </c>
      <c r="M97" s="2">
        <f>SUM(OSRRefD21_12x_9)</f>
        <v>5494.57</v>
      </c>
      <c r="N97" s="2">
        <f>SUM(OSRRefE21_12x_0)</f>
        <v>5375</v>
      </c>
      <c r="O97" s="2">
        <f>SUM(OSRRefE21_12x_1)</f>
        <v>5375</v>
      </c>
      <c r="Q97" s="3">
        <f>SUM(OSRRefD20_12x)+IFERROR(SUM(OSRRefE20_12x),0)</f>
        <v>65695.7</v>
      </c>
    </row>
    <row r="98" spans="1:17" s="42" customFormat="1" ht="15" hidden="1" customHeight="1" outlineLevel="1" x14ac:dyDescent="0.3">
      <c r="A98" s="34"/>
      <c r="B98" s="11" t="str">
        <f>CONCATENATE("          ","6314"," - ","LIABILITY INSURANCE")</f>
        <v xml:space="preserve">          6314 - LIABILITY INSURANCE</v>
      </c>
      <c r="C98" s="15"/>
      <c r="D98" s="3">
        <v>5494.57</v>
      </c>
      <c r="E98" s="3">
        <v>5494.57</v>
      </c>
      <c r="F98" s="3">
        <v>5494.57</v>
      </c>
      <c r="G98" s="3">
        <v>5494.57</v>
      </c>
      <c r="H98" s="3">
        <v>5494.57</v>
      </c>
      <c r="I98" s="3">
        <v>5494.57</v>
      </c>
      <c r="J98" s="3">
        <v>5494.57</v>
      </c>
      <c r="K98" s="3">
        <v>5494.57</v>
      </c>
      <c r="L98" s="3">
        <v>5494.57</v>
      </c>
      <c r="M98" s="3">
        <v>5494.57</v>
      </c>
      <c r="N98" s="3">
        <v>5375</v>
      </c>
      <c r="O98" s="3">
        <v>5375</v>
      </c>
      <c r="P98" s="10"/>
      <c r="Q98" s="3">
        <f>SUM(OSRRefD21_12_0x)+IFERROR(SUM(OSRRefE21_12_0x),0)</f>
        <v>65695.7</v>
      </c>
    </row>
    <row r="99" spans="1:17" s="42" customFormat="1" ht="15" customHeight="1" collapsed="1" x14ac:dyDescent="0.3">
      <c r="A99" s="34"/>
      <c r="B99" s="15" t="str">
        <f>CONCATENATE("     ","Inventory Adjustment                              ")</f>
        <v xml:space="preserve">     Inventory Adjustment                              </v>
      </c>
      <c r="C99" s="15"/>
      <c r="D99" s="2">
        <f>SUM(OSRRefD21_13x_0)</f>
        <v>5100</v>
      </c>
      <c r="E99" s="2">
        <f>SUM(OSRRefD21_13x_1)</f>
        <v>5100</v>
      </c>
      <c r="F99" s="2">
        <f>SUM(OSRRefD21_13x_2)</f>
        <v>5100</v>
      </c>
      <c r="G99" s="2">
        <f>SUM(OSRRefD21_13x_3)</f>
        <v>5100</v>
      </c>
      <c r="H99" s="2">
        <f>SUM(OSRRefD21_13x_4)</f>
        <v>5100</v>
      </c>
      <c r="I99" s="2">
        <f>SUM(OSRRefD21_13x_5)</f>
        <v>9100</v>
      </c>
      <c r="J99" s="2">
        <f>SUM(OSRRefD21_13x_6)</f>
        <v>5100</v>
      </c>
      <c r="K99" s="2">
        <f>SUM(OSRRefD21_13x_7)</f>
        <v>5100</v>
      </c>
      <c r="L99" s="2">
        <f>SUM(OSRRefD21_13x_8)</f>
        <v>5100</v>
      </c>
      <c r="M99" s="2">
        <f>SUM(OSRRefD21_13x_9)</f>
        <v>5100</v>
      </c>
      <c r="N99" s="2">
        <f>SUM(OSRRefE21_13x_0)</f>
        <v>5100</v>
      </c>
      <c r="O99" s="2">
        <f>SUM(OSRRefE21_13x_1)</f>
        <v>19100</v>
      </c>
      <c r="Q99" s="3">
        <f>SUM(OSRRefD20_13x)+IFERROR(SUM(OSRRefE20_13x),0)</f>
        <v>79200</v>
      </c>
    </row>
    <row r="100" spans="1:17" s="42" customFormat="1" ht="15" hidden="1" customHeight="1" outlineLevel="1" x14ac:dyDescent="0.3">
      <c r="A100" s="34"/>
      <c r="B100" s="11" t="str">
        <f>CONCATENATE("          ","6408"," - ","INVENTORY ADJUSTMENT")</f>
        <v xml:space="preserve">          6408 - INVENTORY ADJUSTMENT</v>
      </c>
      <c r="C100" s="15"/>
      <c r="D100" s="3">
        <v>5100</v>
      </c>
      <c r="E100" s="3">
        <v>5100</v>
      </c>
      <c r="F100" s="3">
        <v>5100</v>
      </c>
      <c r="G100" s="3">
        <v>5100</v>
      </c>
      <c r="H100" s="3">
        <v>5100</v>
      </c>
      <c r="I100" s="3">
        <v>9100</v>
      </c>
      <c r="J100" s="3">
        <v>5100</v>
      </c>
      <c r="K100" s="3">
        <v>5100</v>
      </c>
      <c r="L100" s="3">
        <v>5100</v>
      </c>
      <c r="M100" s="3">
        <v>5100</v>
      </c>
      <c r="N100" s="3">
        <v>5100</v>
      </c>
      <c r="O100" s="3">
        <v>19100</v>
      </c>
      <c r="P100" s="10"/>
      <c r="Q100" s="3">
        <f>SUM(OSRRefD21_13_0x)+IFERROR(SUM(OSRRefE21_13_0x),0)</f>
        <v>79200</v>
      </c>
    </row>
    <row r="101" spans="1:17" s="42" customFormat="1" ht="15" customHeight="1" collapsed="1" x14ac:dyDescent="0.3">
      <c r="A101" s="34"/>
      <c r="B101" s="15" t="str">
        <f>CONCATENATE("     ","Professional Services                             ")</f>
        <v xml:space="preserve">     Professional Services                             </v>
      </c>
      <c r="C101" s="15"/>
      <c r="D101" s="2">
        <f>SUM(OSRRefD21_14x_0)</f>
        <v>0</v>
      </c>
      <c r="E101" s="2">
        <f>SUM(OSRRefD21_14x_1)</f>
        <v>0</v>
      </c>
      <c r="F101" s="2">
        <f>SUM(OSRRefD21_14x_2)</f>
        <v>0</v>
      </c>
      <c r="G101" s="2">
        <f>SUM(OSRRefD21_14x_3)</f>
        <v>8186.53</v>
      </c>
      <c r="H101" s="2">
        <f>SUM(OSRRefD21_14x_4)</f>
        <v>0</v>
      </c>
      <c r="I101" s="2">
        <f>SUM(OSRRefD21_14x_5)</f>
        <v>0</v>
      </c>
      <c r="J101" s="2">
        <f>SUM(OSRRefD21_14x_6)</f>
        <v>0</v>
      </c>
      <c r="K101" s="2">
        <f>SUM(OSRRefD21_14x_7)</f>
        <v>390</v>
      </c>
      <c r="L101" s="2">
        <f>SUM(OSRRefD21_14x_8)</f>
        <v>1050</v>
      </c>
      <c r="M101" s="2">
        <f>SUM(OSRRefD21_14x_9)</f>
        <v>0</v>
      </c>
      <c r="N101" s="2">
        <f>SUM(OSRRefE21_14x_0)</f>
        <v>0</v>
      </c>
      <c r="O101" s="2">
        <f>SUM(OSRRefE21_14x_1)</f>
        <v>0</v>
      </c>
      <c r="Q101" s="3">
        <f>SUM(OSRRefD20_14x)+IFERROR(SUM(OSRRefE20_14x),0)</f>
        <v>9626.5299999999988</v>
      </c>
    </row>
    <row r="102" spans="1:17" s="42" customFormat="1" ht="15" hidden="1" customHeight="1" outlineLevel="1" x14ac:dyDescent="0.3">
      <c r="A102" s="34"/>
      <c r="B102" s="11" t="str">
        <f>CONCATENATE("          ","6336"," - ","PROFESSIONAL SERVICES")</f>
        <v xml:space="preserve">          6336 - PROFESSIONAL SERVICES</v>
      </c>
      <c r="C102" s="15"/>
      <c r="D102" s="3"/>
      <c r="E102" s="3"/>
      <c r="F102" s="3"/>
      <c r="G102" s="3">
        <v>8186.53</v>
      </c>
      <c r="H102" s="3"/>
      <c r="I102" s="3"/>
      <c r="J102" s="3"/>
      <c r="K102" s="3">
        <v>390</v>
      </c>
      <c r="L102" s="3">
        <v>1050</v>
      </c>
      <c r="M102" s="3"/>
      <c r="N102" s="3">
        <v>0</v>
      </c>
      <c r="O102" s="3">
        <v>0</v>
      </c>
      <c r="P102" s="10"/>
      <c r="Q102" s="3">
        <f>SUM(OSRRefD21_14_0x)+IFERROR(SUM(OSRRefE21_14_0x),0)</f>
        <v>9626.5299999999988</v>
      </c>
    </row>
    <row r="103" spans="1:17" s="42" customFormat="1" ht="15" customHeight="1" collapsed="1" x14ac:dyDescent="0.3">
      <c r="A103" s="34"/>
      <c r="B103" s="15" t="str">
        <f>CONCATENATE("     ","Rent                                              ")</f>
        <v xml:space="preserve">     Rent                                              </v>
      </c>
      <c r="C103" s="15"/>
      <c r="D103" s="2">
        <f>SUM(OSRRefD21_15x_0)</f>
        <v>6100</v>
      </c>
      <c r="E103" s="2">
        <f>SUM(OSRRefD21_15x_1)</f>
        <v>6100</v>
      </c>
      <c r="F103" s="2">
        <f>SUM(OSRRefD21_15x_2)</f>
        <v>6100</v>
      </c>
      <c r="G103" s="2">
        <f>SUM(OSRRefD21_15x_3)</f>
        <v>6100</v>
      </c>
      <c r="H103" s="2">
        <f>SUM(OSRRefD21_15x_4)</f>
        <v>6100</v>
      </c>
      <c r="I103" s="2">
        <f>SUM(OSRRefD21_15x_5)</f>
        <v>6100</v>
      </c>
      <c r="J103" s="2">
        <f>SUM(OSRRefD21_15x_6)</f>
        <v>6100</v>
      </c>
      <c r="K103" s="2">
        <f>SUM(OSRRefD21_15x_7)</f>
        <v>6100</v>
      </c>
      <c r="L103" s="2">
        <f>SUM(OSRRefD21_15x_8)</f>
        <v>6100</v>
      </c>
      <c r="M103" s="2">
        <f>SUM(OSRRefD21_15x_9)</f>
        <v>6100</v>
      </c>
      <c r="N103" s="2">
        <f>SUM(OSRRefE21_15x_0)</f>
        <v>6100</v>
      </c>
      <c r="O103" s="2">
        <f>SUM(OSRRefE21_15x_1)</f>
        <v>6100</v>
      </c>
      <c r="Q103" s="3">
        <f>SUM(OSRRefD20_15x)+IFERROR(SUM(OSRRefE20_15x),0)</f>
        <v>73200</v>
      </c>
    </row>
    <row r="104" spans="1:17" s="42" customFormat="1" ht="15" hidden="1" customHeight="1" outlineLevel="1" x14ac:dyDescent="0.3">
      <c r="A104" s="34"/>
      <c r="B104" s="11" t="str">
        <f>CONCATENATE("          ","6273"," - ","RENT")</f>
        <v xml:space="preserve">          6273 - RENT</v>
      </c>
      <c r="C104" s="15"/>
      <c r="D104" s="3">
        <v>6100</v>
      </c>
      <c r="E104" s="3">
        <v>6100</v>
      </c>
      <c r="F104" s="3">
        <v>6100</v>
      </c>
      <c r="G104" s="3">
        <v>6100</v>
      </c>
      <c r="H104" s="3">
        <v>6100</v>
      </c>
      <c r="I104" s="3">
        <v>6100</v>
      </c>
      <c r="J104" s="3">
        <v>6100</v>
      </c>
      <c r="K104" s="3">
        <v>6100</v>
      </c>
      <c r="L104" s="3">
        <v>6100</v>
      </c>
      <c r="M104" s="3">
        <v>6100</v>
      </c>
      <c r="N104" s="3">
        <v>6100</v>
      </c>
      <c r="O104" s="3">
        <v>6100</v>
      </c>
      <c r="P104" s="10"/>
      <c r="Q104" s="3">
        <f>SUM(OSRRefD21_15_0x)+IFERROR(SUM(OSRRefE21_15_0x),0)</f>
        <v>73200</v>
      </c>
    </row>
    <row r="105" spans="1:17" s="42" customFormat="1" ht="15" customHeight="1" collapsed="1" x14ac:dyDescent="0.3">
      <c r="A105" s="34"/>
      <c r="B105" s="15" t="str">
        <f>CONCATENATE("     ","Repair and Maintenance                            ")</f>
        <v xml:space="preserve">     Repair and Maintenance                            </v>
      </c>
      <c r="C105" s="15"/>
      <c r="D105" s="2">
        <f>SUM(OSRRefD21_16x_0)</f>
        <v>64762.729999999996</v>
      </c>
      <c r="E105" s="2">
        <f>SUM(OSRRefD21_16x_1)</f>
        <v>8064.33</v>
      </c>
      <c r="F105" s="2">
        <f>SUM(OSRRefD21_16x_2)</f>
        <v>4189.5</v>
      </c>
      <c r="G105" s="2">
        <f>SUM(OSRRefD21_16x_3)</f>
        <v>12440.880000000001</v>
      </c>
      <c r="H105" s="2">
        <f>SUM(OSRRefD21_16x_4)</f>
        <v>1338.03</v>
      </c>
      <c r="I105" s="2">
        <f>SUM(OSRRefD21_16x_5)</f>
        <v>7012.15</v>
      </c>
      <c r="J105" s="2">
        <f>SUM(OSRRefD21_16x_6)</f>
        <v>11622.75</v>
      </c>
      <c r="K105" s="2">
        <f>SUM(OSRRefD21_16x_7)</f>
        <v>6007.6299999999992</v>
      </c>
      <c r="L105" s="2">
        <f>SUM(OSRRefD21_16x_8)</f>
        <v>14924.68</v>
      </c>
      <c r="M105" s="2">
        <f>SUM(OSRRefD21_16x_9)</f>
        <v>6647.7800000000007</v>
      </c>
      <c r="N105" s="2">
        <f>SUM(OSRRefE21_16x_0)</f>
        <v>10645</v>
      </c>
      <c r="O105" s="2">
        <f>SUM(OSRRefE21_16x_1)</f>
        <v>10745</v>
      </c>
      <c r="Q105" s="3">
        <f>SUM(OSRRefD20_16x)+IFERROR(SUM(OSRRefE20_16x),0)</f>
        <v>158400.46</v>
      </c>
    </row>
    <row r="106" spans="1:17" s="42" customFormat="1" ht="15" hidden="1" customHeight="1" outlineLevel="1" x14ac:dyDescent="0.3">
      <c r="A106" s="34"/>
      <c r="B106" s="11" t="str">
        <f>CONCATENATE("          ","6371"," - ","COMPUTER SOFTWARE MAINTENANCE")</f>
        <v xml:space="preserve">          6371 - COMPUTER SOFTWARE MAINTENANCE</v>
      </c>
      <c r="C106" s="15"/>
      <c r="D106" s="3">
        <v>59623.5</v>
      </c>
      <c r="E106" s="3">
        <v>0</v>
      </c>
      <c r="F106" s="3"/>
      <c r="G106" s="3">
        <v>2887.5</v>
      </c>
      <c r="H106" s="3"/>
      <c r="I106" s="3"/>
      <c r="J106" s="3"/>
      <c r="K106" s="3"/>
      <c r="L106" s="3"/>
      <c r="M106" s="3"/>
      <c r="N106" s="3">
        <v>1000</v>
      </c>
      <c r="O106" s="3">
        <v>1000</v>
      </c>
      <c r="P106" s="10"/>
      <c r="Q106" s="3">
        <f>SUM(OSRRefD21_16_0x)+IFERROR(SUM(OSRRefE21_16_0x),0)</f>
        <v>64511</v>
      </c>
    </row>
    <row r="107" spans="1:17" s="42" customFormat="1" ht="15" hidden="1" customHeight="1" outlineLevel="1" x14ac:dyDescent="0.3">
      <c r="A107" s="34"/>
      <c r="B107" s="11" t="str">
        <f>CONCATENATE("          ","6372"," - ","COMPUTER HARDWARE MAINTENANCE")</f>
        <v xml:space="preserve">          6372 - COMPUTER HARDWARE MAINTENANCE</v>
      </c>
      <c r="C107" s="15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>
        <v>3750</v>
      </c>
      <c r="O107" s="3">
        <v>3750</v>
      </c>
      <c r="P107" s="10"/>
      <c r="Q107" s="3">
        <f>SUM(OSRRefD21_16_1x)+IFERROR(SUM(OSRRefE21_16_1x),0)</f>
        <v>7500</v>
      </c>
    </row>
    <row r="108" spans="1:17" s="42" customFormat="1" ht="15" hidden="1" customHeight="1" outlineLevel="1" x14ac:dyDescent="0.3">
      <c r="A108" s="34"/>
      <c r="B108" s="11" t="str">
        <f>CONCATENATE("          ","6373"," - ","MAINTENANCE CONTRACTS")</f>
        <v xml:space="preserve">          6373 - MAINTENANCE CONTRACTS</v>
      </c>
      <c r="C108" s="15"/>
      <c r="D108" s="3">
        <v>654.63</v>
      </c>
      <c r="E108" s="3">
        <v>6010.42</v>
      </c>
      <c r="F108" s="3">
        <v>1366.9</v>
      </c>
      <c r="G108" s="3">
        <v>4034.78</v>
      </c>
      <c r="H108" s="3">
        <v>179.27</v>
      </c>
      <c r="I108" s="3">
        <v>2237.17</v>
      </c>
      <c r="J108" s="3">
        <v>1512.02</v>
      </c>
      <c r="K108" s="3">
        <v>1904.31</v>
      </c>
      <c r="L108" s="3">
        <v>3672.02</v>
      </c>
      <c r="M108" s="3">
        <v>800.18</v>
      </c>
      <c r="N108" s="3">
        <v>5855</v>
      </c>
      <c r="O108" s="3">
        <v>5955</v>
      </c>
      <c r="P108" s="10"/>
      <c r="Q108" s="3">
        <f>SUM(OSRRefD21_16_2x)+IFERROR(SUM(OSRRefE21_16_2x),0)</f>
        <v>34181.700000000004</v>
      </c>
    </row>
    <row r="109" spans="1:17" s="42" customFormat="1" ht="15" hidden="1" customHeight="1" outlineLevel="1" x14ac:dyDescent="0.3">
      <c r="A109" s="34"/>
      <c r="B109" s="11" t="str">
        <f>CONCATENATE("          ","6375"," - ","OUTSIDE REPAIRS &amp; MAINTENANCE")</f>
        <v xml:space="preserve">          6375 - OUTSIDE REPAIRS &amp; MAINTENANCE</v>
      </c>
      <c r="C109" s="15"/>
      <c r="D109" s="3">
        <v>4484.6000000000004</v>
      </c>
      <c r="E109" s="3">
        <v>2053.91</v>
      </c>
      <c r="F109" s="3">
        <v>2822.6</v>
      </c>
      <c r="G109" s="3">
        <v>5518.6</v>
      </c>
      <c r="H109" s="3">
        <v>1158.76</v>
      </c>
      <c r="I109" s="3">
        <v>4774.9799999999996</v>
      </c>
      <c r="J109" s="3">
        <v>10110.73</v>
      </c>
      <c r="K109" s="3">
        <v>4103.32</v>
      </c>
      <c r="L109" s="3">
        <v>11252.66</v>
      </c>
      <c r="M109" s="3">
        <v>5847.6</v>
      </c>
      <c r="N109" s="3">
        <v>40</v>
      </c>
      <c r="O109" s="3">
        <v>40</v>
      </c>
      <c r="P109" s="10"/>
      <c r="Q109" s="3">
        <f>SUM(OSRRefD21_16_3x)+IFERROR(SUM(OSRRefE21_16_3x),0)</f>
        <v>52207.76</v>
      </c>
    </row>
    <row r="110" spans="1:17" s="42" customFormat="1" ht="15" customHeight="1" collapsed="1" x14ac:dyDescent="0.3">
      <c r="A110" s="34"/>
      <c r="B110" s="15" t="str">
        <f>CONCATENATE("     ","Royalty &amp; Commissions                             ")</f>
        <v xml:space="preserve">     Royalty &amp; Commissions                             </v>
      </c>
      <c r="C110" s="15"/>
      <c r="D110" s="2">
        <f>SUM(OSRRefD21_17x_0)</f>
        <v>7355.1000000000013</v>
      </c>
      <c r="E110" s="2">
        <f>SUM(OSRRefD21_17x_1)</f>
        <v>601.89</v>
      </c>
      <c r="F110" s="2">
        <f>SUM(OSRRefD21_17x_2)</f>
        <v>1174.22</v>
      </c>
      <c r="G110" s="2">
        <f>SUM(OSRRefD21_17x_3)</f>
        <v>10709.72</v>
      </c>
      <c r="H110" s="2">
        <f>SUM(OSRRefD21_17x_4)</f>
        <v>784.77</v>
      </c>
      <c r="I110" s="2">
        <f>SUM(OSRRefD21_17x_5)</f>
        <v>1121.23</v>
      </c>
      <c r="J110" s="2">
        <f>SUM(OSRRefD21_17x_6)</f>
        <v>23704.5</v>
      </c>
      <c r="K110" s="2">
        <f>SUM(OSRRefD21_17x_7)</f>
        <v>4782.3600000000006</v>
      </c>
      <c r="L110" s="2">
        <f>SUM(OSRRefD21_17x_8)</f>
        <v>2502.14</v>
      </c>
      <c r="M110" s="2">
        <f>SUM(OSRRefD21_17x_9)</f>
        <v>28886.6</v>
      </c>
      <c r="N110" s="2">
        <f>SUM(OSRRefE21_17x_0)</f>
        <v>9656</v>
      </c>
      <c r="O110" s="2">
        <f>SUM(OSRRefE21_17x_1)</f>
        <v>9822</v>
      </c>
      <c r="Q110" s="3">
        <f>SUM(OSRRefD20_17x)+IFERROR(SUM(OSRRefE20_17x),0)</f>
        <v>101100.53</v>
      </c>
    </row>
    <row r="111" spans="1:17" s="42" customFormat="1" ht="15" hidden="1" customHeight="1" outlineLevel="1" x14ac:dyDescent="0.3">
      <c r="A111" s="34"/>
      <c r="B111" s="11" t="str">
        <f>CONCATENATE("          ","6252"," - ","ROYALTY DUE CSTV")</f>
        <v xml:space="preserve">          6252 - ROYALTY DUE CSTV</v>
      </c>
      <c r="C111" s="15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>
        <v>2156</v>
      </c>
      <c r="O111" s="3">
        <v>3322</v>
      </c>
      <c r="P111" s="10"/>
      <c r="Q111" s="3">
        <f>SUM(OSRRefD21_17_0x)+IFERROR(SUM(OSRRefE21_17_0x),0)</f>
        <v>5478</v>
      </c>
    </row>
    <row r="112" spans="1:17" s="42" customFormat="1" ht="15" hidden="1" customHeight="1" outlineLevel="1" x14ac:dyDescent="0.3">
      <c r="A112" s="34"/>
      <c r="B112" s="11" t="str">
        <f>CONCATENATE("          ","6253"," - ","ROYALTY DUE ATHLETICS-LRG")</f>
        <v xml:space="preserve">          6253 - ROYALTY DUE ATHLETICS-LRG</v>
      </c>
      <c r="C112" s="15"/>
      <c r="D112" s="3">
        <v>14376.54</v>
      </c>
      <c r="E112" s="3"/>
      <c r="F112" s="3"/>
      <c r="G112" s="3">
        <v>8783.75</v>
      </c>
      <c r="H112" s="3"/>
      <c r="I112" s="3"/>
      <c r="J112" s="3">
        <v>16060.87</v>
      </c>
      <c r="K112" s="3"/>
      <c r="L112" s="3"/>
      <c r="M112" s="3">
        <v>15944.33</v>
      </c>
      <c r="N112" s="3">
        <v>0</v>
      </c>
      <c r="O112" s="3">
        <v>0</v>
      </c>
      <c r="P112" s="10"/>
      <c r="Q112" s="3">
        <f>SUM(OSRRefD21_17_1x)+IFERROR(SUM(OSRRefE21_17_1x),0)</f>
        <v>55165.490000000005</v>
      </c>
    </row>
    <row r="113" spans="1:17" s="42" customFormat="1" ht="15" hidden="1" customHeight="1" outlineLevel="1" x14ac:dyDescent="0.3">
      <c r="A113" s="34"/>
      <c r="B113" s="11" t="str">
        <f>CONCATENATE("          ","6254"," - ","ROYALTY &amp; COMMISSIONS")</f>
        <v xml:space="preserve">          6254 - ROYALTY &amp; COMMISSIONS</v>
      </c>
      <c r="C113" s="15"/>
      <c r="D113" s="3">
        <v>-7027.5</v>
      </c>
      <c r="E113" s="3"/>
      <c r="F113" s="3"/>
      <c r="G113" s="3"/>
      <c r="H113" s="3"/>
      <c r="I113" s="3">
        <v>0</v>
      </c>
      <c r="J113" s="3">
        <v>7389.19</v>
      </c>
      <c r="K113" s="3">
        <v>3147.46</v>
      </c>
      <c r="L113" s="3"/>
      <c r="M113" s="3">
        <v>10897.24</v>
      </c>
      <c r="N113" s="3">
        <v>1000</v>
      </c>
      <c r="O113" s="3">
        <v>0</v>
      </c>
      <c r="P113" s="10"/>
      <c r="Q113" s="3">
        <f>SUM(OSRRefD21_17_2x)+IFERROR(SUM(OSRRefE21_17_2x),0)</f>
        <v>15406.39</v>
      </c>
    </row>
    <row r="114" spans="1:17" s="42" customFormat="1" ht="15" hidden="1" customHeight="1" outlineLevel="1" x14ac:dyDescent="0.3">
      <c r="A114" s="34"/>
      <c r="B114" s="11" t="str">
        <f>CONCATENATE("          ","6259"," - ","ROYALTY &amp; COMMISSIONS")</f>
        <v xml:space="preserve">          6259 - ROYALTY &amp; COMMISSIONS</v>
      </c>
      <c r="C114" s="15"/>
      <c r="D114" s="3">
        <v>6.06</v>
      </c>
      <c r="E114" s="3">
        <v>601.89</v>
      </c>
      <c r="F114" s="3">
        <v>1174.22</v>
      </c>
      <c r="G114" s="3">
        <v>1925.97</v>
      </c>
      <c r="H114" s="3">
        <v>784.77</v>
      </c>
      <c r="I114" s="3">
        <v>1121.23</v>
      </c>
      <c r="J114" s="3">
        <v>254.44</v>
      </c>
      <c r="K114" s="3">
        <v>1634.9</v>
      </c>
      <c r="L114" s="3">
        <v>2502.14</v>
      </c>
      <c r="M114" s="3">
        <v>2045.03</v>
      </c>
      <c r="N114" s="3">
        <v>6500</v>
      </c>
      <c r="O114" s="3">
        <v>6500</v>
      </c>
      <c r="P114" s="10"/>
      <c r="Q114" s="3">
        <f>SUM(OSRRefD21_17_3x)+IFERROR(SUM(OSRRefE21_17_3x),0)</f>
        <v>25050.65</v>
      </c>
    </row>
    <row r="115" spans="1:17" s="42" customFormat="1" ht="15" customHeight="1" collapsed="1" x14ac:dyDescent="0.3">
      <c r="A115" s="34"/>
      <c r="B115" s="15" t="str">
        <f>CONCATENATE("     ","Services                                          ")</f>
        <v xml:space="preserve">     Services                                          </v>
      </c>
      <c r="C115" s="15"/>
      <c r="D115" s="2">
        <f>SUM(OSRRefD21_18x_0)</f>
        <v>4006.32</v>
      </c>
      <c r="E115" s="2">
        <f>SUM(OSRRefD21_18x_1)</f>
        <v>12958.730000000001</v>
      </c>
      <c r="F115" s="2">
        <f>SUM(OSRRefD21_18x_2)</f>
        <v>4255.71</v>
      </c>
      <c r="G115" s="2">
        <f>SUM(OSRRefD21_18x_3)</f>
        <v>5241.84</v>
      </c>
      <c r="H115" s="2">
        <f>SUM(OSRRefD21_18x_4)</f>
        <v>4500.9799999999996</v>
      </c>
      <c r="I115" s="2">
        <f>SUM(OSRRefD21_18x_5)</f>
        <v>4823.41</v>
      </c>
      <c r="J115" s="2">
        <f>SUM(OSRRefD21_18x_6)</f>
        <v>4457.3099999999995</v>
      </c>
      <c r="K115" s="2">
        <f>SUM(OSRRefD21_18x_7)</f>
        <v>7009.93</v>
      </c>
      <c r="L115" s="2">
        <f>SUM(OSRRefD21_18x_8)</f>
        <v>4639.4000000000005</v>
      </c>
      <c r="M115" s="2">
        <f>SUM(OSRRefD21_18x_9)</f>
        <v>4617.1299999999992</v>
      </c>
      <c r="N115" s="2">
        <f>SUM(OSRRefE21_18x_0)</f>
        <v>4360</v>
      </c>
      <c r="O115" s="2">
        <f>SUM(OSRRefE21_18x_1)</f>
        <v>4420</v>
      </c>
      <c r="Q115" s="3">
        <f>SUM(OSRRefD20_18x)+IFERROR(SUM(OSRRefE20_18x),0)</f>
        <v>65290.76</v>
      </c>
    </row>
    <row r="116" spans="1:17" s="42" customFormat="1" ht="15" hidden="1" customHeight="1" outlineLevel="1" x14ac:dyDescent="0.3">
      <c r="A116" s="34"/>
      <c r="B116" s="11" t="str">
        <f>CONCATENATE("          ","6282"," - ","JANITORIAL/EXTERMINATOR EXPENS")</f>
        <v xml:space="preserve">          6282 - JANITORIAL/EXTERMINATOR EXPENS</v>
      </c>
      <c r="C116" s="15"/>
      <c r="D116" s="3"/>
      <c r="E116" s="3">
        <v>291</v>
      </c>
      <c r="F116" s="3">
        <v>684.57</v>
      </c>
      <c r="G116" s="3">
        <v>753.11</v>
      </c>
      <c r="H116" s="3">
        <v>129</v>
      </c>
      <c r="I116" s="3">
        <v>267</v>
      </c>
      <c r="J116" s="3">
        <v>69</v>
      </c>
      <c r="K116" s="3">
        <v>350.3</v>
      </c>
      <c r="L116" s="3">
        <v>209.65</v>
      </c>
      <c r="M116" s="3">
        <v>209.65</v>
      </c>
      <c r="N116" s="3">
        <v>4300</v>
      </c>
      <c r="O116" s="3">
        <v>4300</v>
      </c>
      <c r="P116" s="10"/>
      <c r="Q116" s="3">
        <f>SUM(OSRRefD21_18_0x)+IFERROR(SUM(OSRRefE21_18_0x),0)</f>
        <v>11563.28</v>
      </c>
    </row>
    <row r="117" spans="1:17" s="42" customFormat="1" ht="15" hidden="1" customHeight="1" outlineLevel="1" x14ac:dyDescent="0.3">
      <c r="A117" s="34"/>
      <c r="B117" s="11" t="str">
        <f>CONCATENATE("          ","6284"," - ","TRASH REMOVAL EXPENSE")</f>
        <v xml:space="preserve">          6284 - TRASH REMOVAL EXPENSE</v>
      </c>
      <c r="C117" s="15"/>
      <c r="D117" s="3">
        <v>142.57</v>
      </c>
      <c r="E117" s="3">
        <v>149.69999999999999</v>
      </c>
      <c r="F117" s="3">
        <v>149.69999999999999</v>
      </c>
      <c r="G117" s="3">
        <v>149.69999999999999</v>
      </c>
      <c r="H117" s="3">
        <v>149.69999999999999</v>
      </c>
      <c r="I117" s="3">
        <v>149.69999999999999</v>
      </c>
      <c r="J117" s="3">
        <v>149.69999999999999</v>
      </c>
      <c r="K117" s="3">
        <v>149.69999999999999</v>
      </c>
      <c r="L117" s="3">
        <v>149.69999999999999</v>
      </c>
      <c r="M117" s="3"/>
      <c r="N117" s="3">
        <v>60</v>
      </c>
      <c r="O117" s="3">
        <v>120</v>
      </c>
      <c r="P117" s="10"/>
      <c r="Q117" s="3">
        <f>SUM(OSRRefD21_18_1x)+IFERROR(SUM(OSRRefE21_18_1x),0)</f>
        <v>1520.17</v>
      </c>
    </row>
    <row r="118" spans="1:17" s="42" customFormat="1" ht="15" hidden="1" customHeight="1" outlineLevel="1" x14ac:dyDescent="0.3">
      <c r="A118" s="34"/>
      <c r="B118" s="11" t="str">
        <f>CONCATENATE("          ","6285"," - ","JANITORIAL SERVICES")</f>
        <v xml:space="preserve">          6285 - JANITORIAL SERVICES</v>
      </c>
      <c r="C118" s="15"/>
      <c r="D118" s="3">
        <v>3863.75</v>
      </c>
      <c r="E118" s="3">
        <v>12518.03</v>
      </c>
      <c r="F118" s="3">
        <v>3421.44</v>
      </c>
      <c r="G118" s="3">
        <v>4339.03</v>
      </c>
      <c r="H118" s="3">
        <v>4222.28</v>
      </c>
      <c r="I118" s="3">
        <v>4406.71</v>
      </c>
      <c r="J118" s="3">
        <v>4238.6099999999997</v>
      </c>
      <c r="K118" s="3">
        <v>6509.93</v>
      </c>
      <c r="L118" s="3">
        <v>4280.05</v>
      </c>
      <c r="M118" s="3">
        <v>4407.4799999999996</v>
      </c>
      <c r="N118" s="3"/>
      <c r="O118" s="3"/>
      <c r="P118" s="10"/>
      <c r="Q118" s="3">
        <f>SUM(OSRRefD21_18_2x)+IFERROR(SUM(OSRRefE21_18_2x),0)</f>
        <v>52207.31</v>
      </c>
    </row>
    <row r="119" spans="1:17" s="42" customFormat="1" ht="15" customHeight="1" collapsed="1" x14ac:dyDescent="0.3">
      <c r="A119" s="34"/>
      <c r="B119" s="15" t="str">
        <f>CONCATENATE("     ","Subscriptions &amp; Dues                              ")</f>
        <v xml:space="preserve">     Subscriptions &amp; Dues                              </v>
      </c>
      <c r="C119" s="15"/>
      <c r="D119" s="2">
        <f>SUM(OSRRefD21_19x_0)</f>
        <v>68.319999999999993</v>
      </c>
      <c r="E119" s="2">
        <f>SUM(OSRRefD21_19x_1)</f>
        <v>57</v>
      </c>
      <c r="F119" s="2">
        <f>SUM(OSRRefD21_19x_2)</f>
        <v>-72.56</v>
      </c>
      <c r="G119" s="2">
        <f>SUM(OSRRefD21_19x_3)</f>
        <v>904.08</v>
      </c>
      <c r="H119" s="2">
        <f>SUM(OSRRefD21_19x_4)</f>
        <v>148.66</v>
      </c>
      <c r="I119" s="2">
        <f>SUM(OSRRefD21_19x_5)</f>
        <v>286.24</v>
      </c>
      <c r="J119" s="2">
        <f>SUM(OSRRefD21_19x_6)</f>
        <v>301.99</v>
      </c>
      <c r="K119" s="2">
        <f>SUM(OSRRefD21_19x_7)</f>
        <v>176.99</v>
      </c>
      <c r="L119" s="2">
        <f>SUM(OSRRefD21_19x_8)</f>
        <v>606.92999999999995</v>
      </c>
      <c r="M119" s="2">
        <f>SUM(OSRRefD21_19x_9)</f>
        <v>2418.29</v>
      </c>
      <c r="N119" s="2">
        <f>SUM(OSRRefE21_19x_0)</f>
        <v>481</v>
      </c>
      <c r="O119" s="2">
        <f>SUM(OSRRefE21_19x_1)</f>
        <v>661</v>
      </c>
      <c r="Q119" s="3">
        <f>SUM(OSRRefD20_19x)+IFERROR(SUM(OSRRefE20_19x),0)</f>
        <v>6037.9400000000005</v>
      </c>
    </row>
    <row r="120" spans="1:17" s="42" customFormat="1" ht="15" hidden="1" customHeight="1" outlineLevel="1" x14ac:dyDescent="0.3">
      <c r="A120" s="34"/>
      <c r="B120" s="11" t="str">
        <f>CONCATENATE("          ","6258"," - ","MEMBERSHIP DUES")</f>
        <v xml:space="preserve">          6258 - MEMBERSHIP DUES</v>
      </c>
      <c r="C120" s="15"/>
      <c r="D120" s="3">
        <v>68.319999999999993</v>
      </c>
      <c r="E120" s="3">
        <v>57</v>
      </c>
      <c r="F120" s="3">
        <v>-72.56</v>
      </c>
      <c r="G120" s="3">
        <v>904.08</v>
      </c>
      <c r="H120" s="3">
        <v>148.66</v>
      </c>
      <c r="I120" s="3">
        <v>286.24</v>
      </c>
      <c r="J120" s="3">
        <v>301.99</v>
      </c>
      <c r="K120" s="3">
        <v>176.99</v>
      </c>
      <c r="L120" s="3">
        <v>606.92999999999995</v>
      </c>
      <c r="M120" s="3">
        <v>510.65</v>
      </c>
      <c r="N120" s="3">
        <v>300</v>
      </c>
      <c r="O120" s="3">
        <v>500</v>
      </c>
      <c r="P120" s="10"/>
      <c r="Q120" s="3">
        <f>SUM(OSRRefD21_19_0x)+IFERROR(SUM(OSRRefE21_19_0x),0)</f>
        <v>3788.3</v>
      </c>
    </row>
    <row r="121" spans="1:17" s="42" customFormat="1" ht="15" hidden="1" customHeight="1" outlineLevel="1" x14ac:dyDescent="0.3">
      <c r="A121" s="34"/>
      <c r="B121" s="11" t="str">
        <f>CONCATENATE("          ","6275"," - ","SUBSCRIPTIONS")</f>
        <v xml:space="preserve">          6275 - SUBSCRIPTIONS</v>
      </c>
      <c r="C121" s="15"/>
      <c r="D121" s="3"/>
      <c r="E121" s="3"/>
      <c r="F121" s="3"/>
      <c r="G121" s="3"/>
      <c r="H121" s="3"/>
      <c r="I121" s="3"/>
      <c r="J121" s="3"/>
      <c r="K121" s="3"/>
      <c r="L121" s="3"/>
      <c r="M121" s="3">
        <v>1907.64</v>
      </c>
      <c r="N121" s="3">
        <v>181</v>
      </c>
      <c r="O121" s="3">
        <v>161</v>
      </c>
      <c r="P121" s="10"/>
      <c r="Q121" s="3">
        <f>SUM(OSRRefD21_19_1x)+IFERROR(SUM(OSRRefE21_19_1x),0)</f>
        <v>2249.6400000000003</v>
      </c>
    </row>
    <row r="122" spans="1:17" s="42" customFormat="1" ht="15" customHeight="1" collapsed="1" x14ac:dyDescent="0.3">
      <c r="A122" s="34"/>
      <c r="B122" s="15" t="str">
        <f>CONCATENATE("     ","Supplies                                          ")</f>
        <v xml:space="preserve">     Supplies                                          </v>
      </c>
      <c r="C122" s="15"/>
      <c r="D122" s="2">
        <f>SUM(OSRRefD21_20x_0)</f>
        <v>7086.3600000000006</v>
      </c>
      <c r="E122" s="2">
        <f>SUM(OSRRefD21_20x_1)</f>
        <v>15148.35</v>
      </c>
      <c r="F122" s="2">
        <f>SUM(OSRRefD21_20x_2)</f>
        <v>5351.82</v>
      </c>
      <c r="G122" s="2">
        <f>SUM(OSRRefD21_20x_3)</f>
        <v>12244.96</v>
      </c>
      <c r="H122" s="2">
        <f>SUM(OSRRefD21_20x_4)</f>
        <v>6905.02</v>
      </c>
      <c r="I122" s="2">
        <f>SUM(OSRRefD21_20x_5)</f>
        <v>5980.2800000000007</v>
      </c>
      <c r="J122" s="2">
        <f>SUM(OSRRefD21_20x_6)</f>
        <v>3936.56</v>
      </c>
      <c r="K122" s="2">
        <f>SUM(OSRRefD21_20x_7)</f>
        <v>19998.489999999998</v>
      </c>
      <c r="L122" s="2">
        <f>SUM(OSRRefD21_20x_8)</f>
        <v>9875.9000000000015</v>
      </c>
      <c r="M122" s="2">
        <f>SUM(OSRRefD21_20x_9)</f>
        <v>11285.779999999999</v>
      </c>
      <c r="N122" s="2">
        <f>SUM(OSRRefE21_20x_0)</f>
        <v>11920</v>
      </c>
      <c r="O122" s="2">
        <f>SUM(OSRRefE21_20x_1)</f>
        <v>7630</v>
      </c>
      <c r="Q122" s="3">
        <f>SUM(OSRRefD20_20x)+IFERROR(SUM(OSRRefE20_20x),0)</f>
        <v>117363.51999999999</v>
      </c>
    </row>
    <row r="123" spans="1:17" s="42" customFormat="1" ht="15" hidden="1" customHeight="1" outlineLevel="1" x14ac:dyDescent="0.3">
      <c r="A123" s="34"/>
      <c r="B123" s="11" t="str">
        <f>CONCATENATE("          ","6234"," - ","EXPENDABLE SUPPLIES &amp; EQUIPMEN")</f>
        <v xml:space="preserve">          6234 - EXPENDABLE SUPPLIES &amp; EQUIPMEN</v>
      </c>
      <c r="C123" s="15"/>
      <c r="D123" s="3"/>
      <c r="E123" s="3"/>
      <c r="F123" s="3"/>
      <c r="G123" s="3">
        <v>2542.41</v>
      </c>
      <c r="H123" s="3">
        <v>2747.16</v>
      </c>
      <c r="I123" s="3"/>
      <c r="J123" s="3"/>
      <c r="K123" s="3"/>
      <c r="L123" s="3"/>
      <c r="M123" s="3">
        <v>4993.3100000000004</v>
      </c>
      <c r="N123" s="3">
        <v>300</v>
      </c>
      <c r="O123" s="3">
        <v>300</v>
      </c>
      <c r="P123" s="10"/>
      <c r="Q123" s="3">
        <f>SUM(OSRRefD21_20_0x)+IFERROR(SUM(OSRRefE21_20_0x),0)</f>
        <v>10882.880000000001</v>
      </c>
    </row>
    <row r="124" spans="1:17" s="42" customFormat="1" ht="15" hidden="1" customHeight="1" outlineLevel="1" x14ac:dyDescent="0.3">
      <c r="A124" s="34"/>
      <c r="B124" s="11" t="str">
        <f>CONCATENATE("          ","6235"," - ","COVID-19 EXPENSES")</f>
        <v xml:space="preserve">          6235 - COVID-19 EXPENSES</v>
      </c>
      <c r="C124" s="15"/>
      <c r="D124" s="3">
        <v>272.22000000000003</v>
      </c>
      <c r="E124" s="3">
        <v>2695.61</v>
      </c>
      <c r="F124" s="3">
        <v>462.49</v>
      </c>
      <c r="G124" s="3"/>
      <c r="H124" s="3"/>
      <c r="I124" s="3"/>
      <c r="J124" s="3"/>
      <c r="K124" s="3"/>
      <c r="L124" s="3"/>
      <c r="M124" s="3"/>
      <c r="N124" s="3">
        <v>125</v>
      </c>
      <c r="O124" s="3">
        <v>125</v>
      </c>
      <c r="P124" s="10"/>
      <c r="Q124" s="3">
        <f>SUM(OSRRefD21_20_1x)+IFERROR(SUM(OSRRefE21_20_1x),0)</f>
        <v>3680.3199999999997</v>
      </c>
    </row>
    <row r="125" spans="1:17" s="42" customFormat="1" ht="15" hidden="1" customHeight="1" outlineLevel="1" x14ac:dyDescent="0.3">
      <c r="A125" s="34"/>
      <c r="B125" s="11" t="str">
        <f>CONCATENATE("          ","6237"," - ","JANITORIAL SUPPLIES")</f>
        <v xml:space="preserve">          6237 - JANITORIAL SUPPLIES</v>
      </c>
      <c r="C125" s="15"/>
      <c r="D125" s="3">
        <v>655.97</v>
      </c>
      <c r="E125" s="3">
        <v>1169.72</v>
      </c>
      <c r="F125" s="3">
        <v>247</v>
      </c>
      <c r="G125" s="3">
        <v>1303.78</v>
      </c>
      <c r="H125" s="3">
        <v>489.67</v>
      </c>
      <c r="I125" s="3"/>
      <c r="J125" s="3">
        <v>665.03</v>
      </c>
      <c r="K125" s="3"/>
      <c r="L125" s="3">
        <v>257.99</v>
      </c>
      <c r="M125" s="3">
        <v>1406.74</v>
      </c>
      <c r="N125" s="3">
        <v>50</v>
      </c>
      <c r="O125" s="3">
        <v>10</v>
      </c>
      <c r="P125" s="10"/>
      <c r="Q125" s="3">
        <f>SUM(OSRRefD21_20_2x)+IFERROR(SUM(OSRRefE21_20_2x),0)</f>
        <v>6255.9</v>
      </c>
    </row>
    <row r="126" spans="1:17" s="42" customFormat="1" ht="15" hidden="1" customHeight="1" outlineLevel="1" x14ac:dyDescent="0.3">
      <c r="A126" s="34"/>
      <c r="B126" s="11" t="str">
        <f>CONCATENATE("          ","6241"," - ","OFFICE EXPENSE")</f>
        <v xml:space="preserve">          6241 - OFFICE EXPENSE</v>
      </c>
      <c r="C126" s="15"/>
      <c r="D126" s="3">
        <v>406.41</v>
      </c>
      <c r="E126" s="3">
        <v>5354.33</v>
      </c>
      <c r="F126" s="3">
        <v>278.41000000000003</v>
      </c>
      <c r="G126" s="3">
        <v>990.07</v>
      </c>
      <c r="H126" s="3">
        <v>512.19000000000005</v>
      </c>
      <c r="I126" s="3">
        <v>855.37</v>
      </c>
      <c r="J126" s="3">
        <v>480.95</v>
      </c>
      <c r="K126" s="3">
        <v>3995.12</v>
      </c>
      <c r="L126" s="3">
        <v>1845.19</v>
      </c>
      <c r="M126" s="3">
        <v>2289.85</v>
      </c>
      <c r="N126" s="3">
        <v>470</v>
      </c>
      <c r="O126" s="3">
        <v>420</v>
      </c>
      <c r="P126" s="10"/>
      <c r="Q126" s="3">
        <f>SUM(OSRRefD21_20_3x)+IFERROR(SUM(OSRRefE21_20_3x),0)</f>
        <v>17897.890000000003</v>
      </c>
    </row>
    <row r="127" spans="1:17" s="42" customFormat="1" ht="15" hidden="1" customHeight="1" outlineLevel="1" x14ac:dyDescent="0.3">
      <c r="A127" s="34"/>
      <c r="B127" s="11" t="str">
        <f>CONCATENATE("          ","6243"," - ","PAPER SUPPLIES")</f>
        <v xml:space="preserve">          6243 - PAPER SUPPLIES</v>
      </c>
      <c r="C127" s="15"/>
      <c r="D127" s="3">
        <v>1649.24</v>
      </c>
      <c r="E127" s="3">
        <v>1801.68</v>
      </c>
      <c r="F127" s="3"/>
      <c r="G127" s="3">
        <v>735.87</v>
      </c>
      <c r="H127" s="3">
        <v>284.11</v>
      </c>
      <c r="I127" s="3"/>
      <c r="J127" s="3">
        <v>78.34</v>
      </c>
      <c r="K127" s="3">
        <v>1072.69</v>
      </c>
      <c r="L127" s="3">
        <v>1213.21</v>
      </c>
      <c r="M127" s="3">
        <v>410.22</v>
      </c>
      <c r="N127" s="3">
        <v>2800</v>
      </c>
      <c r="O127" s="3">
        <v>1250</v>
      </c>
      <c r="P127" s="10"/>
      <c r="Q127" s="3">
        <f>SUM(OSRRefD21_20_4x)+IFERROR(SUM(OSRRefE21_20_4x),0)</f>
        <v>11295.36</v>
      </c>
    </row>
    <row r="128" spans="1:17" s="42" customFormat="1" ht="15" hidden="1" customHeight="1" outlineLevel="1" x14ac:dyDescent="0.3">
      <c r="A128" s="34"/>
      <c r="B128" s="11" t="str">
        <f>CONCATENATE("          ","6245"," - ","PRINTING")</f>
        <v xml:space="preserve">          6245 - PRINTING</v>
      </c>
      <c r="C128" s="15"/>
      <c r="D128" s="3">
        <v>251.64</v>
      </c>
      <c r="E128" s="3">
        <v>-851.82</v>
      </c>
      <c r="F128" s="3">
        <v>276.43</v>
      </c>
      <c r="G128" s="3">
        <v>296.68</v>
      </c>
      <c r="H128" s="3">
        <v>1092.56</v>
      </c>
      <c r="I128" s="3">
        <v>1046.49</v>
      </c>
      <c r="J128" s="3">
        <v>689.76</v>
      </c>
      <c r="K128" s="3">
        <v>502.78</v>
      </c>
      <c r="L128" s="3">
        <v>3682</v>
      </c>
      <c r="M128" s="3">
        <v>-45.84</v>
      </c>
      <c r="N128" s="3">
        <v>2300</v>
      </c>
      <c r="O128" s="3">
        <v>50</v>
      </c>
      <c r="P128" s="10"/>
      <c r="Q128" s="3">
        <f>SUM(OSRRefD21_20_5x)+IFERROR(SUM(OSRRefE21_20_5x),0)</f>
        <v>9290.68</v>
      </c>
    </row>
    <row r="129" spans="1:17" s="42" customFormat="1" ht="15" hidden="1" customHeight="1" outlineLevel="1" x14ac:dyDescent="0.3">
      <c r="A129" s="34"/>
      <c r="B129" s="11" t="str">
        <f>CONCATENATE("          ","6247"," - ","STORE SUPPLIES")</f>
        <v xml:space="preserve">          6247 - STORE SUPPLIES</v>
      </c>
      <c r="C129" s="15"/>
      <c r="D129" s="3">
        <v>3850.88</v>
      </c>
      <c r="E129" s="3">
        <v>4978.83</v>
      </c>
      <c r="F129" s="3">
        <v>4087.49</v>
      </c>
      <c r="G129" s="3">
        <v>6376.15</v>
      </c>
      <c r="H129" s="3">
        <v>1779.33</v>
      </c>
      <c r="I129" s="3">
        <v>4078.42</v>
      </c>
      <c r="J129" s="3">
        <v>2022.48</v>
      </c>
      <c r="K129" s="3">
        <v>14427.9</v>
      </c>
      <c r="L129" s="3">
        <v>2877.51</v>
      </c>
      <c r="M129" s="3">
        <v>2231.5</v>
      </c>
      <c r="N129" s="3">
        <v>5875</v>
      </c>
      <c r="O129" s="3">
        <v>5475</v>
      </c>
      <c r="P129" s="10"/>
      <c r="Q129" s="3">
        <f>SUM(OSRRefD21_20_6x)+IFERROR(SUM(OSRRefE21_20_6x),0)</f>
        <v>58060.49</v>
      </c>
    </row>
    <row r="130" spans="1:17" s="42" customFormat="1" ht="15" customHeight="1" collapsed="1" x14ac:dyDescent="0.3">
      <c r="A130" s="34"/>
      <c r="B130" s="15" t="str">
        <f>CONCATENATE("     ","Telephone/Data Lines                              ")</f>
        <v xml:space="preserve">     Telephone/Data Lines                              </v>
      </c>
      <c r="C130" s="15"/>
      <c r="D130" s="2">
        <f>SUM(OSRRefD21_21x_0)</f>
        <v>1568.44</v>
      </c>
      <c r="E130" s="2">
        <f>SUM(OSRRefD21_21x_1)</f>
        <v>2123.19</v>
      </c>
      <c r="F130" s="2">
        <f>SUM(OSRRefD21_21x_2)</f>
        <v>1526.19</v>
      </c>
      <c r="G130" s="2">
        <f>SUM(OSRRefD21_21x_3)</f>
        <v>2403.89</v>
      </c>
      <c r="H130" s="2">
        <f>SUM(OSRRefD21_21x_4)</f>
        <v>1871.64</v>
      </c>
      <c r="I130" s="2">
        <f>SUM(OSRRefD21_21x_5)</f>
        <v>1165.51</v>
      </c>
      <c r="J130" s="2">
        <f>SUM(OSRRefD21_21x_6)</f>
        <v>2288.73</v>
      </c>
      <c r="K130" s="2">
        <f>SUM(OSRRefD21_21x_7)</f>
        <v>1683.14</v>
      </c>
      <c r="L130" s="2">
        <f>SUM(OSRRefD21_21x_8)</f>
        <v>1663.69</v>
      </c>
      <c r="M130" s="2">
        <f>SUM(OSRRefD21_21x_9)</f>
        <v>2203.44</v>
      </c>
      <c r="N130" s="2">
        <f>SUM(OSRRefE21_21x_0)</f>
        <v>1735</v>
      </c>
      <c r="O130" s="2">
        <f>SUM(OSRRefE21_21x_1)</f>
        <v>1735</v>
      </c>
      <c r="Q130" s="3">
        <f>SUM(OSRRefD20_21x)+IFERROR(SUM(OSRRefE20_21x),0)</f>
        <v>21967.859999999997</v>
      </c>
    </row>
    <row r="131" spans="1:17" s="42" customFormat="1" ht="15" hidden="1" customHeight="1" outlineLevel="1" x14ac:dyDescent="0.3">
      <c r="A131" s="34"/>
      <c r="B131" s="11" t="str">
        <f>CONCATENATE("          ","6303"," - ","DATA PHONE LINES")</f>
        <v xml:space="preserve">          6303 - DATA PHONE LINES</v>
      </c>
      <c r="C131" s="15"/>
      <c r="D131" s="3">
        <v>295</v>
      </c>
      <c r="E131" s="3"/>
      <c r="F131" s="3"/>
      <c r="G131" s="3"/>
      <c r="H131" s="3"/>
      <c r="I131" s="3"/>
      <c r="J131" s="3"/>
      <c r="K131" s="3"/>
      <c r="L131" s="3"/>
      <c r="M131" s="3"/>
      <c r="N131" s="3">
        <v>0</v>
      </c>
      <c r="O131" s="3">
        <v>0</v>
      </c>
      <c r="P131" s="10"/>
      <c r="Q131" s="3">
        <f>SUM(OSRRefD21_21_0x)+IFERROR(SUM(OSRRefE21_21_0x),0)</f>
        <v>295</v>
      </c>
    </row>
    <row r="132" spans="1:17" s="42" customFormat="1" ht="15" hidden="1" customHeight="1" outlineLevel="1" x14ac:dyDescent="0.3">
      <c r="A132" s="34"/>
      <c r="B132" s="11" t="str">
        <f>CONCATENATE("          ","6309"," - ","TELEPHONE")</f>
        <v xml:space="preserve">          6309 - TELEPHONE</v>
      </c>
      <c r="C132" s="15"/>
      <c r="D132" s="3">
        <v>1273.44</v>
      </c>
      <c r="E132" s="3">
        <v>2123.19</v>
      </c>
      <c r="F132" s="3">
        <v>1526.19</v>
      </c>
      <c r="G132" s="3">
        <v>2403.89</v>
      </c>
      <c r="H132" s="3">
        <v>1871.64</v>
      </c>
      <c r="I132" s="3">
        <v>1165.51</v>
      </c>
      <c r="J132" s="3">
        <v>2288.73</v>
      </c>
      <c r="K132" s="3">
        <v>1683.14</v>
      </c>
      <c r="L132" s="3">
        <v>1663.69</v>
      </c>
      <c r="M132" s="3">
        <v>2203.44</v>
      </c>
      <c r="N132" s="3">
        <v>1735</v>
      </c>
      <c r="O132" s="3">
        <v>1735</v>
      </c>
      <c r="P132" s="10"/>
      <c r="Q132" s="3">
        <f>SUM(OSRRefD21_21_1x)+IFERROR(SUM(OSRRefE21_21_1x),0)</f>
        <v>21672.859999999997</v>
      </c>
    </row>
    <row r="133" spans="1:17" s="42" customFormat="1" ht="15" customHeight="1" collapsed="1" x14ac:dyDescent="0.3">
      <c r="A133" s="34"/>
      <c r="B133" s="15" t="str">
        <f>CONCATENATE("     ","Training                                          ")</f>
        <v xml:space="preserve">     Training                                          </v>
      </c>
      <c r="C133" s="15"/>
      <c r="D133" s="2">
        <f>SUM(OSRRefD21_22x_0)</f>
        <v>0</v>
      </c>
      <c r="E133" s="2">
        <f>SUM(OSRRefD21_22x_1)</f>
        <v>0</v>
      </c>
      <c r="F133" s="2">
        <f>SUM(OSRRefD21_22x_2)</f>
        <v>595</v>
      </c>
      <c r="G133" s="2">
        <f>SUM(OSRRefD21_22x_3)</f>
        <v>0</v>
      </c>
      <c r="H133" s="2">
        <f>SUM(OSRRefD21_22x_4)</f>
        <v>0</v>
      </c>
      <c r="I133" s="2">
        <f>SUM(OSRRefD21_22x_5)</f>
        <v>0</v>
      </c>
      <c r="J133" s="2">
        <f>SUM(OSRRefD21_22x_6)</f>
        <v>0</v>
      </c>
      <c r="K133" s="2">
        <f>SUM(OSRRefD21_22x_7)</f>
        <v>300</v>
      </c>
      <c r="L133" s="2">
        <f>SUM(OSRRefD21_22x_8)</f>
        <v>199</v>
      </c>
      <c r="M133" s="2">
        <f>SUM(OSRRefD21_22x_9)</f>
        <v>125</v>
      </c>
      <c r="N133" s="2">
        <f>SUM(OSRRefE21_22x_0)</f>
        <v>0</v>
      </c>
      <c r="O133" s="2">
        <f>SUM(OSRRefE21_22x_1)</f>
        <v>0</v>
      </c>
      <c r="Q133" s="3">
        <f>SUM(OSRRefD20_22x)+IFERROR(SUM(OSRRefE20_22x),0)</f>
        <v>1219</v>
      </c>
    </row>
    <row r="134" spans="1:17" s="42" customFormat="1" ht="15" hidden="1" customHeight="1" outlineLevel="1" x14ac:dyDescent="0.3">
      <c r="A134" s="34"/>
      <c r="B134" s="11" t="str">
        <f>CONCATENATE("          ","6376"," - ","TRAINING")</f>
        <v xml:space="preserve">          6376 - TRAINING</v>
      </c>
      <c r="C134" s="15"/>
      <c r="D134" s="3"/>
      <c r="E134" s="3"/>
      <c r="F134" s="3">
        <v>595</v>
      </c>
      <c r="G134" s="3"/>
      <c r="H134" s="3"/>
      <c r="I134" s="3"/>
      <c r="J134" s="3"/>
      <c r="K134" s="3">
        <v>300</v>
      </c>
      <c r="L134" s="3">
        <v>199</v>
      </c>
      <c r="M134" s="3">
        <v>125</v>
      </c>
      <c r="N134" s="3">
        <v>0</v>
      </c>
      <c r="O134" s="3"/>
      <c r="P134" s="10"/>
      <c r="Q134" s="3">
        <f>SUM(OSRRefD21_22_0x)+IFERROR(SUM(OSRRefE21_22_0x),0)</f>
        <v>1219</v>
      </c>
    </row>
    <row r="135" spans="1:17" s="42" customFormat="1" ht="15" customHeight="1" collapsed="1" x14ac:dyDescent="0.3">
      <c r="A135" s="34"/>
      <c r="B135" s="15" t="str">
        <f>CONCATENATE("     ","Travel                                            ")</f>
        <v xml:space="preserve">     Travel                                            </v>
      </c>
      <c r="C135" s="15"/>
      <c r="D135" s="2">
        <f>SUM(OSRRefD21_23x_0)</f>
        <v>683.14</v>
      </c>
      <c r="E135" s="2">
        <f>SUM(OSRRefD21_23x_1)</f>
        <v>0</v>
      </c>
      <c r="F135" s="2">
        <f>SUM(OSRRefD21_23x_2)</f>
        <v>27.39</v>
      </c>
      <c r="G135" s="2">
        <f>SUM(OSRRefD21_23x_3)</f>
        <v>50</v>
      </c>
      <c r="H135" s="2">
        <f>SUM(OSRRefD21_23x_4)</f>
        <v>97.08</v>
      </c>
      <c r="I135" s="2">
        <f>SUM(OSRRefD21_23x_5)</f>
        <v>24.4</v>
      </c>
      <c r="J135" s="2">
        <f>SUM(OSRRefD21_23x_6)</f>
        <v>0</v>
      </c>
      <c r="K135" s="2">
        <f>SUM(OSRRefD21_23x_7)</f>
        <v>206.75</v>
      </c>
      <c r="L135" s="2">
        <f>SUM(OSRRefD21_23x_8)</f>
        <v>46.81</v>
      </c>
      <c r="M135" s="2">
        <f>SUM(OSRRefD21_23x_9)</f>
        <v>149.41</v>
      </c>
      <c r="N135" s="2">
        <f>SUM(OSRRefE21_23x_0)</f>
        <v>175</v>
      </c>
      <c r="O135" s="2">
        <f>SUM(OSRRefE21_23x_1)</f>
        <v>175</v>
      </c>
      <c r="Q135" s="3">
        <f>SUM(OSRRefD20_23x)+IFERROR(SUM(OSRRefE20_23x),0)</f>
        <v>1634.98</v>
      </c>
    </row>
    <row r="136" spans="1:17" s="42" customFormat="1" ht="15" hidden="1" customHeight="1" outlineLevel="1" x14ac:dyDescent="0.3">
      <c r="A136" s="34"/>
      <c r="B136" s="11" t="str">
        <f>CONCATENATE("          ","6292"," - ","TRAVEL/CONFERENCE")</f>
        <v xml:space="preserve">          6292 - TRAVEL/CONFERENCE</v>
      </c>
      <c r="C136" s="15"/>
      <c r="D136" s="3">
        <v>495</v>
      </c>
      <c r="E136" s="3"/>
      <c r="F136" s="3"/>
      <c r="G136" s="3"/>
      <c r="H136" s="3"/>
      <c r="I136" s="3"/>
      <c r="J136" s="3"/>
      <c r="K136" s="3"/>
      <c r="L136" s="3"/>
      <c r="M136" s="3"/>
      <c r="N136" s="3">
        <v>125</v>
      </c>
      <c r="O136" s="3">
        <v>125</v>
      </c>
      <c r="P136" s="10"/>
      <c r="Q136" s="3">
        <f>SUM(OSRRefD21_23_0x)+IFERROR(SUM(OSRRefE21_23_0x),0)</f>
        <v>745</v>
      </c>
    </row>
    <row r="137" spans="1:17" s="42" customFormat="1" ht="15" hidden="1" customHeight="1" outlineLevel="1" x14ac:dyDescent="0.3">
      <c r="A137" s="34"/>
      <c r="B137" s="11" t="str">
        <f>CONCATENATE("          ","6294"," - ","TRAVEL OPERATIONAL")</f>
        <v xml:space="preserve">          6294 - TRAVEL OPERATIONAL</v>
      </c>
      <c r="C137" s="15"/>
      <c r="D137" s="3">
        <v>188.14</v>
      </c>
      <c r="E137" s="3"/>
      <c r="F137" s="3">
        <v>27.39</v>
      </c>
      <c r="G137" s="3"/>
      <c r="H137" s="3"/>
      <c r="I137" s="3">
        <v>24.4</v>
      </c>
      <c r="J137" s="3"/>
      <c r="K137" s="3">
        <v>116.74</v>
      </c>
      <c r="L137" s="3">
        <v>46.81</v>
      </c>
      <c r="M137" s="3"/>
      <c r="N137" s="3">
        <v>25</v>
      </c>
      <c r="O137" s="3">
        <v>25</v>
      </c>
      <c r="P137" s="10"/>
      <c r="Q137" s="3">
        <f>SUM(OSRRefD21_23_1x)+IFERROR(SUM(OSRRefE21_23_1x),0)</f>
        <v>453.47999999999996</v>
      </c>
    </row>
    <row r="138" spans="1:17" s="42" customFormat="1" ht="15" hidden="1" customHeight="1" outlineLevel="1" x14ac:dyDescent="0.3">
      <c r="A138" s="34"/>
      <c r="B138" s="11" t="str">
        <f>CONCATENATE("          ","6298"," - ","VEHICLE MILEAGE")</f>
        <v xml:space="preserve">          6298 - VEHICLE MILEAGE</v>
      </c>
      <c r="C138" s="15"/>
      <c r="D138" s="3"/>
      <c r="E138" s="3"/>
      <c r="F138" s="3"/>
      <c r="G138" s="3">
        <v>50</v>
      </c>
      <c r="H138" s="3">
        <v>97.08</v>
      </c>
      <c r="I138" s="3"/>
      <c r="J138" s="3"/>
      <c r="K138" s="3">
        <v>90.01</v>
      </c>
      <c r="L138" s="3"/>
      <c r="M138" s="3">
        <v>149.41</v>
      </c>
      <c r="N138" s="3">
        <v>25</v>
      </c>
      <c r="O138" s="3">
        <v>25</v>
      </c>
      <c r="P138" s="10"/>
      <c r="Q138" s="3">
        <f>SUM(OSRRefD21_23_2x)+IFERROR(SUM(OSRRefE21_23_2x),0)</f>
        <v>436.5</v>
      </c>
    </row>
    <row r="139" spans="1:17" s="42" customFormat="1" ht="15" customHeight="1" collapsed="1" x14ac:dyDescent="0.3">
      <c r="A139" s="34"/>
      <c r="B139" s="15" t="str">
        <f>CONCATENATE("     ","Utilities                                         ")</f>
        <v xml:space="preserve">     Utilities                                         </v>
      </c>
      <c r="C139" s="15"/>
      <c r="D139" s="2">
        <f>SUM(OSRRefD21_24x_0)</f>
        <v>6036.49</v>
      </c>
      <c r="E139" s="2">
        <f>SUM(OSRRefD21_24x_1)</f>
        <v>6037.29</v>
      </c>
      <c r="F139" s="2">
        <f>SUM(OSRRefD21_24x_2)</f>
        <v>6037.6</v>
      </c>
      <c r="G139" s="2">
        <f>SUM(OSRRefD21_24x_3)</f>
        <v>6038.6</v>
      </c>
      <c r="H139" s="2">
        <f>SUM(OSRRefD21_24x_4)</f>
        <v>6033.61</v>
      </c>
      <c r="I139" s="2">
        <f>SUM(OSRRefD21_24x_5)</f>
        <v>62.92</v>
      </c>
      <c r="J139" s="2">
        <f>SUM(OSRRefD21_24x_6)</f>
        <v>6292.91</v>
      </c>
      <c r="K139" s="2">
        <f>SUM(OSRRefD21_24x_7)</f>
        <v>6355.65</v>
      </c>
      <c r="L139" s="2">
        <f>SUM(OSRRefD21_24x_8)</f>
        <v>6137.83</v>
      </c>
      <c r="M139" s="2">
        <f>SUM(OSRRefD21_24x_9)</f>
        <v>6254.32</v>
      </c>
      <c r="N139" s="2">
        <f>SUM(OSRRefE21_24x_0)</f>
        <v>6120</v>
      </c>
      <c r="O139" s="2">
        <f>SUM(OSRRefE21_24x_1)</f>
        <v>6120</v>
      </c>
      <c r="Q139" s="3">
        <f>SUM(OSRRefD20_24x)+IFERROR(SUM(OSRRefE20_24x),0)</f>
        <v>67527.22</v>
      </c>
    </row>
    <row r="140" spans="1:17" s="42" customFormat="1" ht="15" hidden="1" customHeight="1" outlineLevel="1" x14ac:dyDescent="0.3">
      <c r="A140" s="34"/>
      <c r="B140" s="11" t="str">
        <f>CONCATENATE("          ","6274"," - ","UTILITIES")</f>
        <v xml:space="preserve">          6274 - UTILITIES</v>
      </c>
      <c r="C140" s="15"/>
      <c r="D140" s="3">
        <v>6036.49</v>
      </c>
      <c r="E140" s="3">
        <v>6037.29</v>
      </c>
      <c r="F140" s="3">
        <v>6037.6</v>
      </c>
      <c r="G140" s="3">
        <v>6038.6</v>
      </c>
      <c r="H140" s="3">
        <v>6033.61</v>
      </c>
      <c r="I140" s="3">
        <v>62.92</v>
      </c>
      <c r="J140" s="3">
        <v>6292.91</v>
      </c>
      <c r="K140" s="3">
        <v>6355.65</v>
      </c>
      <c r="L140" s="3">
        <v>6137.83</v>
      </c>
      <c r="M140" s="3">
        <v>6254.32</v>
      </c>
      <c r="N140" s="3">
        <v>6120</v>
      </c>
      <c r="O140" s="3">
        <v>6120</v>
      </c>
      <c r="P140" s="10"/>
      <c r="Q140" s="3">
        <f>SUM(OSRRefD21_24_0x)+IFERROR(SUM(OSRRefE21_24_0x),0)</f>
        <v>67527.22</v>
      </c>
    </row>
    <row r="141" spans="1:17" s="40" customFormat="1" ht="15" customHeight="1" x14ac:dyDescent="0.3">
      <c r="A141" s="22"/>
      <c r="B141" s="22"/>
      <c r="C141" s="2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Q141" s="2"/>
    </row>
    <row r="142" spans="1:17" s="39" customFormat="1" ht="15" customHeight="1" x14ac:dyDescent="0.3">
      <c r="A142" s="24"/>
      <c r="B142" s="17" t="s">
        <v>287</v>
      </c>
      <c r="C142" s="23"/>
      <c r="D142" s="4">
        <f>--39640.85</f>
        <v>39640.85</v>
      </c>
      <c r="E142" s="4">
        <f>--144356.09</f>
        <v>144356.09</v>
      </c>
      <c r="F142" s="4">
        <f>--178854.34</f>
        <v>178854.34</v>
      </c>
      <c r="G142" s="4">
        <f>--38787.7</f>
        <v>38787.699999999997</v>
      </c>
      <c r="H142" s="4">
        <f>--54598.81</f>
        <v>54598.81</v>
      </c>
      <c r="I142" s="4">
        <f>--13670.93</f>
        <v>13670.93</v>
      </c>
      <c r="J142" s="4">
        <f>--45989.7</f>
        <v>45989.7</v>
      </c>
      <c r="K142" s="4">
        <f>--212140.38</f>
        <v>212140.38</v>
      </c>
      <c r="L142" s="4">
        <f>--182868.54</f>
        <v>182868.54</v>
      </c>
      <c r="M142" s="4">
        <f>--55053.77</f>
        <v>55053.77</v>
      </c>
      <c r="N142" s="4">
        <v>302754</v>
      </c>
      <c r="O142" s="4">
        <v>219676</v>
      </c>
      <c r="Q142" s="3">
        <f>SUM(OSRRefD23_0x)+IFERROR(SUM(OSRRefE23_0x),0)</f>
        <v>1488391.11</v>
      </c>
    </row>
    <row r="143" spans="1:17" ht="15" customHeight="1" x14ac:dyDescent="0.3">
      <c r="A143" s="6"/>
      <c r="B143" s="7"/>
      <c r="C143" s="7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Q143" s="4"/>
    </row>
    <row r="144" spans="1:17" s="37" customFormat="1" ht="15" customHeight="1" x14ac:dyDescent="0.3">
      <c r="A144" s="7"/>
      <c r="B144" s="18" t="s">
        <v>288</v>
      </c>
      <c r="C144" s="18"/>
      <c r="D144" s="9">
        <f t="shared" ref="D144:O144" si="2">IFERROR(+D48-D51+D142,0)</f>
        <v>-230712.69999999992</v>
      </c>
      <c r="E144" s="9">
        <f t="shared" si="2"/>
        <v>324850.06999999983</v>
      </c>
      <c r="F144" s="9">
        <f t="shared" si="2"/>
        <v>86136.530000000173</v>
      </c>
      <c r="G144" s="9">
        <f t="shared" si="2"/>
        <v>-52670.340000000157</v>
      </c>
      <c r="H144" s="9">
        <f t="shared" si="2"/>
        <v>-53622.11999999985</v>
      </c>
      <c r="I144" s="9">
        <f t="shared" si="2"/>
        <v>-22541.029999999904</v>
      </c>
      <c r="J144" s="9">
        <f t="shared" si="2"/>
        <v>-7590.8499999998749</v>
      </c>
      <c r="K144" s="9">
        <f t="shared" si="2"/>
        <v>281568.64999999985</v>
      </c>
      <c r="L144" s="9">
        <f t="shared" si="2"/>
        <v>200120.94999999987</v>
      </c>
      <c r="M144" s="9">
        <f t="shared" si="2"/>
        <v>189641.19999999987</v>
      </c>
      <c r="N144" s="9">
        <f t="shared" si="2"/>
        <v>219904.19896724494</v>
      </c>
      <c r="O144" s="9">
        <f t="shared" si="2"/>
        <v>74892.793733594939</v>
      </c>
      <c r="Q144" s="9">
        <f>IFERROR(+Q48-Q51+Q142,0)</f>
        <v>1009977.3527008395</v>
      </c>
    </row>
    <row r="145" spans="1:17" s="38" customFormat="1" ht="15" customHeight="1" x14ac:dyDescent="0.3">
      <c r="B145" s="17"/>
      <c r="C145" s="17"/>
      <c r="D145" s="5">
        <f t="shared" ref="D145:O145" si="3">IFERROR(D144/D10,0)</f>
        <v>-1.046324546293389</v>
      </c>
      <c r="E145" s="5">
        <f t="shared" si="3"/>
        <v>0.21473510165244186</v>
      </c>
      <c r="F145" s="5">
        <f t="shared" si="3"/>
        <v>0.14737982875738256</v>
      </c>
      <c r="G145" s="5">
        <f t="shared" si="3"/>
        <v>-9.5690527603677883E-2</v>
      </c>
      <c r="H145" s="5">
        <f t="shared" si="3"/>
        <v>-0.18193118183957463</v>
      </c>
      <c r="I145" s="5">
        <f t="shared" si="3"/>
        <v>-4.5242867629271877E-2</v>
      </c>
      <c r="J145" s="5">
        <f t="shared" si="3"/>
        <v>-1.0046731393283484E-2</v>
      </c>
      <c r="K145" s="5">
        <f t="shared" si="3"/>
        <v>0.36160394909313204</v>
      </c>
      <c r="L145" s="5">
        <f t="shared" si="3"/>
        <v>0.33753872792390882</v>
      </c>
      <c r="M145" s="5">
        <f t="shared" si="3"/>
        <v>0.21712228263548269</v>
      </c>
      <c r="N145" s="5">
        <f t="shared" si="3"/>
        <v>0.57805787557205335</v>
      </c>
      <c r="O145" s="5">
        <f t="shared" si="3"/>
        <v>0.26326669736741343</v>
      </c>
      <c r="P145" s="19"/>
      <c r="Q145" s="5">
        <f>IFERROR(Q144/Q10,0)</f>
        <v>0.13785155127212695</v>
      </c>
    </row>
    <row r="146" spans="1:17" ht="15" customHeight="1" x14ac:dyDescent="0.3">
      <c r="A146" s="6"/>
      <c r="B146" s="7"/>
      <c r="C146" s="6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Q146" s="4"/>
    </row>
    <row r="147" spans="1:17" s="37" customFormat="1" ht="15" customHeight="1" x14ac:dyDescent="0.3">
      <c r="A147" s="26"/>
      <c r="B147" s="7" t="s">
        <v>289</v>
      </c>
      <c r="C147" s="7"/>
      <c r="D147" s="4">
        <v>101869.27</v>
      </c>
      <c r="E147" s="4">
        <v>157141.93</v>
      </c>
      <c r="F147" s="4">
        <v>27869.18</v>
      </c>
      <c r="G147" s="4">
        <v>44656.27</v>
      </c>
      <c r="H147" s="4">
        <v>45202.76</v>
      </c>
      <c r="I147" s="4">
        <v>63953.79</v>
      </c>
      <c r="J147" s="4">
        <v>143931.79</v>
      </c>
      <c r="K147" s="4">
        <v>63872.71</v>
      </c>
      <c r="L147" s="4">
        <v>42313.75</v>
      </c>
      <c r="M147" s="4">
        <v>63847.66</v>
      </c>
      <c r="N147" s="4">
        <v>54939</v>
      </c>
      <c r="O147" s="4">
        <v>-58524</v>
      </c>
      <c r="Q147" s="3">
        <f>SUM(OSRRefD28_0x)+IFERROR(SUM(OSRRefE28_0x),0)</f>
        <v>751074.11</v>
      </c>
    </row>
    <row r="148" spans="1:17" ht="15" customHeight="1" x14ac:dyDescent="0.3">
      <c r="A148" s="6"/>
      <c r="B148" s="7"/>
      <c r="C148" s="7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Q148" s="4"/>
    </row>
    <row r="149" spans="1:17" s="37" customFormat="1" ht="15.75" customHeight="1" x14ac:dyDescent="0.3">
      <c r="A149" s="7"/>
      <c r="B149" s="18" t="s">
        <v>290</v>
      </c>
      <c r="C149" s="18"/>
      <c r="D149" s="8">
        <f t="shared" ref="D149:O149" si="4">IFERROR(+D144-D147,0)</f>
        <v>-332581.96999999991</v>
      </c>
      <c r="E149" s="8">
        <f t="shared" si="4"/>
        <v>167708.13999999984</v>
      </c>
      <c r="F149" s="8">
        <f t="shared" si="4"/>
        <v>58267.350000000173</v>
      </c>
      <c r="G149" s="8">
        <f t="shared" si="4"/>
        <v>-97326.610000000161</v>
      </c>
      <c r="H149" s="8">
        <f t="shared" si="4"/>
        <v>-98824.879999999859</v>
      </c>
      <c r="I149" s="8">
        <f t="shared" si="4"/>
        <v>-86494.819999999905</v>
      </c>
      <c r="J149" s="8">
        <f t="shared" si="4"/>
        <v>-151522.6399999999</v>
      </c>
      <c r="K149" s="8">
        <f t="shared" si="4"/>
        <v>217695.93999999986</v>
      </c>
      <c r="L149" s="8">
        <f t="shared" si="4"/>
        <v>157807.19999999987</v>
      </c>
      <c r="M149" s="8">
        <f t="shared" si="4"/>
        <v>125793.53999999986</v>
      </c>
      <c r="N149" s="8">
        <f t="shared" si="4"/>
        <v>164965.19896724494</v>
      </c>
      <c r="O149" s="8">
        <f t="shared" si="4"/>
        <v>133416.79373359494</v>
      </c>
      <c r="Q149" s="8">
        <f>IFERROR(+Q144-Q147,0)</f>
        <v>258903.24270083953</v>
      </c>
    </row>
    <row r="150" spans="1:17" ht="15.75" customHeight="1" x14ac:dyDescent="0.3">
      <c r="A150" s="6"/>
      <c r="B150" s="6"/>
      <c r="C150" s="6"/>
      <c r="D150" s="5">
        <f t="shared" ref="D150:O150" si="5">IFERROR(D149/D10,0)</f>
        <v>-1.5083204299789807</v>
      </c>
      <c r="E150" s="5">
        <f t="shared" si="5"/>
        <v>0.11085983294029131</v>
      </c>
      <c r="F150" s="5">
        <f t="shared" si="5"/>
        <v>9.9695588679349897E-2</v>
      </c>
      <c r="G150" s="5">
        <f t="shared" si="5"/>
        <v>-0.17682123678672626</v>
      </c>
      <c r="H150" s="5">
        <f t="shared" si="5"/>
        <v>-0.33529683670757826</v>
      </c>
      <c r="I150" s="5">
        <f t="shared" si="5"/>
        <v>-0.17360669374370691</v>
      </c>
      <c r="J150" s="5">
        <f t="shared" si="5"/>
        <v>-0.20054503304389046</v>
      </c>
      <c r="K150" s="5">
        <f t="shared" si="5"/>
        <v>0.27957555503974441</v>
      </c>
      <c r="L150" s="5">
        <f t="shared" si="5"/>
        <v>0.26616924187714408</v>
      </c>
      <c r="M150" s="5">
        <f t="shared" si="5"/>
        <v>0.14402239885424628</v>
      </c>
      <c r="N150" s="5">
        <f t="shared" si="5"/>
        <v>0.43364079861217486</v>
      </c>
      <c r="O150" s="5">
        <f t="shared" si="5"/>
        <v>0.46899303535844955</v>
      </c>
      <c r="P150" s="19"/>
      <c r="Q150" s="5">
        <f>IFERROR(Q149/Q10,0)</f>
        <v>3.5337637562122971E-2</v>
      </c>
    </row>
    <row r="151" spans="1:17" ht="15" customHeight="1" x14ac:dyDescent="0.3">
      <c r="A151" s="6"/>
      <c r="B151" s="6"/>
      <c r="C151" s="6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Q151" s="4"/>
    </row>
    <row r="152" spans="1:17" ht="15" customHeight="1" x14ac:dyDescent="0.3">
      <c r="A152" s="6"/>
      <c r="B152" s="6"/>
      <c r="C152" s="6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Q152" s="4"/>
    </row>
    <row r="153" spans="1:17" s="37" customFormat="1" ht="15.75" customHeight="1" x14ac:dyDescent="0.3">
      <c r="A153" s="7"/>
      <c r="B153" s="18" t="s">
        <v>293</v>
      </c>
      <c r="C153" s="18"/>
      <c r="D153" s="8">
        <f t="shared" ref="D153:O153" si="6">IFERROR(SUM(D149:D152),0)</f>
        <v>-332583.47832042992</v>
      </c>
      <c r="E153" s="8">
        <f t="shared" si="6"/>
        <v>167708.25085983277</v>
      </c>
      <c r="F153" s="8">
        <f t="shared" si="6"/>
        <v>58267.449695588854</v>
      </c>
      <c r="G153" s="8">
        <f t="shared" si="6"/>
        <v>-97326.78682123695</v>
      </c>
      <c r="H153" s="8">
        <f t="shared" si="6"/>
        <v>-98825.21529683657</v>
      </c>
      <c r="I153" s="8">
        <f t="shared" si="6"/>
        <v>-86494.99360669365</v>
      </c>
      <c r="J153" s="8">
        <f t="shared" si="6"/>
        <v>-151522.84054503293</v>
      </c>
      <c r="K153" s="8">
        <f t="shared" si="6"/>
        <v>217696.21957555489</v>
      </c>
      <c r="L153" s="8">
        <f t="shared" si="6"/>
        <v>157807.46616924176</v>
      </c>
      <c r="M153" s="8">
        <f t="shared" si="6"/>
        <v>125793.68402239872</v>
      </c>
      <c r="N153" s="8">
        <f t="shared" si="6"/>
        <v>164965.63260804355</v>
      </c>
      <c r="O153" s="8">
        <f t="shared" si="6"/>
        <v>133417.26272663029</v>
      </c>
      <c r="Q153" s="8">
        <f>IFERROR(SUM(Q149:Q152),0)</f>
        <v>258903.27803847709</v>
      </c>
    </row>
    <row r="154" spans="1:17" ht="15.75" customHeight="1" x14ac:dyDescent="0.3">
      <c r="A154" s="6"/>
      <c r="C154" s="6"/>
      <c r="D154" s="5">
        <f t="shared" ref="D154:O154" si="7">IFERROR(D153/D10,0)</f>
        <v>-1.508327270489666</v>
      </c>
      <c r="E154" s="5">
        <f t="shared" si="7"/>
        <v>0.11085990622178235</v>
      </c>
      <c r="F154" s="5">
        <f t="shared" si="7"/>
        <v>9.9695759258763617E-2</v>
      </c>
      <c r="G154" s="5">
        <f t="shared" si="7"/>
        <v>-0.17682155803237304</v>
      </c>
      <c r="H154" s="5">
        <f t="shared" si="7"/>
        <v>-0.33529797431552383</v>
      </c>
      <c r="I154" s="5">
        <f t="shared" si="7"/>
        <v>-0.17360704219560394</v>
      </c>
      <c r="J154" s="5">
        <f t="shared" si="7"/>
        <v>-0.20054529847161978</v>
      </c>
      <c r="K154" s="5">
        <f t="shared" si="7"/>
        <v>0.27957591408406546</v>
      </c>
      <c r="L154" s="5">
        <f t="shared" si="7"/>
        <v>0.26616969081778385</v>
      </c>
      <c r="M154" s="5">
        <f t="shared" si="7"/>
        <v>0.14402256374706487</v>
      </c>
      <c r="N154" s="5">
        <f t="shared" si="7"/>
        <v>0.43364193851527805</v>
      </c>
      <c r="O154" s="5">
        <f t="shared" si="7"/>
        <v>0.46899468398499089</v>
      </c>
      <c r="P154" s="19"/>
      <c r="Q154" s="5">
        <f>IFERROR(Q153/Q10,0)</f>
        <v>3.533764238534811E-2</v>
      </c>
    </row>
    <row r="155" spans="1:17" ht="15" customHeight="1" x14ac:dyDescent="0.3">
      <c r="A155" s="6"/>
      <c r="B155" s="33">
        <v>44694.892829050928</v>
      </c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Q155" s="14"/>
    </row>
    <row r="156" spans="1:17" ht="15" customHeight="1" x14ac:dyDescent="0.3">
      <c r="A156" s="6"/>
      <c r="B156" s="31" t="s">
        <v>294</v>
      </c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Q156" s="14"/>
    </row>
    <row r="157" spans="1:17" ht="15" customHeight="1" x14ac:dyDescent="0.3">
      <c r="A157" s="6"/>
      <c r="B157" s="27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Q157" s="14"/>
    </row>
    <row r="158" spans="1:17" ht="15" customHeight="1" x14ac:dyDescent="0.3"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Q158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C9EE6-817D-28E6-3524-45C7B1A5DCF8}">
  <sheetPr>
    <tabColor rgb="FF00B0F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277</v>
      </c>
    </row>
    <row r="4" spans="1:8" ht="15" customHeight="1" x14ac:dyDescent="0.3">
      <c r="B4" s="30" t="s">
        <v>295</v>
      </c>
    </row>
    <row r="5" spans="1:8" ht="15" customHeight="1" x14ac:dyDescent="0.3">
      <c r="A5" s="16"/>
      <c r="B5" s="16" t="s">
        <v>279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296</v>
      </c>
    </row>
    <row r="8" spans="1:8" ht="15" customHeight="1" x14ac:dyDescent="0.3">
      <c r="A8" s="7"/>
      <c r="B8" s="28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F12" s="25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21" t="e">
        <f ca="1">_xll.ONESTOP.REPORTPLAYER.OSRFUNCTIONS.OSRGET("GL_F_Trans","Value1")</f>
        <v>#NAME?</v>
      </c>
      <c r="E21" s="21" t="e">
        <f ca="1">_xll.ONESTOP.REPORTPLAYER.OSRFUNCTIONS.OSRGET("GL_F_Trans","Value1")</f>
        <v>#NAME?</v>
      </c>
      <c r="F21" s="35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F23" s="25"/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F28" s="25"/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s="38" customFormat="1" ht="15.75" customHeight="1" x14ac:dyDescent="0.3">
      <c r="B31" s="17"/>
      <c r="C31" s="17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F33" s="25"/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F34" s="25"/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C3FA6-5102-AE3F-453D-CE627BDA416E}">
  <sheetPr>
    <tabColor theme="5" tint="0.39997558519241921"/>
    <outlinePr summaryBelow="0" summaryRight="0"/>
    <pageSetUpPr fitToPage="1"/>
  </sheetPr>
  <dimension ref="A2:R164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">
        <v>302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315804.52</v>
      </c>
      <c r="E10" s="4">
        <f>SUM(OSRRefD11x_1)</f>
        <v>1856168.02</v>
      </c>
      <c r="F10" s="4">
        <f>SUM(OSRRefD11x_2)</f>
        <v>759312.65</v>
      </c>
      <c r="G10" s="4">
        <f>SUM(OSRRefD11x_3)</f>
        <v>677463.59000000008</v>
      </c>
      <c r="H10" s="4">
        <f>SUM(OSRRefD11x_4)</f>
        <v>387266.24</v>
      </c>
      <c r="I10" s="4">
        <f>SUM(OSRRefD11x_5)</f>
        <v>631765.17000000004</v>
      </c>
      <c r="J10" s="4">
        <f>SUM(OSRRefD11x_6)</f>
        <v>911331.49</v>
      </c>
      <c r="K10" s="4">
        <f>SUM(OSRRefD11x_7)</f>
        <v>950015.09000000008</v>
      </c>
      <c r="L10" s="4">
        <f>SUM(OSRRefD11x_8)</f>
        <v>1049578.45</v>
      </c>
      <c r="M10" s="4">
        <f>SUM(OSRRefD11x_9)</f>
        <v>1193476.0199999998</v>
      </c>
      <c r="N10" s="4">
        <f>SUM(OSRRefE11x_0)</f>
        <v>768349</v>
      </c>
      <c r="O10" s="4">
        <f>SUM(OSRRefE11x_1)</f>
        <v>390811</v>
      </c>
      <c r="P10" s="25"/>
      <c r="Q10" s="4">
        <f>SUM(OSRRefG11x)</f>
        <v>9891341.2400000002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--270004.59</f>
        <v>270004.59000000003</v>
      </c>
      <c r="E11" s="3">
        <f>--1519627.85</f>
        <v>1519627.85</v>
      </c>
      <c r="F11" s="3">
        <f>--599649.46</f>
        <v>599649.46</v>
      </c>
      <c r="G11" s="3">
        <f>--562742.81</f>
        <v>562742.81000000006</v>
      </c>
      <c r="H11" s="3">
        <f>--364190.03</f>
        <v>364190.03</v>
      </c>
      <c r="I11" s="3">
        <f>--614967.72</f>
        <v>614967.72</v>
      </c>
      <c r="J11" s="3">
        <f>--746168.21</f>
        <v>746168.21</v>
      </c>
      <c r="K11" s="3">
        <f>--785767.42</f>
        <v>785767.42</v>
      </c>
      <c r="L11" s="3">
        <f>--956973.18</f>
        <v>956973.18</v>
      </c>
      <c r="M11" s="3">
        <f>--1249345.73</f>
        <v>1249345.73</v>
      </c>
      <c r="N11" s="3">
        <v>718236</v>
      </c>
      <c r="O11" s="3">
        <v>385106</v>
      </c>
      <c r="Q11" s="3">
        <f>SUM(OSRRefD11_0x)+IFERROR(SUM(OSRRefE11_0x),0)</f>
        <v>8772779</v>
      </c>
    </row>
    <row r="12" spans="1:18" s="39" customFormat="1" ht="15" hidden="1" customHeight="1" outlineLevel="1" x14ac:dyDescent="0.3">
      <c r="A12" s="24"/>
      <c r="B12" s="11" t="str">
        <f>CONCATENATE("          ","4100"," - ","NON-TAXABLE SALES")</f>
        <v xml:space="preserve">          4100 - NON-TAXABLE SALES</v>
      </c>
      <c r="C12" s="23"/>
      <c r="D12" s="3">
        <f>--80066.52</f>
        <v>80066.52</v>
      </c>
      <c r="E12" s="3">
        <f>--402611.72</f>
        <v>402611.72</v>
      </c>
      <c r="F12" s="3">
        <f>--200794.66</f>
        <v>200794.66</v>
      </c>
      <c r="G12" s="3">
        <f>--178163.85</f>
        <v>178163.85</v>
      </c>
      <c r="H12" s="3">
        <f>--84057.97</f>
        <v>84057.97</v>
      </c>
      <c r="I12" s="3">
        <f>--121671.8</f>
        <v>121671.8</v>
      </c>
      <c r="J12" s="3">
        <f>--205866.99</f>
        <v>205866.99</v>
      </c>
      <c r="K12" s="3">
        <f>--224174.02</f>
        <v>224174.02</v>
      </c>
      <c r="L12" s="3">
        <f>--177551.92</f>
        <v>177551.92</v>
      </c>
      <c r="M12" s="3">
        <f>--210890.92</f>
        <v>210890.92</v>
      </c>
      <c r="N12" s="3">
        <v>50113</v>
      </c>
      <c r="O12" s="3">
        <v>5705</v>
      </c>
      <c r="Q12" s="3">
        <f>SUM(OSRRefD11_1x)+IFERROR(SUM(OSRRefE11_1x),0)</f>
        <v>1941668.3699999999</v>
      </c>
    </row>
    <row r="13" spans="1:18" s="39" customFormat="1" ht="15" hidden="1" customHeight="1" outlineLevel="1" x14ac:dyDescent="0.3">
      <c r="A13" s="24"/>
      <c r="B13" s="11" t="str">
        <f>CONCATENATE("          ","4141"," - ","NON-TAXABLE SALES-LOGO GIFTS")</f>
        <v xml:space="preserve">          4141 - NON-TAXABLE SALES-LOGO GIFTS</v>
      </c>
      <c r="C13" s="23"/>
      <c r="D13" s="3">
        <f>0</f>
        <v>0</v>
      </c>
      <c r="E13" s="3">
        <f>--389.5</f>
        <v>389.5</v>
      </c>
      <c r="F13" s="3">
        <f>--71.05</f>
        <v>71.05</v>
      </c>
      <c r="G13" s="3">
        <f>-460.55</f>
        <v>-460.55</v>
      </c>
      <c r="H13" s="3">
        <f>0</f>
        <v>0</v>
      </c>
      <c r="I13" s="3">
        <f>0</f>
        <v>0</v>
      </c>
      <c r="J13" s="3">
        <f>0</f>
        <v>0</v>
      </c>
      <c r="K13" s="3">
        <f>0</f>
        <v>0</v>
      </c>
      <c r="L13" s="3">
        <f>0</f>
        <v>0</v>
      </c>
      <c r="M13" s="3">
        <f>0</f>
        <v>0</v>
      </c>
      <c r="N13" s="3"/>
      <c r="O13" s="3"/>
      <c r="Q13" s="3">
        <f>SUM(OSRRefD11_2x)+IFERROR(SUM(OSRRefE11_2x),0)</f>
        <v>0</v>
      </c>
    </row>
    <row r="14" spans="1:18" s="39" customFormat="1" ht="15" hidden="1" customHeight="1" outlineLevel="1" x14ac:dyDescent="0.3">
      <c r="A14" s="24"/>
      <c r="B14" s="11" t="str">
        <f>CONCATENATE("          ","4146"," - ","NON-TAXABLE SALES-COIN OP MACH")</f>
        <v xml:space="preserve">          4146 - NON-TAXABLE SALES-COIN OP MACH</v>
      </c>
      <c r="C14" s="23"/>
      <c r="D14" s="3">
        <f>--20.2</f>
        <v>20.2</v>
      </c>
      <c r="E14" s="3">
        <f>--2713.4</f>
        <v>2713.4</v>
      </c>
      <c r="F14" s="3">
        <f>--4759.35</f>
        <v>4759.3500000000004</v>
      </c>
      <c r="G14" s="3">
        <f>-7492.95</f>
        <v>-7492.95</v>
      </c>
      <c r="H14" s="3">
        <f>0</f>
        <v>0</v>
      </c>
      <c r="I14" s="3">
        <f>0</f>
        <v>0</v>
      </c>
      <c r="J14" s="3">
        <f>0</f>
        <v>0</v>
      </c>
      <c r="K14" s="3">
        <f>0</f>
        <v>0</v>
      </c>
      <c r="L14" s="3">
        <f>0</f>
        <v>0</v>
      </c>
      <c r="M14" s="3">
        <f>0</f>
        <v>0</v>
      </c>
      <c r="N14" s="3"/>
      <c r="O14" s="3"/>
      <c r="Q14" s="3">
        <f>SUM(OSRRefD11_3x)+IFERROR(SUM(OSRRefE11_3x),0)</f>
        <v>9.0949470177292824E-13</v>
      </c>
    </row>
    <row r="15" spans="1:18" s="39" customFormat="1" ht="15" hidden="1" customHeight="1" outlineLevel="1" x14ac:dyDescent="0.3">
      <c r="A15" s="24"/>
      <c r="B15" s="11" t="str">
        <f>CONCATENATE("          ","4200"," - ","TAXABLE RETURNS")</f>
        <v xml:space="preserve">          4200 - TAXABLE RETURNS</v>
      </c>
      <c r="C15" s="23"/>
      <c r="D15" s="3">
        <f>-32785.21</f>
        <v>-32785.21</v>
      </c>
      <c r="E15" s="3">
        <f>-52638.54</f>
        <v>-52638.54</v>
      </c>
      <c r="F15" s="3">
        <f>-43203.32</f>
        <v>-43203.32</v>
      </c>
      <c r="G15" s="3">
        <f>-42133.25</f>
        <v>-42133.25</v>
      </c>
      <c r="H15" s="3">
        <f>-53747.52</f>
        <v>-53747.519999999997</v>
      </c>
      <c r="I15" s="3">
        <f>-53893.38</f>
        <v>-53893.38</v>
      </c>
      <c r="J15" s="3">
        <f>-33158.25</f>
        <v>-33158.25</v>
      </c>
      <c r="K15" s="3">
        <f>-44012.96</f>
        <v>-44012.959999999999</v>
      </c>
      <c r="L15" s="3">
        <f>-75345.79</f>
        <v>-75345.789999999994</v>
      </c>
      <c r="M15" s="3">
        <f>-241952.39</f>
        <v>-241952.39</v>
      </c>
      <c r="N15" s="3"/>
      <c r="O15" s="3"/>
      <c r="Q15" s="3">
        <f>SUM(OSRRefD11_4x)+IFERROR(SUM(OSRRefE11_4x),0)</f>
        <v>-672870.61</v>
      </c>
    </row>
    <row r="16" spans="1:18" s="39" customFormat="1" ht="15" hidden="1" customHeight="1" outlineLevel="1" x14ac:dyDescent="0.3">
      <c r="A16" s="24"/>
      <c r="B16" s="11" t="str">
        <f>CONCATENATE("          ","4300"," - ","NON-TAX RETURNS")</f>
        <v xml:space="preserve">          4300 - NON-TAX RETURNS</v>
      </c>
      <c r="C16" s="23"/>
      <c r="D16" s="3">
        <f>-1501.58</f>
        <v>-1501.58</v>
      </c>
      <c r="E16" s="3">
        <f>-16535.91</f>
        <v>-16535.91</v>
      </c>
      <c r="F16" s="3">
        <f>-2758.55</f>
        <v>-2758.55</v>
      </c>
      <c r="G16" s="3">
        <f>-5693.23</f>
        <v>-5693.23</v>
      </c>
      <c r="H16" s="3">
        <f>-715.91</f>
        <v>-715.91</v>
      </c>
      <c r="I16" s="3">
        <f>-678.95</f>
        <v>-678.95</v>
      </c>
      <c r="J16" s="3">
        <f>-894.73</f>
        <v>-894.73</v>
      </c>
      <c r="K16" s="3">
        <f>-3582.86</f>
        <v>-3582.86</v>
      </c>
      <c r="L16" s="3">
        <f>0</f>
        <v>0</v>
      </c>
      <c r="M16" s="3">
        <f>-9969.65</f>
        <v>-9969.65</v>
      </c>
      <c r="N16" s="3"/>
      <c r="O16" s="3"/>
      <c r="Q16" s="3">
        <f>SUM(OSRRefD11_5x)+IFERROR(SUM(OSRRefE11_5x),0)</f>
        <v>-42331.369999999995</v>
      </c>
    </row>
    <row r="17" spans="1:17" s="39" customFormat="1" ht="15" hidden="1" customHeight="1" outlineLevel="1" x14ac:dyDescent="0.3">
      <c r="A17" s="24"/>
      <c r="B17" s="11" t="str">
        <f>CONCATENATE("          ","4500"," - ","SALES DISCOUNT")</f>
        <v xml:space="preserve">          4500 - SALES DISCOUNT</v>
      </c>
      <c r="C17" s="23"/>
      <c r="D17" s="3">
        <f>0</f>
        <v>0</v>
      </c>
      <c r="E17" s="3">
        <f>0</f>
        <v>0</v>
      </c>
      <c r="F17" s="3">
        <f>0</f>
        <v>0</v>
      </c>
      <c r="G17" s="3">
        <f>-7663.09</f>
        <v>-7663.09</v>
      </c>
      <c r="H17" s="3">
        <f>-6518.33</f>
        <v>-6518.33</v>
      </c>
      <c r="I17" s="3">
        <f>-50302.02</f>
        <v>-50302.02</v>
      </c>
      <c r="J17" s="3">
        <f>-6650.73</f>
        <v>-6650.73</v>
      </c>
      <c r="K17" s="3">
        <f>-12330.53</f>
        <v>-12330.53</v>
      </c>
      <c r="L17" s="3">
        <f>-9600.86</f>
        <v>-9600.86</v>
      </c>
      <c r="M17" s="3">
        <f>-14838.59</f>
        <v>-14838.59</v>
      </c>
      <c r="N17" s="3"/>
      <c r="O17" s="3"/>
      <c r="Q17" s="3">
        <f>SUM(OSRRefD11_6x)+IFERROR(SUM(OSRRefE11_6x),0)</f>
        <v>-107904.15</v>
      </c>
    </row>
    <row r="18" spans="1:17" ht="15" customHeight="1" x14ac:dyDescent="0.3">
      <c r="A18" s="6"/>
      <c r="B18" s="7"/>
      <c r="C18" s="6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Q18" s="4"/>
    </row>
    <row r="19" spans="1:17" s="39" customFormat="1" ht="15" customHeight="1" collapsed="1" x14ac:dyDescent="0.3">
      <c r="A19" s="24"/>
      <c r="B19" s="17" t="s">
        <v>284</v>
      </c>
      <c r="C19" s="23"/>
      <c r="D19" s="4">
        <f>SUM(OSRRefD14x_0)</f>
        <v>209792.91000000003</v>
      </c>
      <c r="E19" s="4">
        <f>SUM(OSRRefD14x_1)</f>
        <v>1284131.0999999999</v>
      </c>
      <c r="F19" s="4">
        <f>SUM(OSRRefD14x_2)</f>
        <v>502570.24000000005</v>
      </c>
      <c r="G19" s="4">
        <f>SUM(OSRRefD14x_3)</f>
        <v>438990.99000000005</v>
      </c>
      <c r="H19" s="4">
        <f>SUM(OSRRefD14x_4)</f>
        <v>221001.48</v>
      </c>
      <c r="I19" s="4">
        <f>SUM(OSRRefD14x_5)</f>
        <v>377927.83999999997</v>
      </c>
      <c r="J19" s="4">
        <f>SUM(OSRRefD14x_6)</f>
        <v>583369.90999999992</v>
      </c>
      <c r="K19" s="4">
        <f>SUM(OSRRefD14x_7)</f>
        <v>548527.07999999996</v>
      </c>
      <c r="L19" s="4">
        <f>SUM(OSRRefD14x_8)</f>
        <v>629996.12</v>
      </c>
      <c r="M19" s="4">
        <f>SUM(OSRRefD14x_9)</f>
        <v>671605.71000000008</v>
      </c>
      <c r="N19" s="4">
        <f>SUM(OSRRefE14x_0)</f>
        <v>526049</v>
      </c>
      <c r="O19" s="4">
        <f>SUM(OSRRefE14x_1)</f>
        <v>245688</v>
      </c>
      <c r="Q19" s="4">
        <f>SUM(OSRRefG14x)</f>
        <v>6239650.3799999999</v>
      </c>
    </row>
    <row r="20" spans="1:17" s="39" customFormat="1" ht="15" hidden="1" customHeight="1" outlineLevel="1" x14ac:dyDescent="0.3">
      <c r="A20" s="24"/>
      <c r="B20" s="11" t="str">
        <f>CONCATENATE("          ","5000"," - ","PURCHASES @ COST")</f>
        <v xml:space="preserve">          5000 - PURCHASES @ COST</v>
      </c>
      <c r="C20" s="23"/>
      <c r="D20" s="3">
        <v>442136.21</v>
      </c>
      <c r="E20" s="3">
        <v>785954.3</v>
      </c>
      <c r="F20" s="3">
        <v>895370.31</v>
      </c>
      <c r="G20" s="3">
        <v>879528.49</v>
      </c>
      <c r="H20" s="3">
        <v>-11220.02</v>
      </c>
      <c r="I20" s="3">
        <v>467393.3</v>
      </c>
      <c r="J20" s="3">
        <v>586825.11</v>
      </c>
      <c r="K20" s="3">
        <v>539697.19999999995</v>
      </c>
      <c r="L20" s="3">
        <v>491484.13</v>
      </c>
      <c r="M20" s="3">
        <v>364978.26</v>
      </c>
      <c r="N20" s="3">
        <v>526049</v>
      </c>
      <c r="O20" s="3">
        <v>245688</v>
      </c>
      <c r="Q20" s="3">
        <f>SUM(OSRRefD14_0x)+IFERROR(SUM(OSRRefE14_0x),0)</f>
        <v>6213884.29</v>
      </c>
    </row>
    <row r="21" spans="1:17" s="39" customFormat="1" ht="15" hidden="1" customHeight="1" outlineLevel="1" x14ac:dyDescent="0.3">
      <c r="A21" s="24"/>
      <c r="B21" s="11" t="str">
        <f>CONCATENATE("          ","5001"," - ","PURCHASES @ COST-NEW TEXT")</f>
        <v xml:space="preserve">          5001 - PURCHASES @ COST-NEW TEXT</v>
      </c>
      <c r="C21" s="23"/>
      <c r="D21" s="3">
        <v>0</v>
      </c>
      <c r="E21" s="3">
        <v>0</v>
      </c>
      <c r="F21" s="3">
        <v>0</v>
      </c>
      <c r="G21" s="3">
        <v>0</v>
      </c>
      <c r="H21" s="3"/>
      <c r="I21" s="3"/>
      <c r="J21" s="3"/>
      <c r="K21" s="3"/>
      <c r="L21" s="3"/>
      <c r="M21" s="3"/>
      <c r="N21" s="3"/>
      <c r="O21" s="3"/>
      <c r="Q21" s="3">
        <f>SUM(OSRRefD14_1x)+IFERROR(SUM(OSRRefE14_1x),0)</f>
        <v>0</v>
      </c>
    </row>
    <row r="22" spans="1:17" s="39" customFormat="1" ht="15" hidden="1" customHeight="1" outlineLevel="1" x14ac:dyDescent="0.3">
      <c r="A22" s="24"/>
      <c r="B22" s="11" t="str">
        <f>CONCATENATE("          ","5002"," - ","PURCHASES @ COST-USED TEXT")</f>
        <v xml:space="preserve">          5002 - PURCHASES @ COST-USED TEXT</v>
      </c>
      <c r="C22" s="23"/>
      <c r="D22" s="3">
        <v>0</v>
      </c>
      <c r="E22" s="3">
        <v>0</v>
      </c>
      <c r="F22" s="3">
        <v>0</v>
      </c>
      <c r="G22" s="3"/>
      <c r="H22" s="3"/>
      <c r="I22" s="3"/>
      <c r="J22" s="3"/>
      <c r="K22" s="3"/>
      <c r="L22" s="3"/>
      <c r="M22" s="3"/>
      <c r="N22" s="3"/>
      <c r="O22" s="3"/>
      <c r="Q22" s="3">
        <f>SUM(OSRRefD14_2x)+IFERROR(SUM(OSRRefE14_2x),0)</f>
        <v>0</v>
      </c>
    </row>
    <row r="23" spans="1:17" s="39" customFormat="1" ht="15" hidden="1" customHeight="1" outlineLevel="1" x14ac:dyDescent="0.3">
      <c r="A23" s="24"/>
      <c r="B23" s="11" t="str">
        <f>CONCATENATE("          ","5004"," - ","PURCHASES @ COST-DIGITAL TEXT")</f>
        <v xml:space="preserve">          5004 - PURCHASES @ COST-DIGITAL TEXT</v>
      </c>
      <c r="C23" s="23"/>
      <c r="D23" s="3">
        <v>0</v>
      </c>
      <c r="E23" s="3">
        <v>0</v>
      </c>
      <c r="F23" s="3">
        <v>0</v>
      </c>
      <c r="G23" s="3"/>
      <c r="H23" s="3"/>
      <c r="I23" s="3"/>
      <c r="J23" s="3"/>
      <c r="K23" s="3"/>
      <c r="L23" s="3"/>
      <c r="M23" s="3"/>
      <c r="N23" s="3"/>
      <c r="O23" s="3"/>
      <c r="Q23" s="3">
        <f>SUM(OSRRefD14_3x)+IFERROR(SUM(OSRRefE14_3x),0)</f>
        <v>0</v>
      </c>
    </row>
    <row r="24" spans="1:17" s="39" customFormat="1" ht="15" hidden="1" customHeight="1" outlineLevel="1" x14ac:dyDescent="0.3">
      <c r="A24" s="24"/>
      <c r="B24" s="11" t="str">
        <f>CONCATENATE("          ","5026"," - ","PURCHASES @ COST-WRITING INSTR")</f>
        <v xml:space="preserve">          5026 - PURCHASES @ COST-WRITING INSTR</v>
      </c>
      <c r="C24" s="23"/>
      <c r="D24" s="3"/>
      <c r="E24" s="3">
        <v>0</v>
      </c>
      <c r="F24" s="3"/>
      <c r="G24" s="3"/>
      <c r="H24" s="3"/>
      <c r="I24" s="3"/>
      <c r="J24" s="3"/>
      <c r="K24" s="3"/>
      <c r="L24" s="3"/>
      <c r="M24" s="3"/>
      <c r="N24" s="3"/>
      <c r="O24" s="3"/>
      <c r="Q24" s="3">
        <f>SUM(OSRRefD14_4x)+IFERROR(SUM(OSRRefE14_4x),0)</f>
        <v>0</v>
      </c>
    </row>
    <row r="25" spans="1:17" s="39" customFormat="1" ht="15" hidden="1" customHeight="1" outlineLevel="1" x14ac:dyDescent="0.3">
      <c r="A25" s="24"/>
      <c r="B25" s="11" t="str">
        <f>CONCATENATE("          ","5027"," - ","PURCHASES @ COST-SCHOOL SUPPLI")</f>
        <v xml:space="preserve">          5027 - PURCHASES @ COST-SCHOOL SUPPLI</v>
      </c>
      <c r="C25" s="23"/>
      <c r="D25" s="3"/>
      <c r="E25" s="3">
        <v>0</v>
      </c>
      <c r="F25" s="3">
        <v>0</v>
      </c>
      <c r="G25" s="3"/>
      <c r="H25" s="3"/>
      <c r="I25" s="3"/>
      <c r="J25" s="3"/>
      <c r="K25" s="3"/>
      <c r="L25" s="3"/>
      <c r="M25" s="3"/>
      <c r="N25" s="3"/>
      <c r="O25" s="3"/>
      <c r="Q25" s="3">
        <f>SUM(OSRRefD14_5x)+IFERROR(SUM(OSRRefE14_5x),0)</f>
        <v>0</v>
      </c>
    </row>
    <row r="26" spans="1:17" s="39" customFormat="1" ht="15" hidden="1" customHeight="1" outlineLevel="1" x14ac:dyDescent="0.3">
      <c r="A26" s="24"/>
      <c r="B26" s="11" t="str">
        <f>CONCATENATE("          ","5028"," - ","PURCHASES @ COST-ART/TECH")</f>
        <v xml:space="preserve">          5028 - PURCHASES @ COST-ART/TECH</v>
      </c>
      <c r="C26" s="23"/>
      <c r="D26" s="3"/>
      <c r="E26" s="3">
        <v>0</v>
      </c>
      <c r="F26" s="3">
        <v>0</v>
      </c>
      <c r="G26" s="3"/>
      <c r="H26" s="3"/>
      <c r="I26" s="3"/>
      <c r="J26" s="3"/>
      <c r="K26" s="3"/>
      <c r="L26" s="3"/>
      <c r="M26" s="3"/>
      <c r="N26" s="3"/>
      <c r="O26" s="3"/>
      <c r="Q26" s="3">
        <f>SUM(OSRRefD14_6x)+IFERROR(SUM(OSRRefE14_6x),0)</f>
        <v>0</v>
      </c>
    </row>
    <row r="27" spans="1:17" s="39" customFormat="1" ht="15" hidden="1" customHeight="1" outlineLevel="1" x14ac:dyDescent="0.3">
      <c r="A27" s="24"/>
      <c r="B27" s="11" t="str">
        <f>CONCATENATE("          ","5031"," - ","PURCHASES @ COST-FOOD")</f>
        <v xml:space="preserve">          5031 - PURCHASES @ COST-FOOD</v>
      </c>
      <c r="C27" s="23"/>
      <c r="D27" s="3"/>
      <c r="E27" s="3">
        <v>0</v>
      </c>
      <c r="F27" s="3">
        <v>0</v>
      </c>
      <c r="G27" s="3"/>
      <c r="H27" s="3"/>
      <c r="I27" s="3"/>
      <c r="J27" s="3"/>
      <c r="K27" s="3"/>
      <c r="L27" s="3"/>
      <c r="M27" s="3"/>
      <c r="N27" s="3"/>
      <c r="O27" s="3"/>
      <c r="Q27" s="3">
        <f>SUM(OSRRefD14_7x)+IFERROR(SUM(OSRRefE14_7x),0)</f>
        <v>0</v>
      </c>
    </row>
    <row r="28" spans="1:17" s="39" customFormat="1" ht="15" hidden="1" customHeight="1" outlineLevel="1" x14ac:dyDescent="0.3">
      <c r="A28" s="24"/>
      <c r="B28" s="11" t="str">
        <f>CONCATENATE("          ","5040"," - ","PURCHASES @ COST-LOGO CLOTHING")</f>
        <v xml:space="preserve">          5040 - PURCHASES @ COST-LOGO CLOTHING</v>
      </c>
      <c r="C28" s="23"/>
      <c r="D28" s="3">
        <v>0</v>
      </c>
      <c r="E28" s="3">
        <v>0</v>
      </c>
      <c r="F28" s="3">
        <v>0</v>
      </c>
      <c r="G28" s="3"/>
      <c r="H28" s="3"/>
      <c r="I28" s="3"/>
      <c r="J28" s="3"/>
      <c r="K28" s="3"/>
      <c r="L28" s="3"/>
      <c r="M28" s="3"/>
      <c r="N28" s="3"/>
      <c r="O28" s="3"/>
      <c r="Q28" s="3">
        <f>SUM(OSRRefD14_8x)+IFERROR(SUM(OSRRefE14_8x),0)</f>
        <v>0</v>
      </c>
    </row>
    <row r="29" spans="1:17" s="39" customFormat="1" ht="15" hidden="1" customHeight="1" outlineLevel="1" x14ac:dyDescent="0.3">
      <c r="A29" s="24"/>
      <c r="B29" s="11" t="str">
        <f>CONCATENATE("          ","5041"," - ","PURCHASES @ COST-LOGO GIFTS")</f>
        <v xml:space="preserve">          5041 - PURCHASES @ COST-LOGO GIFTS</v>
      </c>
      <c r="C29" s="23"/>
      <c r="D29" s="3">
        <v>0</v>
      </c>
      <c r="E29" s="3">
        <v>0</v>
      </c>
      <c r="F29" s="3">
        <v>0</v>
      </c>
      <c r="G29" s="3"/>
      <c r="H29" s="3"/>
      <c r="I29" s="3"/>
      <c r="J29" s="3"/>
      <c r="K29" s="3"/>
      <c r="L29" s="3"/>
      <c r="M29" s="3"/>
      <c r="N29" s="3"/>
      <c r="O29" s="3"/>
      <c r="Q29" s="3">
        <f>SUM(OSRRefD14_9x)+IFERROR(SUM(OSRRefE14_9x),0)</f>
        <v>0</v>
      </c>
    </row>
    <row r="30" spans="1:17" s="39" customFormat="1" ht="15" hidden="1" customHeight="1" outlineLevel="1" x14ac:dyDescent="0.3">
      <c r="A30" s="24"/>
      <c r="B30" s="11" t="str">
        <f>CONCATENATE("          ","5042"," - ","PURCHASES @ COST-EVERYDAY GIFT")</f>
        <v xml:space="preserve">          5042 - PURCHASES @ COST-EVERYDAY GIFT</v>
      </c>
      <c r="C30" s="23"/>
      <c r="D30" s="3">
        <v>0</v>
      </c>
      <c r="E30" s="3">
        <v>0</v>
      </c>
      <c r="F30" s="3"/>
      <c r="G30" s="3"/>
      <c r="H30" s="3"/>
      <c r="I30" s="3"/>
      <c r="J30" s="3"/>
      <c r="K30" s="3"/>
      <c r="L30" s="3"/>
      <c r="M30" s="3"/>
      <c r="N30" s="3"/>
      <c r="O30" s="3"/>
      <c r="Q30" s="3">
        <f>SUM(OSRRefD14_10x)+IFERROR(SUM(OSRRefE14_10x),0)</f>
        <v>0</v>
      </c>
    </row>
    <row r="31" spans="1:17" s="39" customFormat="1" ht="15" hidden="1" customHeight="1" outlineLevel="1" x14ac:dyDescent="0.3">
      <c r="A31" s="24"/>
      <c r="B31" s="11" t="str">
        <f>CONCATENATE("          ","5043"," - ","PURCHASES @ COST-CARDS")</f>
        <v xml:space="preserve">          5043 - PURCHASES @ COST-CARDS</v>
      </c>
      <c r="C31" s="23"/>
      <c r="D31" s="3">
        <v>0</v>
      </c>
      <c r="E31" s="3">
        <v>0</v>
      </c>
      <c r="F31" s="3"/>
      <c r="G31" s="3"/>
      <c r="H31" s="3"/>
      <c r="I31" s="3"/>
      <c r="J31" s="3"/>
      <c r="K31" s="3"/>
      <c r="L31" s="3"/>
      <c r="M31" s="3"/>
      <c r="N31" s="3"/>
      <c r="O31" s="3"/>
      <c r="Q31" s="3">
        <f>SUM(OSRRefD14_11x)+IFERROR(SUM(OSRRefE14_11x),0)</f>
        <v>0</v>
      </c>
    </row>
    <row r="32" spans="1:17" s="39" customFormat="1" ht="15" hidden="1" customHeight="1" outlineLevel="1" x14ac:dyDescent="0.3">
      <c r="A32" s="24"/>
      <c r="B32" s="11" t="str">
        <f>CONCATENATE("          ","5044"," - ","PURCHASES @ COST-ACCESSORIES")</f>
        <v xml:space="preserve">          5044 - PURCHASES @ COST-ACCESSORIES</v>
      </c>
      <c r="C32" s="23"/>
      <c r="D32" s="3">
        <v>0</v>
      </c>
      <c r="E32" s="3">
        <v>0</v>
      </c>
      <c r="F32" s="3"/>
      <c r="G32" s="3"/>
      <c r="H32" s="3"/>
      <c r="I32" s="3"/>
      <c r="J32" s="3"/>
      <c r="K32" s="3"/>
      <c r="L32" s="3"/>
      <c r="M32" s="3"/>
      <c r="N32" s="3"/>
      <c r="O32" s="3"/>
      <c r="Q32" s="3">
        <f>SUM(OSRRefD14_12x)+IFERROR(SUM(OSRRefE14_12x),0)</f>
        <v>0</v>
      </c>
    </row>
    <row r="33" spans="1:17" s="39" customFormat="1" ht="15" hidden="1" customHeight="1" outlineLevel="1" x14ac:dyDescent="0.3">
      <c r="A33" s="24"/>
      <c r="B33" s="11" t="str">
        <f>CONCATENATE("          ","5045"," - ","PURCHASES @ COST-SPECIAL ORDER")</f>
        <v xml:space="preserve">          5045 - PURCHASES @ COST-SPECIAL ORDER</v>
      </c>
      <c r="C33" s="23"/>
      <c r="D33" s="3">
        <v>0</v>
      </c>
      <c r="E33" s="3">
        <v>0</v>
      </c>
      <c r="F33" s="3">
        <v>0</v>
      </c>
      <c r="G33" s="3"/>
      <c r="H33" s="3"/>
      <c r="I33" s="3"/>
      <c r="J33" s="3"/>
      <c r="K33" s="3"/>
      <c r="L33" s="3"/>
      <c r="M33" s="3"/>
      <c r="N33" s="3"/>
      <c r="O33" s="3"/>
      <c r="Q33" s="3">
        <f>SUM(OSRRefD14_13x)+IFERROR(SUM(OSRRefE14_13x),0)</f>
        <v>0</v>
      </c>
    </row>
    <row r="34" spans="1:17" s="39" customFormat="1" ht="15" hidden="1" customHeight="1" outlineLevel="1" x14ac:dyDescent="0.3">
      <c r="A34" s="24"/>
      <c r="B34" s="11" t="str">
        <f>CONCATENATE("          ","5081"," - ","PURCHASES @ COST-ELECTRONICS")</f>
        <v xml:space="preserve">          5081 - PURCHASES @ COST-ELECTRONICS</v>
      </c>
      <c r="C34" s="23"/>
      <c r="D34" s="3">
        <v>0</v>
      </c>
      <c r="E34" s="3">
        <v>0</v>
      </c>
      <c r="F34" s="3">
        <v>0</v>
      </c>
      <c r="G34" s="3"/>
      <c r="H34" s="3"/>
      <c r="I34" s="3"/>
      <c r="J34" s="3"/>
      <c r="K34" s="3"/>
      <c r="L34" s="3"/>
      <c r="M34" s="3"/>
      <c r="N34" s="3"/>
      <c r="O34" s="3"/>
      <c r="Q34" s="3">
        <f>SUM(OSRRefD14_14x)+IFERROR(SUM(OSRRefE14_14x),0)</f>
        <v>0</v>
      </c>
    </row>
    <row r="35" spans="1:17" s="39" customFormat="1" ht="15" hidden="1" customHeight="1" outlineLevel="1" x14ac:dyDescent="0.3">
      <c r="A35" s="24"/>
      <c r="B35" s="11" t="str">
        <f>CONCATENATE("          ","5082"," - ","PURCHASES @ COST-COMPUTER HARD")</f>
        <v xml:space="preserve">          5082 - PURCHASES @ COST-COMPUTER HARD</v>
      </c>
      <c r="C35" s="23"/>
      <c r="D35" s="3">
        <v>-10902.62</v>
      </c>
      <c r="E35" s="3">
        <v>-23501.200000000001</v>
      </c>
      <c r="F35" s="3">
        <v>-22380.03</v>
      </c>
      <c r="G35" s="3">
        <v>-20540.88</v>
      </c>
      <c r="H35" s="3">
        <v>-3384.72</v>
      </c>
      <c r="I35" s="3">
        <v>-6160.03</v>
      </c>
      <c r="J35" s="3">
        <v>-6938.92</v>
      </c>
      <c r="K35" s="3"/>
      <c r="L35" s="3">
        <v>-16384.86</v>
      </c>
      <c r="M35" s="3"/>
      <c r="N35" s="3"/>
      <c r="O35" s="3"/>
      <c r="Q35" s="3">
        <f>SUM(OSRRefD14_15x)+IFERROR(SUM(OSRRefE14_15x),0)</f>
        <v>-110193.26</v>
      </c>
    </row>
    <row r="36" spans="1:17" s="39" customFormat="1" ht="15" hidden="1" customHeight="1" outlineLevel="1" x14ac:dyDescent="0.3">
      <c r="A36" s="24"/>
      <c r="B36" s="11" t="str">
        <f>CONCATENATE("          ","5083"," - ","PURCHASES @ COST-COMPUTER EQUI")</f>
        <v xml:space="preserve">          5083 - PURCHASES @ COST-COMPUTER EQUI</v>
      </c>
      <c r="C36" s="23"/>
      <c r="D36" s="3">
        <v>0</v>
      </c>
      <c r="E36" s="3">
        <v>0</v>
      </c>
      <c r="F36" s="3">
        <v>0</v>
      </c>
      <c r="G36" s="3"/>
      <c r="H36" s="3"/>
      <c r="I36" s="3"/>
      <c r="J36" s="3"/>
      <c r="K36" s="3"/>
      <c r="L36" s="3"/>
      <c r="M36" s="3"/>
      <c r="N36" s="3"/>
      <c r="O36" s="3"/>
      <c r="Q36" s="3">
        <f>SUM(OSRRefD14_16x)+IFERROR(SUM(OSRRefE14_16x),0)</f>
        <v>0</v>
      </c>
    </row>
    <row r="37" spans="1:17" s="39" customFormat="1" ht="15" hidden="1" customHeight="1" outlineLevel="1" x14ac:dyDescent="0.3">
      <c r="A37" s="24"/>
      <c r="B37" s="11" t="str">
        <f>CONCATENATE("          ","5085"," - ","PURCHASES @ COST-SOFTWARE")</f>
        <v xml:space="preserve">          5085 - PURCHASES @ COST-SOFTWARE</v>
      </c>
      <c r="C37" s="23"/>
      <c r="D37" s="3">
        <v>0</v>
      </c>
      <c r="E37" s="3">
        <v>0</v>
      </c>
      <c r="F37" s="3">
        <v>0</v>
      </c>
      <c r="G37" s="3"/>
      <c r="H37" s="3"/>
      <c r="I37" s="3"/>
      <c r="J37" s="3"/>
      <c r="K37" s="3"/>
      <c r="L37" s="3"/>
      <c r="M37" s="3"/>
      <c r="N37" s="3"/>
      <c r="O37" s="3"/>
      <c r="Q37" s="3">
        <f>SUM(OSRRefD14_17x)+IFERROR(SUM(OSRRefE14_17x),0)</f>
        <v>0</v>
      </c>
    </row>
    <row r="38" spans="1:17" s="39" customFormat="1" ht="15" hidden="1" customHeight="1" outlineLevel="1" x14ac:dyDescent="0.3">
      <c r="A38" s="24"/>
      <c r="B38" s="11" t="str">
        <f>CONCATENATE("          ","5086"," - ","PURCHASES @ COST-COMPUTER SUPP")</f>
        <v xml:space="preserve">          5086 - PURCHASES @ COST-COMPUTER SUPP</v>
      </c>
      <c r="C38" s="23"/>
      <c r="D38" s="3">
        <v>0</v>
      </c>
      <c r="E38" s="3">
        <v>0</v>
      </c>
      <c r="F38" s="3">
        <v>0</v>
      </c>
      <c r="G38" s="3"/>
      <c r="H38" s="3"/>
      <c r="I38" s="3"/>
      <c r="J38" s="3"/>
      <c r="K38" s="3"/>
      <c r="L38" s="3"/>
      <c r="M38" s="3"/>
      <c r="N38" s="3"/>
      <c r="O38" s="3"/>
      <c r="Q38" s="3">
        <f>SUM(OSRRefD14_18x)+IFERROR(SUM(OSRRefE14_18x),0)</f>
        <v>0</v>
      </c>
    </row>
    <row r="39" spans="1:17" s="39" customFormat="1" ht="15" hidden="1" customHeight="1" outlineLevel="1" x14ac:dyDescent="0.3">
      <c r="A39" s="24"/>
      <c r="B39" s="11" t="str">
        <f>CONCATENATE("          ","5200"," - ","PURCHASES OFFSET")</f>
        <v xml:space="preserve">          5200 - PURCHASES OFFSET</v>
      </c>
      <c r="C39" s="23"/>
      <c r="D39" s="3">
        <v>-443731.32</v>
      </c>
      <c r="E39" s="3">
        <v>-589608.85</v>
      </c>
      <c r="F39" s="3">
        <v>-866523.34</v>
      </c>
      <c r="G39" s="3">
        <v>-899387.86</v>
      </c>
      <c r="H39" s="3">
        <v>427.46</v>
      </c>
      <c r="I39" s="3">
        <v>-479454</v>
      </c>
      <c r="J39" s="3">
        <v>-571503.94999999995</v>
      </c>
      <c r="K39" s="3">
        <v>-536671.35</v>
      </c>
      <c r="L39" s="3">
        <v>-516882.53</v>
      </c>
      <c r="M39" s="3">
        <v>-422991.04</v>
      </c>
      <c r="N39" s="3"/>
      <c r="O39" s="3"/>
      <c r="Q39" s="3">
        <f>SUM(OSRRefD14_19x)+IFERROR(SUM(OSRRefE14_19x),0)</f>
        <v>-5326326.7799999993</v>
      </c>
    </row>
    <row r="40" spans="1:17" s="39" customFormat="1" ht="15" hidden="1" customHeight="1" outlineLevel="1" x14ac:dyDescent="0.3">
      <c r="A40" s="24"/>
      <c r="B40" s="11" t="str">
        <f>CONCATENATE("          ","5300"," - ","COG$ OFFSET")</f>
        <v xml:space="preserve">          5300 - COG$ OFFSET</v>
      </c>
      <c r="C40" s="23"/>
      <c r="D40" s="3">
        <v>218685.5</v>
      </c>
      <c r="E40" s="3">
        <v>1104681.67</v>
      </c>
      <c r="F40" s="3">
        <v>478937.18</v>
      </c>
      <c r="G40" s="3">
        <v>457087.53</v>
      </c>
      <c r="H40" s="3">
        <v>224057.66</v>
      </c>
      <c r="I40" s="3">
        <v>386623.33</v>
      </c>
      <c r="J40" s="3">
        <v>553059.96</v>
      </c>
      <c r="K40" s="3">
        <v>513873.01</v>
      </c>
      <c r="L40" s="3">
        <v>647373.84</v>
      </c>
      <c r="M40" s="3">
        <v>694429.14</v>
      </c>
      <c r="N40" s="3"/>
      <c r="O40" s="3"/>
      <c r="Q40" s="3">
        <f>SUM(OSRRefD14_20x)+IFERROR(SUM(OSRRefE14_20x),0)</f>
        <v>5278808.8199999994</v>
      </c>
    </row>
    <row r="41" spans="1:17" s="39" customFormat="1" ht="15" hidden="1" customHeight="1" outlineLevel="1" x14ac:dyDescent="0.3">
      <c r="A41" s="24"/>
      <c r="B41" s="11" t="str">
        <f>CONCATENATE("          ","5500"," - ","FREIGHT-IN")</f>
        <v xml:space="preserve">          5500 - FREIGHT-IN</v>
      </c>
      <c r="C41" s="23"/>
      <c r="D41" s="3">
        <v>3605.14</v>
      </c>
      <c r="E41" s="3">
        <v>6605.18</v>
      </c>
      <c r="F41" s="3">
        <v>17166.12</v>
      </c>
      <c r="G41" s="3">
        <v>22303.71</v>
      </c>
      <c r="H41" s="3">
        <v>11121.1</v>
      </c>
      <c r="I41" s="3">
        <v>9525.24</v>
      </c>
      <c r="J41" s="3">
        <v>21927.71</v>
      </c>
      <c r="K41" s="3">
        <v>31628.22</v>
      </c>
      <c r="L41" s="3">
        <v>24405.54</v>
      </c>
      <c r="M41" s="3">
        <v>35189.35</v>
      </c>
      <c r="N41" s="3"/>
      <c r="O41" s="3"/>
      <c r="Q41" s="3">
        <f>SUM(OSRRefD14_21x)+IFERROR(SUM(OSRRefE14_21x),0)</f>
        <v>183477.31</v>
      </c>
    </row>
    <row r="42" spans="1:17" s="39" customFormat="1" ht="15" hidden="1" customHeight="1" outlineLevel="1" x14ac:dyDescent="0.3">
      <c r="A42" s="24"/>
      <c r="B42" s="11" t="str">
        <f>CONCATENATE("          ","5501"," - ","FREIGHT-IN-NEW TEXT")</f>
        <v xml:space="preserve">          5501 - FREIGHT-IN-NEW TEXT</v>
      </c>
      <c r="C42" s="23"/>
      <c r="D42" s="3">
        <v>0</v>
      </c>
      <c r="E42" s="3">
        <v>0</v>
      </c>
      <c r="F42" s="3">
        <v>0</v>
      </c>
      <c r="G42" s="3">
        <v>0</v>
      </c>
      <c r="H42" s="3"/>
      <c r="I42" s="3"/>
      <c r="J42" s="3"/>
      <c r="K42" s="3"/>
      <c r="L42" s="3"/>
      <c r="M42" s="3"/>
      <c r="N42" s="3"/>
      <c r="O42" s="3"/>
      <c r="Q42" s="3">
        <f>SUM(OSRRefD14_22x)+IFERROR(SUM(OSRRefE14_22x),0)</f>
        <v>0</v>
      </c>
    </row>
    <row r="43" spans="1:17" s="39" customFormat="1" ht="15" hidden="1" customHeight="1" outlineLevel="1" x14ac:dyDescent="0.3">
      <c r="A43" s="24"/>
      <c r="B43" s="11" t="str">
        <f>CONCATENATE("          ","5502"," - ","FREIGHT-IN-USED TEXT")</f>
        <v xml:space="preserve">          5502 - FREIGHT-IN-USED TEXT</v>
      </c>
      <c r="C43" s="23"/>
      <c r="D43" s="3">
        <v>0</v>
      </c>
      <c r="E43" s="3">
        <v>0</v>
      </c>
      <c r="F43" s="3">
        <v>0</v>
      </c>
      <c r="G43" s="3"/>
      <c r="H43" s="3"/>
      <c r="I43" s="3"/>
      <c r="J43" s="3"/>
      <c r="K43" s="3"/>
      <c r="L43" s="3"/>
      <c r="M43" s="3"/>
      <c r="N43" s="3"/>
      <c r="O43" s="3"/>
      <c r="Q43" s="3">
        <f>SUM(OSRRefD14_23x)+IFERROR(SUM(OSRRefE14_23x),0)</f>
        <v>0</v>
      </c>
    </row>
    <row r="44" spans="1:17" s="39" customFormat="1" ht="15" hidden="1" customHeight="1" outlineLevel="1" x14ac:dyDescent="0.3">
      <c r="A44" s="24"/>
      <c r="B44" s="11" t="str">
        <f>CONCATENATE("          ","5518"," - ","FREIGHT-IN-STUDY GUIDES")</f>
        <v xml:space="preserve">          5518 - FREIGHT-IN-STUDY GUIDES</v>
      </c>
      <c r="C44" s="23"/>
      <c r="D44" s="3">
        <v>0</v>
      </c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Q44" s="3">
        <f>SUM(OSRRefD14_24x)+IFERROR(SUM(OSRRefE14_24x),0)</f>
        <v>0</v>
      </c>
    </row>
    <row r="45" spans="1:17" s="39" customFormat="1" ht="15" hidden="1" customHeight="1" outlineLevel="1" x14ac:dyDescent="0.3">
      <c r="A45" s="24"/>
      <c r="B45" s="11" t="str">
        <f>CONCATENATE("          ","5527"," - ","FREIGHT-IN-SCHOOL SUPPLIES")</f>
        <v xml:space="preserve">          5527 - FREIGHT-IN-SCHOOL SUPPLIES</v>
      </c>
      <c r="C45" s="23"/>
      <c r="D45" s="3"/>
      <c r="E45" s="3">
        <v>0</v>
      </c>
      <c r="F45" s="3"/>
      <c r="G45" s="3"/>
      <c r="H45" s="3"/>
      <c r="I45" s="3"/>
      <c r="J45" s="3"/>
      <c r="K45" s="3"/>
      <c r="L45" s="3"/>
      <c r="M45" s="3"/>
      <c r="N45" s="3"/>
      <c r="O45" s="3"/>
      <c r="Q45" s="3">
        <f>SUM(OSRRefD14_25x)+IFERROR(SUM(OSRRefE14_25x),0)</f>
        <v>0</v>
      </c>
    </row>
    <row r="46" spans="1:17" s="39" customFormat="1" ht="15" hidden="1" customHeight="1" outlineLevel="1" x14ac:dyDescent="0.3">
      <c r="A46" s="24"/>
      <c r="B46" s="11" t="str">
        <f>CONCATENATE("          ","5528"," - ","FREIGHT-IN-ART/TECH")</f>
        <v xml:space="preserve">          5528 - FREIGHT-IN-ART/TECH</v>
      </c>
      <c r="C46" s="23"/>
      <c r="D46" s="3"/>
      <c r="E46" s="3">
        <v>0</v>
      </c>
      <c r="F46" s="3">
        <v>0</v>
      </c>
      <c r="G46" s="3"/>
      <c r="H46" s="3"/>
      <c r="I46" s="3"/>
      <c r="J46" s="3"/>
      <c r="K46" s="3"/>
      <c r="L46" s="3"/>
      <c r="M46" s="3"/>
      <c r="N46" s="3"/>
      <c r="O46" s="3"/>
      <c r="Q46" s="3">
        <f>SUM(OSRRefD14_26x)+IFERROR(SUM(OSRRefE14_26x),0)</f>
        <v>0</v>
      </c>
    </row>
    <row r="47" spans="1:17" s="39" customFormat="1" ht="15" hidden="1" customHeight="1" outlineLevel="1" x14ac:dyDescent="0.3">
      <c r="A47" s="24"/>
      <c r="B47" s="11" t="str">
        <f>CONCATENATE("          ","5540"," - ","FREIGHT-IN-LOGO CLOTHING")</f>
        <v xml:space="preserve">          5540 - FREIGHT-IN-LOGO CLOTHING</v>
      </c>
      <c r="C47" s="23"/>
      <c r="D47" s="3">
        <v>0</v>
      </c>
      <c r="E47" s="3">
        <v>0</v>
      </c>
      <c r="F47" s="3"/>
      <c r="G47" s="3"/>
      <c r="H47" s="3"/>
      <c r="I47" s="3"/>
      <c r="J47" s="3"/>
      <c r="K47" s="3"/>
      <c r="L47" s="3"/>
      <c r="M47" s="3"/>
      <c r="N47" s="3"/>
      <c r="O47" s="3"/>
      <c r="Q47" s="3">
        <f>SUM(OSRRefD14_27x)+IFERROR(SUM(OSRRefE14_27x),0)</f>
        <v>0</v>
      </c>
    </row>
    <row r="48" spans="1:17" s="39" customFormat="1" ht="15" hidden="1" customHeight="1" outlineLevel="1" x14ac:dyDescent="0.3">
      <c r="A48" s="24"/>
      <c r="B48" s="11" t="str">
        <f>CONCATENATE("          ","5541"," - ","FREIGHT-IN-LOGO GIFTS")</f>
        <v xml:space="preserve">          5541 - FREIGHT-IN-LOGO GIFTS</v>
      </c>
      <c r="C48" s="23"/>
      <c r="D48" s="3">
        <v>0</v>
      </c>
      <c r="E48" s="3">
        <v>0</v>
      </c>
      <c r="F48" s="3">
        <v>0</v>
      </c>
      <c r="G48" s="3"/>
      <c r="H48" s="3"/>
      <c r="I48" s="3"/>
      <c r="J48" s="3"/>
      <c r="K48" s="3"/>
      <c r="L48" s="3"/>
      <c r="M48" s="3"/>
      <c r="N48" s="3"/>
      <c r="O48" s="3"/>
      <c r="Q48" s="3">
        <f>SUM(OSRRefD14_28x)+IFERROR(SUM(OSRRefE14_28x),0)</f>
        <v>0</v>
      </c>
    </row>
    <row r="49" spans="1:17" s="39" customFormat="1" ht="15" hidden="1" customHeight="1" outlineLevel="1" x14ac:dyDescent="0.3">
      <c r="A49" s="24"/>
      <c r="B49" s="11" t="str">
        <f>CONCATENATE("          ","5542"," - ","FREIGHT-IN-EVERYDAY GIFTS")</f>
        <v xml:space="preserve">          5542 - FREIGHT-IN-EVERYDAY GIFTS</v>
      </c>
      <c r="C49" s="23"/>
      <c r="D49" s="3">
        <v>0</v>
      </c>
      <c r="E49" s="3">
        <v>0</v>
      </c>
      <c r="F49" s="3"/>
      <c r="G49" s="3"/>
      <c r="H49" s="3"/>
      <c r="I49" s="3"/>
      <c r="J49" s="3"/>
      <c r="K49" s="3"/>
      <c r="L49" s="3"/>
      <c r="M49" s="3"/>
      <c r="N49" s="3"/>
      <c r="O49" s="3"/>
      <c r="Q49" s="3">
        <f>SUM(OSRRefD14_29x)+IFERROR(SUM(OSRRefE14_29x),0)</f>
        <v>0</v>
      </c>
    </row>
    <row r="50" spans="1:17" s="39" customFormat="1" ht="15" hidden="1" customHeight="1" outlineLevel="1" x14ac:dyDescent="0.3">
      <c r="A50" s="24"/>
      <c r="B50" s="11" t="str">
        <f>CONCATENATE("          ","5544"," - ","FREIGHT-IN-ACCESSORIES")</f>
        <v xml:space="preserve">          5544 - FREIGHT-IN-ACCESSORIES</v>
      </c>
      <c r="C50" s="23"/>
      <c r="D50" s="3">
        <v>0</v>
      </c>
      <c r="E50" s="3">
        <v>0</v>
      </c>
      <c r="F50" s="3"/>
      <c r="G50" s="3"/>
      <c r="H50" s="3"/>
      <c r="I50" s="3"/>
      <c r="J50" s="3"/>
      <c r="K50" s="3"/>
      <c r="L50" s="3"/>
      <c r="M50" s="3"/>
      <c r="N50" s="3"/>
      <c r="O50" s="3"/>
      <c r="Q50" s="3">
        <f>SUM(OSRRefD14_30x)+IFERROR(SUM(OSRRefE14_30x),0)</f>
        <v>0</v>
      </c>
    </row>
    <row r="51" spans="1:17" s="39" customFormat="1" ht="15" hidden="1" customHeight="1" outlineLevel="1" x14ac:dyDescent="0.3">
      <c r="A51" s="24"/>
      <c r="B51" s="11" t="str">
        <f>CONCATENATE("          ","5545"," - ","FREIGHT-IN-SPECIAL ORDERS")</f>
        <v xml:space="preserve">          5545 - FREIGHT-IN-SPECIAL ORDERS</v>
      </c>
      <c r="C51" s="23"/>
      <c r="D51" s="3">
        <v>0</v>
      </c>
      <c r="E51" s="3">
        <v>0</v>
      </c>
      <c r="F51" s="3"/>
      <c r="G51" s="3"/>
      <c r="H51" s="3"/>
      <c r="I51" s="3"/>
      <c r="J51" s="3"/>
      <c r="K51" s="3"/>
      <c r="L51" s="3"/>
      <c r="M51" s="3"/>
      <c r="N51" s="3"/>
      <c r="O51" s="3"/>
      <c r="Q51" s="3">
        <f>SUM(OSRRefD14_31x)+IFERROR(SUM(OSRRefE14_31x),0)</f>
        <v>0</v>
      </c>
    </row>
    <row r="52" spans="1:17" s="39" customFormat="1" ht="15" hidden="1" customHeight="1" outlineLevel="1" x14ac:dyDescent="0.3">
      <c r="A52" s="24"/>
      <c r="B52" s="11" t="str">
        <f>CONCATENATE("          ","5583"," - ","FREIGHT-IN-COMPUTER EQUIPMENT")</f>
        <v xml:space="preserve">          5583 - FREIGHT-IN-COMPUTER EQUIPMENT</v>
      </c>
      <c r="C52" s="23"/>
      <c r="D52" s="3">
        <v>0</v>
      </c>
      <c r="E52" s="3">
        <v>0</v>
      </c>
      <c r="F52" s="3"/>
      <c r="G52" s="3"/>
      <c r="H52" s="3"/>
      <c r="I52" s="3"/>
      <c r="J52" s="3"/>
      <c r="K52" s="3"/>
      <c r="L52" s="3"/>
      <c r="M52" s="3"/>
      <c r="N52" s="3"/>
      <c r="O52" s="3"/>
      <c r="Q52" s="3">
        <f>SUM(OSRRefD14_32x)+IFERROR(SUM(OSRRefE14_32x),0)</f>
        <v>0</v>
      </c>
    </row>
    <row r="53" spans="1:17" ht="15" customHeight="1" x14ac:dyDescent="0.3">
      <c r="A53" s="6"/>
      <c r="B53" s="7"/>
      <c r="C53" s="7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Q53" s="4"/>
    </row>
    <row r="54" spans="1:17" s="37" customFormat="1" ht="15" customHeight="1" x14ac:dyDescent="0.3">
      <c r="A54" s="7"/>
      <c r="B54" s="18" t="s">
        <v>285</v>
      </c>
      <c r="C54" s="18"/>
      <c r="D54" s="9">
        <f t="shared" ref="D54:O54" si="0">IFERROR(+D10-D19,0)</f>
        <v>106011.60999999999</v>
      </c>
      <c r="E54" s="9">
        <f t="shared" si="0"/>
        <v>572036.92000000016</v>
      </c>
      <c r="F54" s="9">
        <f t="shared" si="0"/>
        <v>256742.40999999997</v>
      </c>
      <c r="G54" s="9">
        <f t="shared" si="0"/>
        <v>238472.60000000003</v>
      </c>
      <c r="H54" s="9">
        <f t="shared" si="0"/>
        <v>166264.75999999998</v>
      </c>
      <c r="I54" s="9">
        <f t="shared" si="0"/>
        <v>253837.33000000007</v>
      </c>
      <c r="J54" s="9">
        <f t="shared" si="0"/>
        <v>327961.58000000007</v>
      </c>
      <c r="K54" s="9">
        <f t="shared" si="0"/>
        <v>401488.01000000013</v>
      </c>
      <c r="L54" s="9">
        <f t="shared" si="0"/>
        <v>419582.32999999996</v>
      </c>
      <c r="M54" s="9">
        <f t="shared" si="0"/>
        <v>521870.30999999971</v>
      </c>
      <c r="N54" s="9">
        <f t="shared" si="0"/>
        <v>242300</v>
      </c>
      <c r="O54" s="9">
        <f t="shared" si="0"/>
        <v>145123</v>
      </c>
      <c r="Q54" s="9">
        <f>IFERROR(+Q10-Q19,0)</f>
        <v>3651690.8600000003</v>
      </c>
    </row>
    <row r="55" spans="1:17" s="38" customFormat="1" ht="15" customHeight="1" x14ac:dyDescent="0.3">
      <c r="B55" s="17"/>
      <c r="C55" s="17"/>
      <c r="D55" s="5">
        <f t="shared" ref="D55:O55" si="1">IFERROR(D54/D10,0)</f>
        <v>0.33568743727923839</v>
      </c>
      <c r="E55" s="5">
        <f t="shared" si="1"/>
        <v>0.30818164834021877</v>
      </c>
      <c r="F55" s="5">
        <f t="shared" si="1"/>
        <v>0.33812476323158841</v>
      </c>
      <c r="G55" s="5">
        <f t="shared" si="1"/>
        <v>0.35200799499793045</v>
      </c>
      <c r="H55" s="5">
        <f t="shared" si="1"/>
        <v>0.42932934200512801</v>
      </c>
      <c r="I55" s="5">
        <f t="shared" si="1"/>
        <v>0.40179063685957878</v>
      </c>
      <c r="J55" s="5">
        <f t="shared" si="1"/>
        <v>0.35987078642481679</v>
      </c>
      <c r="K55" s="5">
        <f t="shared" si="1"/>
        <v>0.42261224503286582</v>
      </c>
      <c r="L55" s="5">
        <f t="shared" si="1"/>
        <v>0.39976271425923426</v>
      </c>
      <c r="M55" s="5">
        <f t="shared" si="1"/>
        <v>0.43726920462130425</v>
      </c>
      <c r="N55" s="5">
        <f t="shared" si="1"/>
        <v>0.31535148741001812</v>
      </c>
      <c r="O55" s="5">
        <f t="shared" si="1"/>
        <v>0.37133806366760402</v>
      </c>
      <c r="P55" s="19"/>
      <c r="Q55" s="5">
        <f>IFERROR(Q54/Q10,0)</f>
        <v>0.36918055614467915</v>
      </c>
    </row>
    <row r="56" spans="1:17" ht="15" customHeight="1" x14ac:dyDescent="0.3">
      <c r="A56" s="6"/>
      <c r="B56" s="7"/>
      <c r="C56" s="6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Q56" s="2"/>
    </row>
    <row r="57" spans="1:17" s="37" customFormat="1" ht="15" customHeight="1" x14ac:dyDescent="0.3">
      <c r="A57" s="7"/>
      <c r="B57" s="17" t="s">
        <v>286</v>
      </c>
      <c r="C57" s="7"/>
      <c r="D57" s="12" cm="1">
        <f t="array" ref="D57">SUM(OSRRefD20x_0)</f>
        <v>380314.99999999994</v>
      </c>
      <c r="E57" s="12" cm="1">
        <f t="array" ref="E57">SUM(OSRRefD20x_1)</f>
        <v>354002.82</v>
      </c>
      <c r="F57" s="12" cm="1">
        <f t="array" ref="F57">SUM(OSRRefD20x_2)</f>
        <v>304069.21999999997</v>
      </c>
      <c r="G57" s="12" cm="1">
        <f t="array" ref="G57">SUM(OSRRefD20x_3)</f>
        <v>347091.7</v>
      </c>
      <c r="H57" s="12" cm="1">
        <f t="array" ref="H57">SUM(OSRRefD20x_4)</f>
        <v>277639.68999999994</v>
      </c>
      <c r="I57" s="12" cm="1">
        <f t="array" ref="I57">SUM(OSRRefD20x_5)</f>
        <v>288966.49000000005</v>
      </c>
      <c r="J57" s="12" cm="1">
        <f t="array" ref="J57">SUM(OSRRefD20x_6)</f>
        <v>373069.20999999985</v>
      </c>
      <c r="K57" s="12" cm="1">
        <f t="array" ref="K57">SUM(OSRRefD20x_7)</f>
        <v>328359.31999999995</v>
      </c>
      <c r="L57" s="12" cm="1">
        <f t="array" ref="L57">SUM(OSRRefD20x_8)</f>
        <v>333207.68000000005</v>
      </c>
      <c r="M57" s="12" cm="1">
        <f t="array" ref="M57">SUM(OSRRefD20x_9)</f>
        <v>379832.05999999994</v>
      </c>
      <c r="N57" s="12" cm="1">
        <f t="array" ref="N57">SUM(OSRRefE20x_0)</f>
        <v>299967.53450962505</v>
      </c>
      <c r="O57" s="12" cm="1">
        <f t="array" ref="O57">SUM(OSRRefE20x_1)</f>
        <v>292398.14236607507</v>
      </c>
      <c r="Q57" s="12" cm="1">
        <f t="array" ref="Q57">SUM(OSRRefG20x)</f>
        <v>3958918.8668756993</v>
      </c>
    </row>
    <row r="58" spans="1:17" s="42" customFormat="1" ht="15" customHeight="1" collapsed="1" x14ac:dyDescent="0.3">
      <c r="A58" s="34"/>
      <c r="B58" s="15" t="str">
        <f>CONCATENATE("     ","*Benefits                                         ")</f>
        <v xml:space="preserve">     *Benefits                                         </v>
      </c>
      <c r="C58" s="15"/>
      <c r="D58" s="2">
        <f>SUM(OSRRefD21_0x_0)</f>
        <v>49585.960000000006</v>
      </c>
      <c r="E58" s="2">
        <f>SUM(OSRRefD21_0x_1)</f>
        <v>53095.48000000001</v>
      </c>
      <c r="F58" s="2">
        <f>SUM(OSRRefD21_0x_2)</f>
        <v>47590.890000000014</v>
      </c>
      <c r="G58" s="2">
        <f>SUM(OSRRefD21_0x_3)</f>
        <v>62132.15</v>
      </c>
      <c r="H58" s="2">
        <f>SUM(OSRRefD21_0x_4)</f>
        <v>53595.409999999996</v>
      </c>
      <c r="I58" s="2">
        <f>SUM(OSRRefD21_0x_5)</f>
        <v>46521.07</v>
      </c>
      <c r="J58" s="2">
        <f>SUM(OSRRefD21_0x_6)</f>
        <v>61691.880000000005</v>
      </c>
      <c r="K58" s="2">
        <f>SUM(OSRRefD21_0x_7)</f>
        <v>25602.550000000003</v>
      </c>
      <c r="L58" s="2">
        <f>SUM(OSRRefD21_0x_8)</f>
        <v>45456.06</v>
      </c>
      <c r="M58" s="2">
        <f>SUM(OSRRefD21_0x_9)</f>
        <v>54513.76999999999</v>
      </c>
      <c r="N58" s="2">
        <f>SUM(OSRRefE21_0x_0)</f>
        <v>45977.729750909784</v>
      </c>
      <c r="O58" s="2">
        <f>SUM(OSRRefE21_0x_1)</f>
        <v>45493.554582359786</v>
      </c>
      <c r="Q58" s="3">
        <f>SUM(OSRRefD20_0x)+IFERROR(SUM(OSRRefE20_0x),0)</f>
        <v>591256.50433326955</v>
      </c>
    </row>
    <row r="59" spans="1:17" s="42" customFormat="1" ht="15" hidden="1" customHeight="1" outlineLevel="1" x14ac:dyDescent="0.3">
      <c r="A59" s="34"/>
      <c r="B59" s="11" t="str">
        <f>CONCATENATE("          ","6111"," - ","F.I.C.A.")</f>
        <v xml:space="preserve">          6111 - F.I.C.A.</v>
      </c>
      <c r="C59" s="15"/>
      <c r="D59" s="3">
        <v>10281.57</v>
      </c>
      <c r="E59" s="3">
        <v>12726.71</v>
      </c>
      <c r="F59" s="3">
        <v>8148.35</v>
      </c>
      <c r="G59" s="3">
        <v>11388.1</v>
      </c>
      <c r="H59" s="3">
        <v>9314.69</v>
      </c>
      <c r="I59" s="3">
        <v>7261.21</v>
      </c>
      <c r="J59" s="3">
        <v>7600.1</v>
      </c>
      <c r="K59" s="3">
        <v>8627.36</v>
      </c>
      <c r="L59" s="3">
        <v>7323.68</v>
      </c>
      <c r="M59" s="3">
        <v>10615.91</v>
      </c>
      <c r="N59" s="3">
        <v>9461.2790966420798</v>
      </c>
      <c r="O59" s="3">
        <v>9402.3617108420804</v>
      </c>
      <c r="P59" s="10"/>
      <c r="Q59" s="3">
        <f>SUM(OSRRefD21_0_0x)+IFERROR(SUM(OSRRefE21_0_0x),0)</f>
        <v>112151.32080748415</v>
      </c>
    </row>
    <row r="60" spans="1:17" s="42" customFormat="1" ht="15" hidden="1" customHeight="1" outlineLevel="1" x14ac:dyDescent="0.3">
      <c r="A60" s="34"/>
      <c r="B60" s="11" t="str">
        <f>CONCATENATE("          ","6112"," - ","COMPENSATION INSURANCE")</f>
        <v xml:space="preserve">          6112 - COMPENSATION INSURANCE</v>
      </c>
      <c r="C60" s="15"/>
      <c r="D60" s="3">
        <v>2150.77</v>
      </c>
      <c r="E60" s="3">
        <v>2652.38</v>
      </c>
      <c r="F60" s="3">
        <v>2621.37</v>
      </c>
      <c r="G60" s="3">
        <v>3479.06</v>
      </c>
      <c r="H60" s="3">
        <v>2531.86</v>
      </c>
      <c r="I60" s="3">
        <v>2326.8200000000002</v>
      </c>
      <c r="J60" s="3">
        <v>2379.58</v>
      </c>
      <c r="K60" s="3">
        <v>2898.31</v>
      </c>
      <c r="L60" s="3">
        <v>2582.58</v>
      </c>
      <c r="M60" s="3">
        <v>2414.25</v>
      </c>
      <c r="N60" s="3">
        <v>2553.75785688</v>
      </c>
      <c r="O60" s="3">
        <v>2414.6798398800001</v>
      </c>
      <c r="P60" s="10"/>
      <c r="Q60" s="3">
        <f>SUM(OSRRefD21_0_1x)+IFERROR(SUM(OSRRefE21_0_1x),0)</f>
        <v>31005.417696760003</v>
      </c>
    </row>
    <row r="61" spans="1:17" s="42" customFormat="1" ht="15" hidden="1" customHeight="1" outlineLevel="1" x14ac:dyDescent="0.3">
      <c r="A61" s="34"/>
      <c r="B61" s="11" t="str">
        <f>CONCATENATE("          ","6113"," - ","GROUP INSURANCE")</f>
        <v xml:space="preserve">          6113 - GROUP INSURANCE</v>
      </c>
      <c r="C61" s="15"/>
      <c r="D61" s="3">
        <v>18724.77</v>
      </c>
      <c r="E61" s="3">
        <v>18062.150000000001</v>
      </c>
      <c r="F61" s="3">
        <v>18116.18</v>
      </c>
      <c r="G61" s="3">
        <v>19420.740000000002</v>
      </c>
      <c r="H61" s="3">
        <v>18829.060000000001</v>
      </c>
      <c r="I61" s="3">
        <v>17404.55</v>
      </c>
      <c r="J61" s="3">
        <v>16592.41</v>
      </c>
      <c r="K61" s="3">
        <v>15712.81</v>
      </c>
      <c r="L61" s="3">
        <v>15795.45</v>
      </c>
      <c r="M61" s="3">
        <v>15795.45</v>
      </c>
      <c r="N61" s="3">
        <v>16659.4230769231</v>
      </c>
      <c r="O61" s="3">
        <v>16659.4230769231</v>
      </c>
      <c r="P61" s="10"/>
      <c r="Q61" s="3">
        <f>SUM(OSRRefD21_0_2x)+IFERROR(SUM(OSRRefE21_0_2x),0)</f>
        <v>207772.41615384625</v>
      </c>
    </row>
    <row r="62" spans="1:17" s="42" customFormat="1" ht="15" hidden="1" customHeight="1" outlineLevel="1" x14ac:dyDescent="0.3">
      <c r="A62" s="34"/>
      <c r="B62" s="11" t="str">
        <f>CONCATENATE("          ","6114"," - ","STATE UNEMPLOYMENT INSURANCE")</f>
        <v xml:space="preserve">          6114 - STATE UNEMPLOYMENT INSURANCE</v>
      </c>
      <c r="C62" s="15"/>
      <c r="D62" s="3">
        <v>388.69</v>
      </c>
      <c r="E62" s="3">
        <v>480.4</v>
      </c>
      <c r="F62" s="3">
        <v>473.03</v>
      </c>
      <c r="G62" s="3">
        <v>625.22</v>
      </c>
      <c r="H62" s="3">
        <v>454.47</v>
      </c>
      <c r="I62" s="3">
        <v>418.44</v>
      </c>
      <c r="J62" s="3">
        <v>428.31</v>
      </c>
      <c r="K62" s="3">
        <v>524.58000000000004</v>
      </c>
      <c r="L62" s="3">
        <v>463.04</v>
      </c>
      <c r="M62" s="3">
        <v>433.28</v>
      </c>
      <c r="N62" s="3">
        <v>343.77509611846199</v>
      </c>
      <c r="O62" s="3">
        <v>325.05305536846203</v>
      </c>
      <c r="P62" s="10"/>
      <c r="Q62" s="3">
        <f>SUM(OSRRefD21_0_3x)+IFERROR(SUM(OSRRefE21_0_3x),0)</f>
        <v>5358.2881514869241</v>
      </c>
    </row>
    <row r="63" spans="1:17" s="42" customFormat="1" ht="15" hidden="1" customHeight="1" outlineLevel="1" x14ac:dyDescent="0.3">
      <c r="A63" s="34"/>
      <c r="B63" s="11" t="str">
        <f>CONCATENATE("          ","6115"," - ","P.E.R.S.")</f>
        <v xml:space="preserve">          6115 - P.E.R.S.</v>
      </c>
      <c r="C63" s="15"/>
      <c r="D63" s="3">
        <v>6430.13</v>
      </c>
      <c r="E63" s="3">
        <v>6395.48</v>
      </c>
      <c r="F63" s="3">
        <v>6395.48</v>
      </c>
      <c r="G63" s="3">
        <v>9593.2199999999993</v>
      </c>
      <c r="H63" s="3">
        <v>8674.23</v>
      </c>
      <c r="I63" s="3">
        <v>5807</v>
      </c>
      <c r="J63" s="3">
        <v>5830.95</v>
      </c>
      <c r="K63" s="3">
        <v>7044.52</v>
      </c>
      <c r="L63" s="3">
        <v>5116.87</v>
      </c>
      <c r="M63" s="3">
        <v>7232.4</v>
      </c>
      <c r="N63" s="3">
        <v>4417.7643771846097</v>
      </c>
      <c r="O63" s="3">
        <v>4417.7643771846097</v>
      </c>
      <c r="P63" s="10"/>
      <c r="Q63" s="3">
        <f>SUM(OSRRefD21_0_4x)+IFERROR(SUM(OSRRefE21_0_4x),0)</f>
        <v>77355.808754369224</v>
      </c>
    </row>
    <row r="64" spans="1:17" s="42" customFormat="1" ht="15" hidden="1" customHeight="1" outlineLevel="1" x14ac:dyDescent="0.3">
      <c r="A64" s="34"/>
      <c r="B64" s="11" t="str">
        <f>CONCATENATE("          ","6116"," - ","EDUCATIONAL BENEFITS")</f>
        <v xml:space="preserve">          6116 - EDUCATIONAL BENEFITS</v>
      </c>
      <c r="C64" s="15"/>
      <c r="D64" s="3"/>
      <c r="E64" s="3"/>
      <c r="F64" s="3"/>
      <c r="G64" s="3"/>
      <c r="H64" s="3"/>
      <c r="I64" s="3"/>
      <c r="J64" s="3"/>
      <c r="K64" s="3"/>
      <c r="L64" s="3"/>
      <c r="M64" s="3"/>
      <c r="N64" s="3">
        <v>0</v>
      </c>
      <c r="O64" s="3">
        <v>0</v>
      </c>
      <c r="P64" s="10"/>
      <c r="Q64" s="3">
        <f>SUM(OSRRefD21_0_5x)+IFERROR(SUM(OSRRefE21_0_5x),0)</f>
        <v>0</v>
      </c>
    </row>
    <row r="65" spans="1:17" s="42" customFormat="1" ht="15" hidden="1" customHeight="1" outlineLevel="1" x14ac:dyDescent="0.3">
      <c r="A65" s="34"/>
      <c r="B65" s="11" t="str">
        <f>CONCATENATE("          ","6117"," - ","RETIREMENT STAFF HOURLY")</f>
        <v xml:space="preserve">          6117 - RETIREMENT STAFF HOURLY</v>
      </c>
      <c r="C65" s="15"/>
      <c r="D65" s="3">
        <v>715.55</v>
      </c>
      <c r="E65" s="3">
        <v>1022.68</v>
      </c>
      <c r="F65" s="3">
        <v>484.12</v>
      </c>
      <c r="G65" s="3">
        <v>-363.97</v>
      </c>
      <c r="H65" s="3">
        <v>708.42</v>
      </c>
      <c r="I65" s="3">
        <v>710.27</v>
      </c>
      <c r="J65" s="3">
        <v>1148.6500000000001</v>
      </c>
      <c r="K65" s="3">
        <v>821.53</v>
      </c>
      <c r="L65" s="3">
        <v>895.07</v>
      </c>
      <c r="M65" s="3">
        <v>893.02</v>
      </c>
      <c r="N65" s="3"/>
      <c r="O65" s="3"/>
      <c r="P65" s="10"/>
      <c r="Q65" s="3">
        <f>SUM(OSRRefD21_0_6x)+IFERROR(SUM(OSRRefE21_0_6x),0)</f>
        <v>7035.3399999999983</v>
      </c>
    </row>
    <row r="66" spans="1:17" s="42" customFormat="1" ht="15" hidden="1" customHeight="1" outlineLevel="1" x14ac:dyDescent="0.3">
      <c r="A66" s="34"/>
      <c r="B66" s="11" t="str">
        <f>CONCATENATE("          ","6118"," - ","VACATION")</f>
        <v xml:space="preserve">          6118 - VACATION</v>
      </c>
      <c r="C66" s="15"/>
      <c r="D66" s="3">
        <v>5468.55</v>
      </c>
      <c r="E66" s="3">
        <v>5611.54</v>
      </c>
      <c r="F66" s="3">
        <v>4797.8</v>
      </c>
      <c r="G66" s="3">
        <v>7935.31</v>
      </c>
      <c r="H66" s="3">
        <v>5865.59</v>
      </c>
      <c r="I66" s="3">
        <v>5630.2</v>
      </c>
      <c r="J66" s="3">
        <v>10030.41</v>
      </c>
      <c r="K66" s="3">
        <v>8519.75</v>
      </c>
      <c r="L66" s="3">
        <v>5478.82</v>
      </c>
      <c r="M66" s="3">
        <v>7921.38</v>
      </c>
      <c r="N66" s="3">
        <v>3972.4748426692299</v>
      </c>
      <c r="O66" s="3">
        <v>3972.4748426692299</v>
      </c>
      <c r="P66" s="10"/>
      <c r="Q66" s="3">
        <f>SUM(OSRRefD21_0_7x)+IFERROR(SUM(OSRRefE21_0_7x),0)</f>
        <v>75204.299685338454</v>
      </c>
    </row>
    <row r="67" spans="1:17" s="42" customFormat="1" ht="15" hidden="1" customHeight="1" outlineLevel="1" x14ac:dyDescent="0.3">
      <c r="A67" s="34"/>
      <c r="B67" s="11" t="str">
        <f>CONCATENATE("          ","6119"," - ","SICK LEAVE")</f>
        <v xml:space="preserve">          6119 - SICK LEAVE</v>
      </c>
      <c r="C67" s="15"/>
      <c r="D67" s="3">
        <v>3967.23</v>
      </c>
      <c r="E67" s="3">
        <v>3959.85</v>
      </c>
      <c r="F67" s="3">
        <v>4045.97</v>
      </c>
      <c r="G67" s="3">
        <v>5810.98</v>
      </c>
      <c r="H67" s="3">
        <v>4021.51</v>
      </c>
      <c r="I67" s="3">
        <v>4021.51</v>
      </c>
      <c r="J67" s="3">
        <v>14559.46</v>
      </c>
      <c r="K67" s="3">
        <v>-22282.799999999999</v>
      </c>
      <c r="L67" s="3">
        <v>4128.58</v>
      </c>
      <c r="M67" s="3">
        <v>5856.95</v>
      </c>
      <c r="N67" s="3">
        <v>5944.2554044922999</v>
      </c>
      <c r="O67" s="3">
        <v>5676.7976794922997</v>
      </c>
      <c r="P67" s="10"/>
      <c r="Q67" s="3">
        <f>SUM(OSRRefD21_0_8x)+IFERROR(SUM(OSRRefE21_0_8x),0)</f>
        <v>39710.293083984601</v>
      </c>
    </row>
    <row r="68" spans="1:17" s="42" customFormat="1" ht="15" hidden="1" customHeight="1" outlineLevel="1" x14ac:dyDescent="0.3">
      <c r="A68" s="34"/>
      <c r="B68" s="11" t="str">
        <f>CONCATENATE("          ","6156"," - ","EMPLOYEE MEALS")</f>
        <v xml:space="preserve">          6156 - EMPLOYEE MEALS</v>
      </c>
      <c r="C68" s="15"/>
      <c r="D68" s="3">
        <v>1458.7</v>
      </c>
      <c r="E68" s="3">
        <v>2184.29</v>
      </c>
      <c r="F68" s="3">
        <v>2508.59</v>
      </c>
      <c r="G68" s="3">
        <v>4243.49</v>
      </c>
      <c r="H68" s="3">
        <v>3195.58</v>
      </c>
      <c r="I68" s="3">
        <v>2941.07</v>
      </c>
      <c r="J68" s="3">
        <v>3122.01</v>
      </c>
      <c r="K68" s="3">
        <v>3736.49</v>
      </c>
      <c r="L68" s="3">
        <v>3671.97</v>
      </c>
      <c r="M68" s="3">
        <v>3351.13</v>
      </c>
      <c r="N68" s="3">
        <v>2625</v>
      </c>
      <c r="O68" s="3">
        <v>2625</v>
      </c>
      <c r="P68" s="10"/>
      <c r="Q68" s="3">
        <f>SUM(OSRRefD21_0_9x)+IFERROR(SUM(OSRRefE21_0_9x),0)</f>
        <v>35663.320000000007</v>
      </c>
    </row>
    <row r="69" spans="1:17" s="42" customFormat="1" ht="15" customHeight="1" collapsed="1" x14ac:dyDescent="0.3">
      <c r="A69" s="34"/>
      <c r="B69" s="15" t="str">
        <f>CONCATENATE("     ","*Payroll                                          ")</f>
        <v xml:space="preserve">     *Payroll                                          </v>
      </c>
      <c r="C69" s="15"/>
      <c r="D69" s="2">
        <f>SUM(OSRRefD21_1x_0)</f>
        <v>176783.51</v>
      </c>
      <c r="E69" s="2">
        <f>SUM(OSRRefD21_1x_1)</f>
        <v>195958.27</v>
      </c>
      <c r="F69" s="2">
        <f>SUM(OSRRefD21_1x_2)</f>
        <v>168420.47</v>
      </c>
      <c r="G69" s="2">
        <f>SUM(OSRRefD21_1x_3)</f>
        <v>184744.09000000003</v>
      </c>
      <c r="H69" s="2">
        <f>SUM(OSRRefD21_1x_4)</f>
        <v>130608.32000000002</v>
      </c>
      <c r="I69" s="2">
        <f>SUM(OSRRefD21_1x_5)</f>
        <v>158655.63</v>
      </c>
      <c r="J69" s="2">
        <f>SUM(OSRRefD21_1x_6)</f>
        <v>204928.52000000002</v>
      </c>
      <c r="K69" s="2">
        <f>SUM(OSRRefD21_1x_7)</f>
        <v>195739.82000000004</v>
      </c>
      <c r="L69" s="2">
        <f>SUM(OSRRefD21_1x_8)</f>
        <v>177397.82</v>
      </c>
      <c r="M69" s="2">
        <f>SUM(OSRRefD21_1x_9)</f>
        <v>203683.69999999998</v>
      </c>
      <c r="N69" s="2">
        <f>SUM(OSRRefE21_1x_0)</f>
        <v>156682.80475871527</v>
      </c>
      <c r="O69" s="2">
        <f>SUM(OSRRefE21_1x_1)</f>
        <v>147608.58778371528</v>
      </c>
      <c r="Q69" s="3">
        <f>SUM(OSRRefD20_1x)+IFERROR(SUM(OSRRefE20_1x),0)</f>
        <v>2101211.5425424306</v>
      </c>
    </row>
    <row r="70" spans="1:17" s="42" customFormat="1" ht="15" hidden="1" customHeight="1" outlineLevel="1" x14ac:dyDescent="0.3">
      <c r="A70" s="34"/>
      <c r="B70" s="11" t="str">
        <f>CONCATENATE("          ","6001"," - ","ADMINISTRATIVE SALARIES")</f>
        <v xml:space="preserve">          6001 - ADMINISTRATIVE SALARIES</v>
      </c>
      <c r="C70" s="15"/>
      <c r="D70" s="3">
        <v>5599.1</v>
      </c>
      <c r="E70" s="3">
        <v>4479.1000000000004</v>
      </c>
      <c r="F70" s="3">
        <v>4479.1000000000004</v>
      </c>
      <c r="G70" s="3">
        <v>4926.78</v>
      </c>
      <c r="H70" s="3">
        <v>4192.43</v>
      </c>
      <c r="I70" s="3">
        <v>4658.26</v>
      </c>
      <c r="J70" s="3">
        <v>5357.43</v>
      </c>
      <c r="K70" s="3">
        <v>7265.35</v>
      </c>
      <c r="L70" s="3">
        <v>3959.51</v>
      </c>
      <c r="M70" s="3">
        <v>2749.47</v>
      </c>
      <c r="N70" s="3">
        <v>4139.8076923076896</v>
      </c>
      <c r="O70" s="3">
        <v>4139.8076923076896</v>
      </c>
      <c r="P70" s="10"/>
      <c r="Q70" s="3">
        <f>SUM(OSRRefD21_1_0x)+IFERROR(SUM(OSRRefE21_1_0x),0)</f>
        <v>55946.145384615389</v>
      </c>
    </row>
    <row r="71" spans="1:17" s="42" customFormat="1" ht="15" hidden="1" customHeight="1" outlineLevel="1" x14ac:dyDescent="0.3">
      <c r="A71" s="34"/>
      <c r="B71" s="11" t="str">
        <f>CONCATENATE("          ","6002"," - ","STAFF SALARIES")</f>
        <v xml:space="preserve">          6002 - STAFF SALARIES</v>
      </c>
      <c r="C71" s="15"/>
      <c r="D71" s="3">
        <v>73650.66</v>
      </c>
      <c r="E71" s="3">
        <v>59729.71</v>
      </c>
      <c r="F71" s="3">
        <v>60625.02</v>
      </c>
      <c r="G71" s="3">
        <v>64597.599999999999</v>
      </c>
      <c r="H71" s="3">
        <v>40605.300000000003</v>
      </c>
      <c r="I71" s="3">
        <v>53983.72</v>
      </c>
      <c r="J71" s="3">
        <v>65089.16</v>
      </c>
      <c r="K71" s="3">
        <v>64793.51</v>
      </c>
      <c r="L71" s="3">
        <v>48790.67</v>
      </c>
      <c r="M71" s="3">
        <v>60588.65</v>
      </c>
      <c r="N71" s="3">
        <v>42300.635173407602</v>
      </c>
      <c r="O71" s="3">
        <v>42300.635173407602</v>
      </c>
      <c r="P71" s="10"/>
      <c r="Q71" s="3">
        <f>SUM(OSRRefD21_1_1x)+IFERROR(SUM(OSRRefE21_1_1x),0)</f>
        <v>677055.27034681535</v>
      </c>
    </row>
    <row r="72" spans="1:17" s="42" customFormat="1" ht="15" hidden="1" customHeight="1" outlineLevel="1" x14ac:dyDescent="0.3">
      <c r="A72" s="34"/>
      <c r="B72" s="11" t="str">
        <f>CONCATENATE("          ","6003"," - ","STAFF HOURLY-9 MONTH")</f>
        <v xml:space="preserve">          6003 - STAFF HOURLY-9 MONTH</v>
      </c>
      <c r="C72" s="15"/>
      <c r="D72" s="3"/>
      <c r="E72" s="3"/>
      <c r="F72" s="3"/>
      <c r="G72" s="3"/>
      <c r="H72" s="3"/>
      <c r="I72" s="3"/>
      <c r="J72" s="3"/>
      <c r="K72" s="3"/>
      <c r="L72" s="3"/>
      <c r="M72" s="3"/>
      <c r="N72" s="3">
        <v>0</v>
      </c>
      <c r="O72" s="3">
        <v>0</v>
      </c>
      <c r="P72" s="10"/>
      <c r="Q72" s="3">
        <f>SUM(OSRRefD21_1_2x)+IFERROR(SUM(OSRRefE21_1_2x),0)</f>
        <v>0</v>
      </c>
    </row>
    <row r="73" spans="1:17" s="42" customFormat="1" ht="15" hidden="1" customHeight="1" outlineLevel="1" x14ac:dyDescent="0.3">
      <c r="A73" s="34"/>
      <c r="B73" s="11" t="str">
        <f>CONCATENATE("          ","6004"," - ","STAFF HOURLY")</f>
        <v xml:space="preserve">          6004 - STAFF HOURLY</v>
      </c>
      <c r="C73" s="15"/>
      <c r="D73" s="3">
        <v>18694.88</v>
      </c>
      <c r="E73" s="3">
        <v>20788.150000000001</v>
      </c>
      <c r="F73" s="3">
        <v>25738.89</v>
      </c>
      <c r="G73" s="3">
        <v>35524.94</v>
      </c>
      <c r="H73" s="3">
        <v>24617.21</v>
      </c>
      <c r="I73" s="3">
        <v>24852.52</v>
      </c>
      <c r="J73" s="3">
        <v>24469.11</v>
      </c>
      <c r="K73" s="3">
        <v>35616.870000000003</v>
      </c>
      <c r="L73" s="3">
        <v>25018.53</v>
      </c>
      <c r="M73" s="3">
        <v>43790.02</v>
      </c>
      <c r="N73" s="3">
        <v>39473.713567999999</v>
      </c>
      <c r="O73" s="3">
        <v>38087.713567999999</v>
      </c>
      <c r="P73" s="10"/>
      <c r="Q73" s="3">
        <f>SUM(OSRRefD21_1_3x)+IFERROR(SUM(OSRRefE21_1_3x),0)</f>
        <v>356672.54713600001</v>
      </c>
    </row>
    <row r="74" spans="1:17" s="42" customFormat="1" ht="15" hidden="1" customHeight="1" outlineLevel="1" x14ac:dyDescent="0.3">
      <c r="A74" s="34"/>
      <c r="B74" s="11" t="str">
        <f>CONCATENATE("          ","6005"," - ","TEMPORARY WAGES-HOURLY")</f>
        <v xml:space="preserve">          6005 - TEMPORARY WAGES-HOURLY</v>
      </c>
      <c r="C74" s="15"/>
      <c r="D74" s="3">
        <v>9447.7999999999993</v>
      </c>
      <c r="E74" s="3">
        <v>9622.7900000000009</v>
      </c>
      <c r="F74" s="3">
        <v>10113.4</v>
      </c>
      <c r="G74" s="3">
        <v>13892.06</v>
      </c>
      <c r="H74" s="3">
        <v>8364.27</v>
      </c>
      <c r="I74" s="3">
        <v>8286.26</v>
      </c>
      <c r="J74" s="3">
        <v>8438.68</v>
      </c>
      <c r="K74" s="3">
        <v>9430.6299999999992</v>
      </c>
      <c r="L74" s="3">
        <v>6556.3</v>
      </c>
      <c r="M74" s="3">
        <v>9261.32</v>
      </c>
      <c r="N74" s="3">
        <v>2252.5</v>
      </c>
      <c r="O74" s="3">
        <v>2396.66</v>
      </c>
      <c r="P74" s="10"/>
      <c r="Q74" s="3">
        <f>SUM(OSRRefD21_1_4x)+IFERROR(SUM(OSRRefE21_1_4x),0)</f>
        <v>98062.670000000013</v>
      </c>
    </row>
    <row r="75" spans="1:17" s="42" customFormat="1" ht="15" hidden="1" customHeight="1" outlineLevel="1" x14ac:dyDescent="0.3">
      <c r="A75" s="34"/>
      <c r="B75" s="11" t="str">
        <f>CONCATENATE("          ","6006"," - ","TEMPORARY PART TIME")</f>
        <v xml:space="preserve">          6006 - TEMPORARY PART TIME</v>
      </c>
      <c r="C75" s="15"/>
      <c r="D75" s="3">
        <v>2864.4</v>
      </c>
      <c r="E75" s="3">
        <v>3273.79</v>
      </c>
      <c r="F75" s="3">
        <v>2957.46</v>
      </c>
      <c r="G75" s="3">
        <v>781.97</v>
      </c>
      <c r="H75" s="3"/>
      <c r="I75" s="3"/>
      <c r="J75" s="3">
        <v>2092.35</v>
      </c>
      <c r="K75" s="3">
        <v>2310.4</v>
      </c>
      <c r="L75" s="3">
        <v>1071.74</v>
      </c>
      <c r="M75" s="3">
        <v>2482.0300000000002</v>
      </c>
      <c r="N75" s="3">
        <v>0</v>
      </c>
      <c r="O75" s="3">
        <v>0</v>
      </c>
      <c r="P75" s="10"/>
      <c r="Q75" s="3">
        <f>SUM(OSRRefD21_1_5x)+IFERROR(SUM(OSRRefE21_1_5x),0)</f>
        <v>17834.14</v>
      </c>
    </row>
    <row r="76" spans="1:17" s="42" customFormat="1" ht="15" hidden="1" customHeight="1" outlineLevel="1" x14ac:dyDescent="0.3">
      <c r="A76" s="34"/>
      <c r="B76" s="11" t="str">
        <f>CONCATENATE("          ","6007"," - ","STUDENT HOURLY")</f>
        <v xml:space="preserve">          6007 - STUDENT HOURLY</v>
      </c>
      <c r="C76" s="15"/>
      <c r="D76" s="3">
        <v>56742.32</v>
      </c>
      <c r="E76" s="3">
        <v>82627.88</v>
      </c>
      <c r="F76" s="3">
        <v>53703.839999999997</v>
      </c>
      <c r="G76" s="3">
        <v>53383.26</v>
      </c>
      <c r="H76" s="3">
        <v>44752.9</v>
      </c>
      <c r="I76" s="3">
        <v>59174.55</v>
      </c>
      <c r="J76" s="3">
        <v>93822.85</v>
      </c>
      <c r="K76" s="3">
        <v>61454.89</v>
      </c>
      <c r="L76" s="3">
        <v>81697.75</v>
      </c>
      <c r="M76" s="3">
        <v>65954.17</v>
      </c>
      <c r="N76" s="3">
        <v>30466.416000000001</v>
      </c>
      <c r="O76" s="3">
        <v>31151.771349999999</v>
      </c>
      <c r="P76" s="10"/>
      <c r="Q76" s="3">
        <f>SUM(OSRRefD21_1_6x)+IFERROR(SUM(OSRRefE21_1_6x),0)</f>
        <v>714932.59735000005</v>
      </c>
    </row>
    <row r="77" spans="1:17" s="42" customFormat="1" ht="15" hidden="1" customHeight="1" outlineLevel="1" x14ac:dyDescent="0.3">
      <c r="A77" s="34"/>
      <c r="B77" s="11" t="str">
        <f>CONCATENATE("          ","6008"," - ","STUDENT HOURLY-FICA EXEMPT")</f>
        <v xml:space="preserve">          6008 - STUDENT HOURLY-FICA EXEMPT</v>
      </c>
      <c r="C77" s="15"/>
      <c r="D77" s="3">
        <v>9784.35</v>
      </c>
      <c r="E77" s="3">
        <v>15436.85</v>
      </c>
      <c r="F77" s="3">
        <v>10802.76</v>
      </c>
      <c r="G77" s="3">
        <v>11637.48</v>
      </c>
      <c r="H77" s="3">
        <v>8076.21</v>
      </c>
      <c r="I77" s="3">
        <v>7700.32</v>
      </c>
      <c r="J77" s="3">
        <v>5658.94</v>
      </c>
      <c r="K77" s="3">
        <v>14868.17</v>
      </c>
      <c r="L77" s="3">
        <v>10303.32</v>
      </c>
      <c r="M77" s="3">
        <v>18858.04</v>
      </c>
      <c r="N77" s="3">
        <v>38049.732324999997</v>
      </c>
      <c r="O77" s="3">
        <v>29532</v>
      </c>
      <c r="P77" s="10"/>
      <c r="Q77" s="3">
        <f>SUM(OSRRefD21_1_7x)+IFERROR(SUM(OSRRefE21_1_7x),0)</f>
        <v>180708.17232499999</v>
      </c>
    </row>
    <row r="78" spans="1:17" s="42" customFormat="1" ht="15" hidden="1" customHeight="1" outlineLevel="1" x14ac:dyDescent="0.3">
      <c r="A78" s="34"/>
      <c r="B78" s="11" t="str">
        <f>CONCATENATE("          ","6009"," - ","TEMPORARY-SEASONAL")</f>
        <v xml:space="preserve">          6009 - TEMPORARY-SEASONAL</v>
      </c>
      <c r="C78" s="15"/>
      <c r="D78" s="3"/>
      <c r="E78" s="3"/>
      <c r="F78" s="3"/>
      <c r="G78" s="3"/>
      <c r="H78" s="3"/>
      <c r="I78" s="3"/>
      <c r="J78" s="3"/>
      <c r="K78" s="3"/>
      <c r="L78" s="3"/>
      <c r="M78" s="3"/>
      <c r="N78" s="3">
        <v>0</v>
      </c>
      <c r="O78" s="3">
        <v>0</v>
      </c>
      <c r="P78" s="10"/>
      <c r="Q78" s="3">
        <f>SUM(OSRRefD21_1_8x)+IFERROR(SUM(OSRRefE21_1_8x),0)</f>
        <v>0</v>
      </c>
    </row>
    <row r="79" spans="1:17" s="42" customFormat="1" ht="15" hidden="1" customHeight="1" outlineLevel="1" x14ac:dyDescent="0.3">
      <c r="A79" s="34"/>
      <c r="B79" s="11" t="str">
        <f>CONCATENATE("          ","6010"," - ","GRATUITY")</f>
        <v xml:space="preserve">          6010 - GRATUITY</v>
      </c>
      <c r="C79" s="15"/>
      <c r="D79" s="3"/>
      <c r="E79" s="3"/>
      <c r="F79" s="3"/>
      <c r="G79" s="3"/>
      <c r="H79" s="3"/>
      <c r="I79" s="3"/>
      <c r="J79" s="3"/>
      <c r="K79" s="3"/>
      <c r="L79" s="3"/>
      <c r="M79" s="3"/>
      <c r="N79" s="3">
        <v>0</v>
      </c>
      <c r="O79" s="3">
        <v>0</v>
      </c>
      <c r="P79" s="10"/>
      <c r="Q79" s="3">
        <f>SUM(OSRRefD21_1_9x)+IFERROR(SUM(OSRRefE21_1_9x),0)</f>
        <v>0</v>
      </c>
    </row>
    <row r="80" spans="1:17" s="42" customFormat="1" ht="15" customHeight="1" collapsed="1" x14ac:dyDescent="0.3">
      <c r="A80" s="34"/>
      <c r="B80" s="15" t="str">
        <f>CONCATENATE("     ","Advertising/Promo                                 ")</f>
        <v xml:space="preserve">     Advertising/Promo                                 </v>
      </c>
      <c r="C80" s="15"/>
      <c r="D80" s="2">
        <f>SUM(OSRRefD21_2x_0)</f>
        <v>539.04999999999995</v>
      </c>
      <c r="E80" s="2">
        <f>SUM(OSRRefD21_2x_1)</f>
        <v>1582.16</v>
      </c>
      <c r="F80" s="2">
        <f>SUM(OSRRefD21_2x_2)</f>
        <v>183.03</v>
      </c>
      <c r="G80" s="2">
        <f>SUM(OSRRefD21_2x_3)</f>
        <v>957.25</v>
      </c>
      <c r="H80" s="2">
        <f>SUM(OSRRefD21_2x_4)</f>
        <v>1689.33</v>
      </c>
      <c r="I80" s="2">
        <f>SUM(OSRRefD21_2x_5)</f>
        <v>722.3</v>
      </c>
      <c r="J80" s="2">
        <f>SUM(OSRRefD21_2x_6)</f>
        <v>750.91</v>
      </c>
      <c r="K80" s="2">
        <f>SUM(OSRRefD21_2x_7)</f>
        <v>396.83</v>
      </c>
      <c r="L80" s="2">
        <f>SUM(OSRRefD21_2x_8)</f>
        <v>2357.73</v>
      </c>
      <c r="M80" s="2">
        <f>SUM(OSRRefD21_2x_9)</f>
        <v>3210.66</v>
      </c>
      <c r="N80" s="2">
        <f>SUM(OSRRefE21_2x_0)</f>
        <v>600</v>
      </c>
      <c r="O80" s="2">
        <f>SUM(OSRRefE21_2x_1)</f>
        <v>500</v>
      </c>
      <c r="Q80" s="3">
        <f>SUM(OSRRefD20_2x)+IFERROR(SUM(OSRRefE20_2x),0)</f>
        <v>13489.25</v>
      </c>
    </row>
    <row r="81" spans="1:17" s="42" customFormat="1" ht="15" hidden="1" customHeight="1" outlineLevel="1" x14ac:dyDescent="0.3">
      <c r="A81" s="34"/>
      <c r="B81" s="11" t="str">
        <f>CONCATENATE("          ","6362"," - ","ADVERTISING EXPENSE")</f>
        <v xml:space="preserve">          6362 - ADVERTISING EXPENSE</v>
      </c>
      <c r="C81" s="15"/>
      <c r="D81" s="3">
        <v>539.04999999999995</v>
      </c>
      <c r="E81" s="3">
        <v>1582.16</v>
      </c>
      <c r="F81" s="3">
        <v>183.03</v>
      </c>
      <c r="G81" s="3">
        <v>957.25</v>
      </c>
      <c r="H81" s="3">
        <v>1689.33</v>
      </c>
      <c r="I81" s="3">
        <v>722.3</v>
      </c>
      <c r="J81" s="3">
        <v>750.91</v>
      </c>
      <c r="K81" s="3">
        <v>396.83</v>
      </c>
      <c r="L81" s="3">
        <v>2357.73</v>
      </c>
      <c r="M81" s="3">
        <v>3210.66</v>
      </c>
      <c r="N81" s="3">
        <v>600</v>
      </c>
      <c r="O81" s="3">
        <v>500</v>
      </c>
      <c r="P81" s="10"/>
      <c r="Q81" s="3">
        <f>SUM(OSRRefD21_2_0x)+IFERROR(SUM(OSRRefE21_2_0x),0)</f>
        <v>13489.25</v>
      </c>
    </row>
    <row r="82" spans="1:17" s="42" customFormat="1" ht="15" customHeight="1" collapsed="1" x14ac:dyDescent="0.3">
      <c r="A82" s="34"/>
      <c r="B82" s="15" t="str">
        <f>CONCATENATE("     ","Bad Debts/Over/Short                              ")</f>
        <v xml:space="preserve">     Bad Debts/Over/Short                              </v>
      </c>
      <c r="C82" s="15"/>
      <c r="D82" s="2">
        <f>SUM(OSRRefD21_3x_0)</f>
        <v>1.27</v>
      </c>
      <c r="E82" s="2">
        <f>SUM(OSRRefD21_3x_1)</f>
        <v>150.76</v>
      </c>
      <c r="F82" s="2">
        <f>SUM(OSRRefD21_3x_2)</f>
        <v>96.88</v>
      </c>
      <c r="G82" s="2">
        <f>SUM(OSRRefD21_3x_3)</f>
        <v>-30.42</v>
      </c>
      <c r="H82" s="2">
        <f>SUM(OSRRefD21_3x_4)</f>
        <v>-40.770000000000003</v>
      </c>
      <c r="I82" s="2">
        <f>SUM(OSRRefD21_3x_5)</f>
        <v>-24.66</v>
      </c>
      <c r="J82" s="2">
        <f>SUM(OSRRefD21_3x_6)</f>
        <v>-2.2799999999999998</v>
      </c>
      <c r="K82" s="2">
        <f>SUM(OSRRefD21_3x_7)</f>
        <v>-51.1</v>
      </c>
      <c r="L82" s="2">
        <f>SUM(OSRRefD21_3x_8)</f>
        <v>-46.63</v>
      </c>
      <c r="M82" s="2">
        <f>SUM(OSRRefD21_3x_9)</f>
        <v>-46.29</v>
      </c>
      <c r="N82" s="2">
        <f>SUM(OSRRefE21_3x_0)</f>
        <v>235</v>
      </c>
      <c r="O82" s="2">
        <f>SUM(OSRRefE21_3x_1)</f>
        <v>235</v>
      </c>
      <c r="Q82" s="3">
        <f>SUM(OSRRefD20_3x)+IFERROR(SUM(OSRRefE20_3x),0)</f>
        <v>476.76</v>
      </c>
    </row>
    <row r="83" spans="1:17" s="42" customFormat="1" ht="15" hidden="1" customHeight="1" outlineLevel="1" x14ac:dyDescent="0.3">
      <c r="A83" s="34"/>
      <c r="B83" s="11" t="str">
        <f>CONCATENATE("          ","6272"," - ","CASH (OVER/SHORT)")</f>
        <v xml:space="preserve">          6272 - CASH (OVER/SHORT)</v>
      </c>
      <c r="C83" s="15"/>
      <c r="D83" s="3">
        <v>1.27</v>
      </c>
      <c r="E83" s="3">
        <v>150.76</v>
      </c>
      <c r="F83" s="3">
        <v>96.88</v>
      </c>
      <c r="G83" s="3">
        <v>-30.42</v>
      </c>
      <c r="H83" s="3">
        <v>-40.770000000000003</v>
      </c>
      <c r="I83" s="3">
        <v>-24.66</v>
      </c>
      <c r="J83" s="3">
        <v>-2.2799999999999998</v>
      </c>
      <c r="K83" s="3">
        <v>-51.1</v>
      </c>
      <c r="L83" s="3">
        <v>-46.63</v>
      </c>
      <c r="M83" s="3">
        <v>-46.29</v>
      </c>
      <c r="N83" s="3">
        <v>235</v>
      </c>
      <c r="O83" s="3">
        <v>235</v>
      </c>
      <c r="P83" s="10"/>
      <c r="Q83" s="3">
        <f>SUM(OSRRefD21_3_0x)+IFERROR(SUM(OSRRefE21_3_0x),0)</f>
        <v>476.76</v>
      </c>
    </row>
    <row r="84" spans="1:17" s="42" customFormat="1" ht="15" customHeight="1" collapsed="1" x14ac:dyDescent="0.3">
      <c r="A84" s="34"/>
      <c r="B84" s="15" t="str">
        <f>CONCATENATE("     ","Bank/card Fees                                    ")</f>
        <v xml:space="preserve">     Bank/card Fees                                    </v>
      </c>
      <c r="C84" s="15"/>
      <c r="D84" s="2">
        <f>SUM(OSRRefD21_4x_0)</f>
        <v>3961.88</v>
      </c>
      <c r="E84" s="2">
        <f>SUM(OSRRefD21_4x_1)</f>
        <v>23002.82</v>
      </c>
      <c r="F84" s="2">
        <f>SUM(OSRRefD21_4x_2)</f>
        <v>10623.99</v>
      </c>
      <c r="G84" s="2">
        <f>SUM(OSRRefD21_4x_3)</f>
        <v>12740.8</v>
      </c>
      <c r="H84" s="2">
        <f>SUM(OSRRefD21_4x_4)</f>
        <v>7877.66</v>
      </c>
      <c r="I84" s="2">
        <f>SUM(OSRRefD21_4x_5)</f>
        <v>9159.44</v>
      </c>
      <c r="J84" s="2">
        <f>SUM(OSRRefD21_4x_6)</f>
        <v>12256.54</v>
      </c>
      <c r="K84" s="2">
        <f>SUM(OSRRefD21_4x_7)</f>
        <v>15661.69</v>
      </c>
      <c r="L84" s="2">
        <f>SUM(OSRRefD21_4x_8)</f>
        <v>16082.6</v>
      </c>
      <c r="M84" s="2">
        <f>SUM(OSRRefD21_4x_9)</f>
        <v>15412.52</v>
      </c>
      <c r="N84" s="2">
        <f>SUM(OSRRefE21_4x_0)</f>
        <v>13471</v>
      </c>
      <c r="O84" s="2">
        <f>SUM(OSRRefE21_4x_1)</f>
        <v>7144</v>
      </c>
      <c r="Q84" s="3">
        <f>SUM(OSRRefD20_4x)+IFERROR(SUM(OSRRefE20_4x),0)</f>
        <v>147394.94</v>
      </c>
    </row>
    <row r="85" spans="1:17" s="42" customFormat="1" ht="15" hidden="1" customHeight="1" outlineLevel="1" x14ac:dyDescent="0.3">
      <c r="A85" s="34"/>
      <c r="B85" s="11" t="str">
        <f>CONCATENATE("          ","6381"," - ","BANK/CREDIT CARD FEES")</f>
        <v xml:space="preserve">          6381 - BANK/CREDIT CARD FEES</v>
      </c>
      <c r="C85" s="15"/>
      <c r="D85" s="3">
        <v>3961.88</v>
      </c>
      <c r="E85" s="3">
        <v>23002.82</v>
      </c>
      <c r="F85" s="3">
        <v>10623.99</v>
      </c>
      <c r="G85" s="3">
        <v>12740.8</v>
      </c>
      <c r="H85" s="3">
        <v>7877.66</v>
      </c>
      <c r="I85" s="3">
        <v>9159.44</v>
      </c>
      <c r="J85" s="3">
        <v>12256.54</v>
      </c>
      <c r="K85" s="3">
        <v>15661.69</v>
      </c>
      <c r="L85" s="3">
        <v>16082.6</v>
      </c>
      <c r="M85" s="3">
        <v>15412.52</v>
      </c>
      <c r="N85" s="3">
        <v>13471</v>
      </c>
      <c r="O85" s="3">
        <v>7144</v>
      </c>
      <c r="P85" s="10"/>
      <c r="Q85" s="3">
        <f>SUM(OSRRefD21_4_0x)+IFERROR(SUM(OSRRefE21_4_0x),0)</f>
        <v>147394.94</v>
      </c>
    </row>
    <row r="86" spans="1:17" s="42" customFormat="1" ht="15" customHeight="1" collapsed="1" x14ac:dyDescent="0.3">
      <c r="A86" s="34"/>
      <c r="B86" s="15" t="str">
        <f>CONCATENATE("     ","Depreciation                                      ")</f>
        <v xml:space="preserve">     Depreciation                                      </v>
      </c>
      <c r="C86" s="15"/>
      <c r="D86" s="2">
        <f>SUM(OSRRefD21_5x_0)</f>
        <v>31001.120000000003</v>
      </c>
      <c r="E86" s="2">
        <f>SUM(OSRRefD21_5x_1)</f>
        <v>31001.120000000003</v>
      </c>
      <c r="F86" s="2">
        <f>SUM(OSRRefD21_5x_2)</f>
        <v>31001.120000000003</v>
      </c>
      <c r="G86" s="2">
        <f>SUM(OSRRefD21_5x_3)</f>
        <v>30895.300000000003</v>
      </c>
      <c r="H86" s="2">
        <f>SUM(OSRRefD21_5x_4)</f>
        <v>30895.29</v>
      </c>
      <c r="I86" s="2">
        <f>SUM(OSRRefD21_5x_5)</f>
        <v>30895.279999999999</v>
      </c>
      <c r="J86" s="2">
        <f>SUM(OSRRefD21_5x_6)</f>
        <v>28630.370000000003</v>
      </c>
      <c r="K86" s="2">
        <f>SUM(OSRRefD21_5x_7)</f>
        <v>27820.48</v>
      </c>
      <c r="L86" s="2">
        <f>SUM(OSRRefD21_5x_8)</f>
        <v>27820.449999999997</v>
      </c>
      <c r="M86" s="2">
        <f>SUM(OSRRefD21_5x_9)</f>
        <v>16660.489999999998</v>
      </c>
      <c r="N86" s="2">
        <f>SUM(OSRRefE21_5x_0)</f>
        <v>16259</v>
      </c>
      <c r="O86" s="2">
        <f>SUM(OSRRefE21_5x_1)</f>
        <v>16259</v>
      </c>
      <c r="Q86" s="3">
        <f>SUM(OSRRefD20_5x)+IFERROR(SUM(OSRRefE20_5x),0)</f>
        <v>319139.02</v>
      </c>
    </row>
    <row r="87" spans="1:17" s="42" customFormat="1" ht="15" hidden="1" customHeight="1" outlineLevel="1" x14ac:dyDescent="0.3">
      <c r="A87" s="34"/>
      <c r="B87" s="11" t="str">
        <f>CONCATENATE("          ","6321"," - ","BUILDING DEPRECIATION")</f>
        <v xml:space="preserve">          6321 - BUILDING DEPRECIATION</v>
      </c>
      <c r="C87" s="15"/>
      <c r="D87" s="3">
        <v>16396.52</v>
      </c>
      <c r="E87" s="3">
        <v>16396.52</v>
      </c>
      <c r="F87" s="3">
        <v>16396.52</v>
      </c>
      <c r="G87" s="3">
        <v>16396.52</v>
      </c>
      <c r="H87" s="3">
        <v>16396.52</v>
      </c>
      <c r="I87" s="3">
        <v>16396.509999999998</v>
      </c>
      <c r="J87" s="3">
        <v>14131.6</v>
      </c>
      <c r="K87" s="3">
        <v>13321.71</v>
      </c>
      <c r="L87" s="3">
        <v>13321.71</v>
      </c>
      <c r="M87" s="3">
        <v>13321.71</v>
      </c>
      <c r="N87" s="3"/>
      <c r="O87" s="3"/>
      <c r="P87" s="10"/>
      <c r="Q87" s="3">
        <f>SUM(OSRRefD21_5_0x)+IFERROR(SUM(OSRRefE21_5_0x),0)</f>
        <v>152475.84</v>
      </c>
    </row>
    <row r="88" spans="1:17" s="42" customFormat="1" ht="15" hidden="1" customHeight="1" outlineLevel="1" x14ac:dyDescent="0.3">
      <c r="A88" s="34"/>
      <c r="B88" s="11" t="str">
        <f>CONCATENATE("          ","6322"," - ","EQUIPMENT DEPRECIATION EXPENSE")</f>
        <v xml:space="preserve">          6322 - EQUIPMENT DEPRECIATION EXPENSE</v>
      </c>
      <c r="C88" s="15"/>
      <c r="D88" s="3">
        <v>14604.6</v>
      </c>
      <c r="E88" s="3">
        <v>14604.6</v>
      </c>
      <c r="F88" s="3">
        <v>14604.6</v>
      </c>
      <c r="G88" s="3">
        <v>14498.78</v>
      </c>
      <c r="H88" s="3">
        <v>14498.77</v>
      </c>
      <c r="I88" s="3">
        <v>14498.77</v>
      </c>
      <c r="J88" s="3">
        <v>14498.77</v>
      </c>
      <c r="K88" s="3">
        <v>14498.77</v>
      </c>
      <c r="L88" s="3">
        <v>14498.74</v>
      </c>
      <c r="M88" s="3">
        <v>3338.78</v>
      </c>
      <c r="N88" s="3">
        <v>16259</v>
      </c>
      <c r="O88" s="3">
        <v>16259</v>
      </c>
      <c r="P88" s="10"/>
      <c r="Q88" s="3">
        <f>SUM(OSRRefD21_5_1x)+IFERROR(SUM(OSRRefE21_5_1x),0)</f>
        <v>166663.18000000002</v>
      </c>
    </row>
    <row r="89" spans="1:17" s="42" customFormat="1" ht="15" customHeight="1" collapsed="1" x14ac:dyDescent="0.3">
      <c r="A89" s="34"/>
      <c r="B89" s="15" t="str">
        <f>CONCATENATE("     ","Discounts and Markdowns                           ")</f>
        <v xml:space="preserve">     Discounts and Markdowns                           </v>
      </c>
      <c r="C89" s="15"/>
      <c r="D89" s="2">
        <f>SUM(OSRRefD21_6x_0)</f>
        <v>-0.68</v>
      </c>
      <c r="E89" s="2">
        <f>SUM(OSRRefD21_6x_1)</f>
        <v>-157.30000000000001</v>
      </c>
      <c r="F89" s="2">
        <f>SUM(OSRRefD21_6x_2)</f>
        <v>135.49</v>
      </c>
      <c r="G89" s="2">
        <f>SUM(OSRRefD21_6x_3)</f>
        <v>-43.75</v>
      </c>
      <c r="H89" s="2">
        <f>SUM(OSRRefD21_6x_4)</f>
        <v>3409.87</v>
      </c>
      <c r="I89" s="2">
        <f>SUM(OSRRefD21_6x_5)</f>
        <v>11.17</v>
      </c>
      <c r="J89" s="2">
        <f>SUM(OSRRefD21_6x_6)</f>
        <v>-1290.25</v>
      </c>
      <c r="K89" s="2">
        <f>SUM(OSRRefD21_6x_7)</f>
        <v>0</v>
      </c>
      <c r="L89" s="2">
        <f>SUM(OSRRefD21_6x_8)</f>
        <v>-7.72</v>
      </c>
      <c r="M89" s="2">
        <f>SUM(OSRRefD21_6x_9)</f>
        <v>-50.18</v>
      </c>
      <c r="N89" s="2">
        <f>SUM(OSRRefE21_6x_0)</f>
        <v>0</v>
      </c>
      <c r="O89" s="2">
        <f>SUM(OSRRefE21_6x_1)</f>
        <v>0</v>
      </c>
      <c r="Q89" s="3">
        <f>SUM(OSRRefD20_6x)+IFERROR(SUM(OSRRefE20_6x),0)</f>
        <v>2006.6500000000003</v>
      </c>
    </row>
    <row r="90" spans="1:17" s="42" customFormat="1" ht="15" hidden="1" customHeight="1" outlineLevel="1" x14ac:dyDescent="0.3">
      <c r="A90" s="34"/>
      <c r="B90" s="11" t="str">
        <f>CONCATENATE("          ","6382"," - ","DISCOUNTS/MARK DOWNS")</f>
        <v xml:space="preserve">          6382 - DISCOUNTS/MARK DOWNS</v>
      </c>
      <c r="C90" s="15"/>
      <c r="D90" s="3"/>
      <c r="E90" s="3"/>
      <c r="F90" s="3"/>
      <c r="G90" s="3"/>
      <c r="H90" s="3">
        <v>3410</v>
      </c>
      <c r="I90" s="3"/>
      <c r="J90" s="3">
        <v>-1238.6500000000001</v>
      </c>
      <c r="K90" s="3"/>
      <c r="L90" s="3"/>
      <c r="M90" s="3"/>
      <c r="N90" s="3"/>
      <c r="O90" s="3"/>
      <c r="P90" s="10"/>
      <c r="Q90" s="3">
        <f>SUM(OSRRefD21_6_0x)+IFERROR(SUM(OSRRefE21_6_0x),0)</f>
        <v>2171.35</v>
      </c>
    </row>
    <row r="91" spans="1:17" s="42" customFormat="1" ht="15" hidden="1" customHeight="1" outlineLevel="1" x14ac:dyDescent="0.3">
      <c r="A91" s="34"/>
      <c r="B91" s="11" t="str">
        <f>CONCATENATE("          ","9175"," - ","EARNED DISCOUNTS")</f>
        <v xml:space="preserve">          9175 - EARNED DISCOUNTS</v>
      </c>
      <c r="C91" s="15"/>
      <c r="D91" s="3">
        <v>-0.68</v>
      </c>
      <c r="E91" s="3">
        <v>-157.30000000000001</v>
      </c>
      <c r="F91" s="3">
        <v>135.49</v>
      </c>
      <c r="G91" s="3">
        <v>-43.75</v>
      </c>
      <c r="H91" s="3">
        <v>-0.13</v>
      </c>
      <c r="I91" s="3">
        <v>11.17</v>
      </c>
      <c r="J91" s="3">
        <v>-51.6</v>
      </c>
      <c r="K91" s="3">
        <v>0</v>
      </c>
      <c r="L91" s="3">
        <v>-7.72</v>
      </c>
      <c r="M91" s="3">
        <v>-50.18</v>
      </c>
      <c r="N91" s="3"/>
      <c r="O91" s="3"/>
      <c r="P91" s="10"/>
      <c r="Q91" s="3">
        <f>SUM(OSRRefD21_6_1x)+IFERROR(SUM(OSRRefE21_6_1x),0)</f>
        <v>-164.70000000000002</v>
      </c>
    </row>
    <row r="92" spans="1:17" s="42" customFormat="1" ht="15" customHeight="1" collapsed="1" x14ac:dyDescent="0.3">
      <c r="A92" s="34"/>
      <c r="B92" s="15" t="str">
        <f>CONCATENATE("     ","Donations                                         ")</f>
        <v xml:space="preserve">     Donations                                         </v>
      </c>
      <c r="C92" s="15"/>
      <c r="D92" s="2">
        <f>SUM(OSRRefD21_7x_0)</f>
        <v>0</v>
      </c>
      <c r="E92" s="2">
        <f>SUM(OSRRefD21_7x_1)</f>
        <v>0</v>
      </c>
      <c r="F92" s="2">
        <f>SUM(OSRRefD21_7x_2)</f>
        <v>0</v>
      </c>
      <c r="G92" s="2">
        <f>SUM(OSRRefD21_7x_3)</f>
        <v>1483.48</v>
      </c>
      <c r="H92" s="2">
        <f>SUM(OSRRefD21_7x_4)</f>
        <v>1336.74</v>
      </c>
      <c r="I92" s="2">
        <f>SUM(OSRRefD21_7x_5)</f>
        <v>0</v>
      </c>
      <c r="J92" s="2">
        <f>SUM(OSRRefD21_7x_6)</f>
        <v>0</v>
      </c>
      <c r="K92" s="2">
        <f>SUM(OSRRefD21_7x_7)</f>
        <v>2998.05</v>
      </c>
      <c r="L92" s="2">
        <f>SUM(OSRRefD21_7x_8)</f>
        <v>0</v>
      </c>
      <c r="M92" s="2">
        <f>SUM(OSRRefD21_7x_9)</f>
        <v>1488.53</v>
      </c>
      <c r="N92" s="2">
        <f>SUM(OSRRefE21_7x_0)</f>
        <v>1250</v>
      </c>
      <c r="O92" s="2">
        <f>SUM(OSRRefE21_7x_1)</f>
        <v>1250</v>
      </c>
      <c r="Q92" s="3">
        <f>SUM(OSRRefD20_7x)+IFERROR(SUM(OSRRefE20_7x),0)</f>
        <v>9806.7999999999993</v>
      </c>
    </row>
    <row r="93" spans="1:17" s="42" customFormat="1" ht="15" hidden="1" customHeight="1" outlineLevel="1" x14ac:dyDescent="0.3">
      <c r="A93" s="34"/>
      <c r="B93" s="11" t="str">
        <f>CONCATENATE("          ","6399"," - ","DONATION-ON CAMPUS")</f>
        <v xml:space="preserve">          6399 - DONATION-ON CAMPUS</v>
      </c>
      <c r="C93" s="15"/>
      <c r="D93" s="3"/>
      <c r="E93" s="3"/>
      <c r="F93" s="3"/>
      <c r="G93" s="3">
        <v>1483.48</v>
      </c>
      <c r="H93" s="3">
        <v>1336.74</v>
      </c>
      <c r="I93" s="3"/>
      <c r="J93" s="3"/>
      <c r="K93" s="3">
        <v>2998.05</v>
      </c>
      <c r="L93" s="3"/>
      <c r="M93" s="3">
        <v>1488.53</v>
      </c>
      <c r="N93" s="3">
        <v>1250</v>
      </c>
      <c r="O93" s="3">
        <v>1250</v>
      </c>
      <c r="P93" s="10"/>
      <c r="Q93" s="3">
        <f>SUM(OSRRefD21_7_0x)+IFERROR(SUM(OSRRefE21_7_0x),0)</f>
        <v>9806.7999999999993</v>
      </c>
    </row>
    <row r="94" spans="1:17" s="42" customFormat="1" ht="15" customHeight="1" collapsed="1" x14ac:dyDescent="0.3">
      <c r="A94" s="34"/>
      <c r="B94" s="15" t="str">
        <f>CONCATENATE("     ","Employees' Appreciation                           ")</f>
        <v xml:space="preserve">     Employees' Appreciation                           </v>
      </c>
      <c r="C94" s="15"/>
      <c r="D94" s="2">
        <f>SUM(OSRRefD21_8x_0)</f>
        <v>537.36</v>
      </c>
      <c r="E94" s="2">
        <f>SUM(OSRRefD21_8x_1)</f>
        <v>400</v>
      </c>
      <c r="F94" s="2">
        <f>SUM(OSRRefD21_8x_2)</f>
        <v>447.27</v>
      </c>
      <c r="G94" s="2">
        <f>SUM(OSRRefD21_8x_3)</f>
        <v>0</v>
      </c>
      <c r="H94" s="2">
        <f>SUM(OSRRefD21_8x_4)</f>
        <v>490.02</v>
      </c>
      <c r="I94" s="2">
        <f>SUM(OSRRefD21_8x_5)</f>
        <v>949.16</v>
      </c>
      <c r="J94" s="2">
        <f>SUM(OSRRefD21_8x_6)</f>
        <v>1421.38</v>
      </c>
      <c r="K94" s="2">
        <f>SUM(OSRRefD21_8x_7)</f>
        <v>0</v>
      </c>
      <c r="L94" s="2">
        <f>SUM(OSRRefD21_8x_8)</f>
        <v>74.69</v>
      </c>
      <c r="M94" s="2">
        <f>SUM(OSRRefD21_8x_9)</f>
        <v>0</v>
      </c>
      <c r="N94" s="2">
        <f>SUM(OSRRefE21_8x_0)</f>
        <v>245</v>
      </c>
      <c r="O94" s="2">
        <f>SUM(OSRRefE21_8x_1)</f>
        <v>245</v>
      </c>
      <c r="Q94" s="3">
        <f>SUM(OSRRefD20_8x)+IFERROR(SUM(OSRRefE20_8x),0)</f>
        <v>4809.88</v>
      </c>
    </row>
    <row r="95" spans="1:17" s="42" customFormat="1" ht="15" hidden="1" customHeight="1" outlineLevel="1" x14ac:dyDescent="0.3">
      <c r="A95" s="34"/>
      <c r="B95" s="11" t="str">
        <f>CONCATENATE("          ","6277"," - ","EMPLOYEE APPRECIATION")</f>
        <v xml:space="preserve">          6277 - EMPLOYEE APPRECIATION</v>
      </c>
      <c r="C95" s="15"/>
      <c r="D95" s="3">
        <v>537.36</v>
      </c>
      <c r="E95" s="3">
        <v>400</v>
      </c>
      <c r="F95" s="3">
        <v>447.27</v>
      </c>
      <c r="G95" s="3"/>
      <c r="H95" s="3">
        <v>490.02</v>
      </c>
      <c r="I95" s="3">
        <v>949.16</v>
      </c>
      <c r="J95" s="3">
        <v>1421.38</v>
      </c>
      <c r="K95" s="3"/>
      <c r="L95" s="3">
        <v>74.69</v>
      </c>
      <c r="M95" s="3"/>
      <c r="N95" s="3">
        <v>245</v>
      </c>
      <c r="O95" s="3">
        <v>245</v>
      </c>
      <c r="P95" s="10"/>
      <c r="Q95" s="3">
        <f>SUM(OSRRefD21_8_0x)+IFERROR(SUM(OSRRefE21_8_0x),0)</f>
        <v>4809.88</v>
      </c>
    </row>
    <row r="96" spans="1:17" s="42" customFormat="1" ht="15" customHeight="1" collapsed="1" x14ac:dyDescent="0.3">
      <c r="A96" s="34"/>
      <c r="B96" s="15" t="str">
        <f>CONCATENATE("     ","Equipment Rental                                  ")</f>
        <v xml:space="preserve">     Equipment Rental                                  </v>
      </c>
      <c r="C96" s="15"/>
      <c r="D96" s="2">
        <f>SUM(OSRRefD21_9x_0)</f>
        <v>1388.16</v>
      </c>
      <c r="E96" s="2">
        <f>SUM(OSRRefD21_9x_1)</f>
        <v>2303.73</v>
      </c>
      <c r="F96" s="2">
        <f>SUM(OSRRefD21_9x_2)</f>
        <v>1388.16</v>
      </c>
      <c r="G96" s="2">
        <f>SUM(OSRRefD21_9x_3)</f>
        <v>1531.35</v>
      </c>
      <c r="H96" s="2">
        <f>SUM(OSRRefD21_9x_4)</f>
        <v>1712.05</v>
      </c>
      <c r="I96" s="2">
        <f>SUM(OSRRefD21_9x_5)</f>
        <v>1507.07</v>
      </c>
      <c r="J96" s="2">
        <f>SUM(OSRRefD21_9x_6)</f>
        <v>1479.42</v>
      </c>
      <c r="K96" s="2">
        <f>SUM(OSRRefD21_9x_7)</f>
        <v>1388.16</v>
      </c>
      <c r="L96" s="2">
        <f>SUM(OSRRefD21_9x_8)</f>
        <v>1712.05</v>
      </c>
      <c r="M96" s="2">
        <f>SUM(OSRRefD21_9x_9)</f>
        <v>1388.16</v>
      </c>
      <c r="N96" s="2">
        <f>SUM(OSRRefE21_9x_0)</f>
        <v>1700</v>
      </c>
      <c r="O96" s="2">
        <f>SUM(OSRRefE21_9x_1)</f>
        <v>1700</v>
      </c>
      <c r="Q96" s="3">
        <f>SUM(OSRRefD20_9x)+IFERROR(SUM(OSRRefE20_9x),0)</f>
        <v>19198.309999999998</v>
      </c>
    </row>
    <row r="97" spans="1:17" s="42" customFormat="1" ht="15" hidden="1" customHeight="1" outlineLevel="1" x14ac:dyDescent="0.3">
      <c r="A97" s="34"/>
      <c r="B97" s="11" t="str">
        <f>CONCATENATE("          ","6351"," - ","EQUIPMENT RENTAL")</f>
        <v xml:space="preserve">          6351 - EQUIPMENT RENTAL</v>
      </c>
      <c r="C97" s="15"/>
      <c r="D97" s="3">
        <v>1388.16</v>
      </c>
      <c r="E97" s="3">
        <v>2303.73</v>
      </c>
      <c r="F97" s="3">
        <v>1388.16</v>
      </c>
      <c r="G97" s="3">
        <v>1531.35</v>
      </c>
      <c r="H97" s="3">
        <v>1712.05</v>
      </c>
      <c r="I97" s="3">
        <v>1507.07</v>
      </c>
      <c r="J97" s="3">
        <v>1479.42</v>
      </c>
      <c r="K97" s="3">
        <v>1388.16</v>
      </c>
      <c r="L97" s="3">
        <v>1712.05</v>
      </c>
      <c r="M97" s="3">
        <v>1388.16</v>
      </c>
      <c r="N97" s="3">
        <v>1700</v>
      </c>
      <c r="O97" s="3">
        <v>1700</v>
      </c>
      <c r="P97" s="10"/>
      <c r="Q97" s="3">
        <f>SUM(OSRRefD21_9_0x)+IFERROR(SUM(OSRRefE21_9_0x),0)</f>
        <v>19198.309999999998</v>
      </c>
    </row>
    <row r="98" spans="1:17" s="42" customFormat="1" ht="15" customHeight="1" collapsed="1" x14ac:dyDescent="0.3">
      <c r="A98" s="34"/>
      <c r="B98" s="15" t="str">
        <f>CONCATENATE("     ","Freight out/Postage                               ")</f>
        <v xml:space="preserve">     Freight out/Postage                               </v>
      </c>
      <c r="C98" s="15"/>
      <c r="D98" s="2">
        <f>SUM(OSRRefD21_10x_0)</f>
        <v>3682.8</v>
      </c>
      <c r="E98" s="2">
        <f>SUM(OSRRefD21_10x_1)</f>
        <v>-19372.54</v>
      </c>
      <c r="F98" s="2">
        <f>SUM(OSRRefD21_10x_2)</f>
        <v>3676.3099999999995</v>
      </c>
      <c r="G98" s="2">
        <f>SUM(OSRRefD21_10x_3)</f>
        <v>-23514.07</v>
      </c>
      <c r="H98" s="2">
        <f>SUM(OSRRefD21_10x_4)</f>
        <v>5663.4</v>
      </c>
      <c r="I98" s="2">
        <f>SUM(OSRRefD21_10x_5)</f>
        <v>-2180.9800000000014</v>
      </c>
      <c r="J98" s="2">
        <f>SUM(OSRRefD21_10x_6)</f>
        <v>-7280.8900000000012</v>
      </c>
      <c r="K98" s="2">
        <f>SUM(OSRRefD21_10x_7)</f>
        <v>-7059.8099999999995</v>
      </c>
      <c r="L98" s="2">
        <f>SUM(OSRRefD21_10x_8)</f>
        <v>1779.17</v>
      </c>
      <c r="M98" s="2">
        <f>SUM(OSRRefD21_10x_9)</f>
        <v>750.14999999999964</v>
      </c>
      <c r="N98" s="2">
        <f>SUM(OSRRefE21_10x_0)</f>
        <v>-1835</v>
      </c>
      <c r="O98" s="2">
        <f>SUM(OSRRefE21_10x_1)</f>
        <v>-2335</v>
      </c>
      <c r="Q98" s="3">
        <f>SUM(OSRRefD20_10x)+IFERROR(SUM(OSRRefE20_10x),0)</f>
        <v>-48026.46</v>
      </c>
    </row>
    <row r="99" spans="1:17" s="42" customFormat="1" ht="15" hidden="1" customHeight="1" outlineLevel="1" x14ac:dyDescent="0.3">
      <c r="A99" s="34"/>
      <c r="B99" s="11" t="str">
        <f>CONCATENATE("          ","6305"," - ","FREIGHT OUT")</f>
        <v xml:space="preserve">          6305 - FREIGHT OUT</v>
      </c>
      <c r="C99" s="15"/>
      <c r="D99" s="3">
        <v>10982.69</v>
      </c>
      <c r="E99" s="3">
        <v>4399.6499999999996</v>
      </c>
      <c r="F99" s="3">
        <v>13313.84</v>
      </c>
      <c r="G99" s="3">
        <v>26190.5</v>
      </c>
      <c r="H99" s="3">
        <v>11064.07</v>
      </c>
      <c r="I99" s="3">
        <v>12270.64</v>
      </c>
      <c r="J99" s="3">
        <v>16037.19</v>
      </c>
      <c r="K99" s="3">
        <v>7594.99</v>
      </c>
      <c r="L99" s="3">
        <v>10386.42</v>
      </c>
      <c r="M99" s="3">
        <v>14219.32</v>
      </c>
      <c r="N99" s="3">
        <v>2565</v>
      </c>
      <c r="O99" s="3">
        <v>2065</v>
      </c>
      <c r="P99" s="10"/>
      <c r="Q99" s="3">
        <f>SUM(OSRRefD21_10_0x)+IFERROR(SUM(OSRRefE21_10_0x),0)</f>
        <v>131089.31</v>
      </c>
    </row>
    <row r="100" spans="1:17" s="42" customFormat="1" ht="15" hidden="1" customHeight="1" outlineLevel="1" x14ac:dyDescent="0.3">
      <c r="A100" s="34"/>
      <c r="B100" s="11" t="str">
        <f>CONCATENATE("          ","6307"," - ","POSTAGE")</f>
        <v xml:space="preserve">          6307 - POSTAGE</v>
      </c>
      <c r="C100" s="15"/>
      <c r="D100" s="3">
        <v>-7299.89</v>
      </c>
      <c r="E100" s="3">
        <v>-23772.19</v>
      </c>
      <c r="F100" s="3">
        <v>-9637.5300000000007</v>
      </c>
      <c r="G100" s="3">
        <v>-49704.57</v>
      </c>
      <c r="H100" s="3">
        <v>-5400.67</v>
      </c>
      <c r="I100" s="3">
        <v>-14451.62</v>
      </c>
      <c r="J100" s="3">
        <v>-23318.080000000002</v>
      </c>
      <c r="K100" s="3">
        <v>-14654.8</v>
      </c>
      <c r="L100" s="3">
        <v>-8607.25</v>
      </c>
      <c r="M100" s="3">
        <v>-13469.17</v>
      </c>
      <c r="N100" s="3">
        <v>-4400</v>
      </c>
      <c r="O100" s="3">
        <v>-4400</v>
      </c>
      <c r="P100" s="10"/>
      <c r="Q100" s="3">
        <f>SUM(OSRRefD21_10_1x)+IFERROR(SUM(OSRRefE21_10_1x),0)</f>
        <v>-179115.77</v>
      </c>
    </row>
    <row r="101" spans="1:17" s="42" customFormat="1" ht="15" customHeight="1" collapsed="1" x14ac:dyDescent="0.3">
      <c r="A101" s="34"/>
      <c r="B101" s="15" t="str">
        <f>CONCATENATE("     ","General                                           ")</f>
        <v xml:space="preserve">     General                                           </v>
      </c>
      <c r="C101" s="15"/>
      <c r="D101" s="2">
        <f>SUM(OSRRefD21_11x_0)</f>
        <v>778</v>
      </c>
      <c r="E101" s="2">
        <f>SUM(OSRRefD21_11x_1)</f>
        <v>997.29</v>
      </c>
      <c r="F101" s="2">
        <f>SUM(OSRRefD21_11x_2)</f>
        <v>91.31</v>
      </c>
      <c r="G101" s="2">
        <f>SUM(OSRRefD21_11x_3)</f>
        <v>327.5</v>
      </c>
      <c r="H101" s="2">
        <f>SUM(OSRRefD21_11x_4)</f>
        <v>1135.0899999999999</v>
      </c>
      <c r="I101" s="2">
        <f>SUM(OSRRefD21_11x_5)</f>
        <v>1002</v>
      </c>
      <c r="J101" s="2">
        <f>SUM(OSRRefD21_11x_6)</f>
        <v>0</v>
      </c>
      <c r="K101" s="2">
        <f>SUM(OSRRefD21_11x_7)</f>
        <v>1424.16</v>
      </c>
      <c r="L101" s="2">
        <f>SUM(OSRRefD21_11x_8)</f>
        <v>191.1</v>
      </c>
      <c r="M101" s="2">
        <f>SUM(OSRRefD21_11x_9)</f>
        <v>778.61</v>
      </c>
      <c r="N101" s="2">
        <f>SUM(OSRRefE21_11x_0)</f>
        <v>980</v>
      </c>
      <c r="O101" s="2">
        <f>SUM(OSRRefE21_11x_1)</f>
        <v>1230</v>
      </c>
      <c r="Q101" s="3">
        <f>SUM(OSRRefD20_11x)+IFERROR(SUM(OSRRefE20_11x),0)</f>
        <v>8935.06</v>
      </c>
    </row>
    <row r="102" spans="1:17" s="42" customFormat="1" ht="15" hidden="1" customHeight="1" outlineLevel="1" x14ac:dyDescent="0.3">
      <c r="A102" s="34"/>
      <c r="B102" s="11" t="str">
        <f>CONCATENATE("          ","6279"," - ","GENERAL EXPENSE")</f>
        <v xml:space="preserve">          6279 - GENERAL EXPENSE</v>
      </c>
      <c r="C102" s="15"/>
      <c r="D102" s="3">
        <v>778</v>
      </c>
      <c r="E102" s="3">
        <v>997.29</v>
      </c>
      <c r="F102" s="3">
        <v>91.31</v>
      </c>
      <c r="G102" s="3">
        <v>327.5</v>
      </c>
      <c r="H102" s="3">
        <v>1135.0899999999999</v>
      </c>
      <c r="I102" s="3">
        <v>1002</v>
      </c>
      <c r="J102" s="3"/>
      <c r="K102" s="3">
        <v>1424.16</v>
      </c>
      <c r="L102" s="3">
        <v>191.1</v>
      </c>
      <c r="M102" s="3">
        <v>778.61</v>
      </c>
      <c r="N102" s="3">
        <v>980</v>
      </c>
      <c r="O102" s="3">
        <v>1230</v>
      </c>
      <c r="P102" s="10"/>
      <c r="Q102" s="3">
        <f>SUM(OSRRefD21_11_0x)+IFERROR(SUM(OSRRefE21_11_0x),0)</f>
        <v>8935.06</v>
      </c>
    </row>
    <row r="103" spans="1:17" s="42" customFormat="1" ht="15" customHeight="1" collapsed="1" x14ac:dyDescent="0.3">
      <c r="A103" s="34"/>
      <c r="B103" s="15" t="str">
        <f>CONCATENATE("     ","Insurance                                         ")</f>
        <v xml:space="preserve">     Insurance                                         </v>
      </c>
      <c r="C103" s="15"/>
      <c r="D103" s="2">
        <f>SUM(OSRRefD21_12x_0)</f>
        <v>5494.57</v>
      </c>
      <c r="E103" s="2">
        <f>SUM(OSRRefD21_12x_1)</f>
        <v>5494.57</v>
      </c>
      <c r="F103" s="2">
        <f>SUM(OSRRefD21_12x_2)</f>
        <v>5494.57</v>
      </c>
      <c r="G103" s="2">
        <f>SUM(OSRRefD21_12x_3)</f>
        <v>5494.57</v>
      </c>
      <c r="H103" s="2">
        <f>SUM(OSRRefD21_12x_4)</f>
        <v>5494.57</v>
      </c>
      <c r="I103" s="2">
        <f>SUM(OSRRefD21_12x_5)</f>
        <v>5494.57</v>
      </c>
      <c r="J103" s="2">
        <f>SUM(OSRRefD21_12x_6)</f>
        <v>5494.57</v>
      </c>
      <c r="K103" s="2">
        <f>SUM(OSRRefD21_12x_7)</f>
        <v>5494.57</v>
      </c>
      <c r="L103" s="2">
        <f>SUM(OSRRefD21_12x_8)</f>
        <v>5494.57</v>
      </c>
      <c r="M103" s="2">
        <f>SUM(OSRRefD21_12x_9)</f>
        <v>5494.57</v>
      </c>
      <c r="N103" s="2">
        <f>SUM(OSRRefE21_12x_0)</f>
        <v>5375</v>
      </c>
      <c r="O103" s="2">
        <f>SUM(OSRRefE21_12x_1)</f>
        <v>5375</v>
      </c>
      <c r="Q103" s="3">
        <f>SUM(OSRRefD20_12x)+IFERROR(SUM(OSRRefE20_12x),0)</f>
        <v>65695.7</v>
      </c>
    </row>
    <row r="104" spans="1:17" s="42" customFormat="1" ht="15" hidden="1" customHeight="1" outlineLevel="1" x14ac:dyDescent="0.3">
      <c r="A104" s="34"/>
      <c r="B104" s="11" t="str">
        <f>CONCATENATE("          ","6314"," - ","LIABILITY INSURANCE")</f>
        <v xml:space="preserve">          6314 - LIABILITY INSURANCE</v>
      </c>
      <c r="C104" s="15"/>
      <c r="D104" s="3">
        <v>5494.57</v>
      </c>
      <c r="E104" s="3">
        <v>5494.57</v>
      </c>
      <c r="F104" s="3">
        <v>5494.57</v>
      </c>
      <c r="G104" s="3">
        <v>5494.57</v>
      </c>
      <c r="H104" s="3">
        <v>5494.57</v>
      </c>
      <c r="I104" s="3">
        <v>5494.57</v>
      </c>
      <c r="J104" s="3">
        <v>5494.57</v>
      </c>
      <c r="K104" s="3">
        <v>5494.57</v>
      </c>
      <c r="L104" s="3">
        <v>5494.57</v>
      </c>
      <c r="M104" s="3">
        <v>5494.57</v>
      </c>
      <c r="N104" s="3">
        <v>5375</v>
      </c>
      <c r="O104" s="3">
        <v>5375</v>
      </c>
      <c r="P104" s="10"/>
      <c r="Q104" s="3">
        <f>SUM(OSRRefD21_12_0x)+IFERROR(SUM(OSRRefE21_12_0x),0)</f>
        <v>65695.7</v>
      </c>
    </row>
    <row r="105" spans="1:17" s="42" customFormat="1" ht="15" customHeight="1" collapsed="1" x14ac:dyDescent="0.3">
      <c r="A105" s="34"/>
      <c r="B105" s="15" t="str">
        <f>CONCATENATE("     ","Inventory Adjustment                              ")</f>
        <v xml:space="preserve">     Inventory Adjustment                              </v>
      </c>
      <c r="C105" s="15"/>
      <c r="D105" s="2">
        <f>SUM(OSRRefD21_13x_0)</f>
        <v>6570</v>
      </c>
      <c r="E105" s="2">
        <f>SUM(OSRRefD21_13x_1)</f>
        <v>7120</v>
      </c>
      <c r="F105" s="2">
        <f>SUM(OSRRefD21_13x_2)</f>
        <v>5690</v>
      </c>
      <c r="G105" s="2">
        <f>SUM(OSRRefD21_13x_3)</f>
        <v>5690</v>
      </c>
      <c r="H105" s="2">
        <f>SUM(OSRRefD21_13x_4)</f>
        <v>5730</v>
      </c>
      <c r="I105" s="2">
        <f>SUM(OSRRefD21_13x_5)</f>
        <v>9440</v>
      </c>
      <c r="J105" s="2">
        <f>SUM(OSRRefD21_13x_6)</f>
        <v>6070</v>
      </c>
      <c r="K105" s="2">
        <f>SUM(OSRRefD21_13x_7)</f>
        <v>5690</v>
      </c>
      <c r="L105" s="2">
        <f>SUM(OSRRefD21_13x_8)</f>
        <v>5440</v>
      </c>
      <c r="M105" s="2">
        <f>SUM(OSRRefD21_13x_9)</f>
        <v>6200</v>
      </c>
      <c r="N105" s="2">
        <f>SUM(OSRRefE21_13x_0)</f>
        <v>7200</v>
      </c>
      <c r="O105" s="2">
        <f>SUM(OSRRefE21_13x_1)</f>
        <v>19650</v>
      </c>
      <c r="Q105" s="3">
        <f>SUM(OSRRefD20_13x)+IFERROR(SUM(OSRRefE20_13x),0)</f>
        <v>90490</v>
      </c>
    </row>
    <row r="106" spans="1:17" s="42" customFormat="1" ht="15" hidden="1" customHeight="1" outlineLevel="1" x14ac:dyDescent="0.3">
      <c r="A106" s="34"/>
      <c r="B106" s="11" t="str">
        <f>CONCATENATE("          ","6408"," - ","INVENTORY ADJUSTMENT")</f>
        <v xml:space="preserve">          6408 - INVENTORY ADJUSTMENT</v>
      </c>
      <c r="C106" s="15"/>
      <c r="D106" s="3">
        <v>6570</v>
      </c>
      <c r="E106" s="3">
        <v>7120</v>
      </c>
      <c r="F106" s="3">
        <v>5690</v>
      </c>
      <c r="G106" s="3">
        <v>5690</v>
      </c>
      <c r="H106" s="3">
        <v>5730</v>
      </c>
      <c r="I106" s="3">
        <v>9440</v>
      </c>
      <c r="J106" s="3">
        <v>6070</v>
      </c>
      <c r="K106" s="3">
        <v>5690</v>
      </c>
      <c r="L106" s="3">
        <v>5440</v>
      </c>
      <c r="M106" s="3">
        <v>6200</v>
      </c>
      <c r="N106" s="3">
        <v>7200</v>
      </c>
      <c r="O106" s="3">
        <v>19650</v>
      </c>
      <c r="P106" s="10"/>
      <c r="Q106" s="3">
        <f>SUM(OSRRefD21_13_0x)+IFERROR(SUM(OSRRefE21_13_0x),0)</f>
        <v>90490</v>
      </c>
    </row>
    <row r="107" spans="1:17" s="42" customFormat="1" ht="15" customHeight="1" collapsed="1" x14ac:dyDescent="0.3">
      <c r="A107" s="34"/>
      <c r="B107" s="15" t="str">
        <f>CONCATENATE("     ","Professional Services                             ")</f>
        <v xml:space="preserve">     Professional Services                             </v>
      </c>
      <c r="C107" s="15"/>
      <c r="D107" s="2">
        <f>SUM(OSRRefD21_14x_0)</f>
        <v>0</v>
      </c>
      <c r="E107" s="2">
        <f>SUM(OSRRefD21_14x_1)</f>
        <v>0</v>
      </c>
      <c r="F107" s="2">
        <f>SUM(OSRRefD21_14x_2)</f>
        <v>0</v>
      </c>
      <c r="G107" s="2">
        <f>SUM(OSRRefD21_14x_3)</f>
        <v>8186.53</v>
      </c>
      <c r="H107" s="2">
        <f>SUM(OSRRefD21_14x_4)</f>
        <v>0</v>
      </c>
      <c r="I107" s="2">
        <f>SUM(OSRRefD21_14x_5)</f>
        <v>0</v>
      </c>
      <c r="J107" s="2">
        <f>SUM(OSRRefD21_14x_6)</f>
        <v>0</v>
      </c>
      <c r="K107" s="2">
        <f>SUM(OSRRefD21_14x_7)</f>
        <v>390</v>
      </c>
      <c r="L107" s="2">
        <f>SUM(OSRRefD21_14x_8)</f>
        <v>1050</v>
      </c>
      <c r="M107" s="2">
        <f>SUM(OSRRefD21_14x_9)</f>
        <v>0</v>
      </c>
      <c r="N107" s="2">
        <f>SUM(OSRRefE21_14x_0)</f>
        <v>0</v>
      </c>
      <c r="O107" s="2">
        <f>SUM(OSRRefE21_14x_1)</f>
        <v>0</v>
      </c>
      <c r="Q107" s="3">
        <f>SUM(OSRRefD20_14x)+IFERROR(SUM(OSRRefE20_14x),0)</f>
        <v>9626.5299999999988</v>
      </c>
    </row>
    <row r="108" spans="1:17" s="42" customFormat="1" ht="15" hidden="1" customHeight="1" outlineLevel="1" x14ac:dyDescent="0.3">
      <c r="A108" s="34"/>
      <c r="B108" s="11" t="str">
        <f>CONCATENATE("          ","6336"," - ","PROFESSIONAL SERVICES")</f>
        <v xml:space="preserve">          6336 - PROFESSIONAL SERVICES</v>
      </c>
      <c r="C108" s="15"/>
      <c r="D108" s="3"/>
      <c r="E108" s="3"/>
      <c r="F108" s="3"/>
      <c r="G108" s="3">
        <v>8186.53</v>
      </c>
      <c r="H108" s="3"/>
      <c r="I108" s="3"/>
      <c r="J108" s="3"/>
      <c r="K108" s="3">
        <v>390</v>
      </c>
      <c r="L108" s="3">
        <v>1050</v>
      </c>
      <c r="M108" s="3"/>
      <c r="N108" s="3">
        <v>0</v>
      </c>
      <c r="O108" s="3">
        <v>0</v>
      </c>
      <c r="P108" s="10"/>
      <c r="Q108" s="3">
        <f>SUM(OSRRefD21_14_0x)+IFERROR(SUM(OSRRefE21_14_0x),0)</f>
        <v>9626.5299999999988</v>
      </c>
    </row>
    <row r="109" spans="1:17" s="42" customFormat="1" ht="15" customHeight="1" collapsed="1" x14ac:dyDescent="0.3">
      <c r="A109" s="34"/>
      <c r="B109" s="15" t="str">
        <f>CONCATENATE("     ","Rent                                              ")</f>
        <v xml:space="preserve">     Rent                                              </v>
      </c>
      <c r="C109" s="15"/>
      <c r="D109" s="2">
        <f>SUM(OSRRefD21_15x_0)</f>
        <v>6100</v>
      </c>
      <c r="E109" s="2">
        <f>SUM(OSRRefD21_15x_1)</f>
        <v>6100</v>
      </c>
      <c r="F109" s="2">
        <f>SUM(OSRRefD21_15x_2)</f>
        <v>6100</v>
      </c>
      <c r="G109" s="2">
        <f>SUM(OSRRefD21_15x_3)</f>
        <v>6100</v>
      </c>
      <c r="H109" s="2">
        <f>SUM(OSRRefD21_15x_4)</f>
        <v>6100</v>
      </c>
      <c r="I109" s="2">
        <f>SUM(OSRRefD21_15x_5)</f>
        <v>6100</v>
      </c>
      <c r="J109" s="2">
        <f>SUM(OSRRefD21_15x_6)</f>
        <v>6100</v>
      </c>
      <c r="K109" s="2">
        <f>SUM(OSRRefD21_15x_7)</f>
        <v>6100</v>
      </c>
      <c r="L109" s="2">
        <f>SUM(OSRRefD21_15x_8)</f>
        <v>6100</v>
      </c>
      <c r="M109" s="2">
        <f>SUM(OSRRefD21_15x_9)</f>
        <v>6100</v>
      </c>
      <c r="N109" s="2">
        <f>SUM(OSRRefE21_15x_0)</f>
        <v>6100</v>
      </c>
      <c r="O109" s="2">
        <f>SUM(OSRRefE21_15x_1)</f>
        <v>6100</v>
      </c>
      <c r="Q109" s="3">
        <f>SUM(OSRRefD20_15x)+IFERROR(SUM(OSRRefE20_15x),0)</f>
        <v>73200</v>
      </c>
    </row>
    <row r="110" spans="1:17" s="42" customFormat="1" ht="15" hidden="1" customHeight="1" outlineLevel="1" x14ac:dyDescent="0.3">
      <c r="A110" s="34"/>
      <c r="B110" s="11" t="str">
        <f>CONCATENATE("          ","6273"," - ","RENT")</f>
        <v xml:space="preserve">          6273 - RENT</v>
      </c>
      <c r="C110" s="15"/>
      <c r="D110" s="3">
        <v>6100</v>
      </c>
      <c r="E110" s="3">
        <v>6100</v>
      </c>
      <c r="F110" s="3">
        <v>6100</v>
      </c>
      <c r="G110" s="3">
        <v>6100</v>
      </c>
      <c r="H110" s="3">
        <v>6100</v>
      </c>
      <c r="I110" s="3">
        <v>6100</v>
      </c>
      <c r="J110" s="3">
        <v>6100</v>
      </c>
      <c r="K110" s="3">
        <v>6100</v>
      </c>
      <c r="L110" s="3">
        <v>6100</v>
      </c>
      <c r="M110" s="3">
        <v>6100</v>
      </c>
      <c r="N110" s="3">
        <v>6100</v>
      </c>
      <c r="O110" s="3">
        <v>6100</v>
      </c>
      <c r="P110" s="10"/>
      <c r="Q110" s="3">
        <f>SUM(OSRRefD21_15_0x)+IFERROR(SUM(OSRRefE21_15_0x),0)</f>
        <v>73200</v>
      </c>
    </row>
    <row r="111" spans="1:17" s="42" customFormat="1" ht="15" customHeight="1" collapsed="1" x14ac:dyDescent="0.3">
      <c r="A111" s="34"/>
      <c r="B111" s="15" t="str">
        <f>CONCATENATE("     ","Repair and Maintenance                            ")</f>
        <v xml:space="preserve">     Repair and Maintenance                            </v>
      </c>
      <c r="C111" s="15"/>
      <c r="D111" s="2">
        <f>SUM(OSRRefD21_16x_0)</f>
        <v>64762.729999999996</v>
      </c>
      <c r="E111" s="2">
        <f>SUM(OSRRefD21_16x_1)</f>
        <v>8064.33</v>
      </c>
      <c r="F111" s="2">
        <f>SUM(OSRRefD21_16x_2)</f>
        <v>4189.5</v>
      </c>
      <c r="G111" s="2">
        <f>SUM(OSRRefD21_16x_3)</f>
        <v>12440.880000000001</v>
      </c>
      <c r="H111" s="2">
        <f>SUM(OSRRefD21_16x_4)</f>
        <v>1338.03</v>
      </c>
      <c r="I111" s="2">
        <f>SUM(OSRRefD21_16x_5)</f>
        <v>7012.15</v>
      </c>
      <c r="J111" s="2">
        <f>SUM(OSRRefD21_16x_6)</f>
        <v>11622.75</v>
      </c>
      <c r="K111" s="2">
        <f>SUM(OSRRefD21_16x_7)</f>
        <v>6007.6299999999992</v>
      </c>
      <c r="L111" s="2">
        <f>SUM(OSRRefD21_16x_8)</f>
        <v>16474.68</v>
      </c>
      <c r="M111" s="2">
        <f>SUM(OSRRefD21_16x_9)</f>
        <v>6647.7800000000007</v>
      </c>
      <c r="N111" s="2">
        <f>SUM(OSRRefE21_16x_0)</f>
        <v>10645</v>
      </c>
      <c r="O111" s="2">
        <f>SUM(OSRRefE21_16x_1)</f>
        <v>10745</v>
      </c>
      <c r="Q111" s="3">
        <f>SUM(OSRRefD20_16x)+IFERROR(SUM(OSRRefE20_16x),0)</f>
        <v>159950.46</v>
      </c>
    </row>
    <row r="112" spans="1:17" s="42" customFormat="1" ht="15" hidden="1" customHeight="1" outlineLevel="1" x14ac:dyDescent="0.3">
      <c r="A112" s="34"/>
      <c r="B112" s="11" t="str">
        <f>CONCATENATE("          ","6371"," - ","COMPUTER SOFTWARE MAINTENANCE")</f>
        <v xml:space="preserve">          6371 - COMPUTER SOFTWARE MAINTENANCE</v>
      </c>
      <c r="C112" s="15"/>
      <c r="D112" s="3">
        <v>59623.5</v>
      </c>
      <c r="E112" s="3">
        <v>0</v>
      </c>
      <c r="F112" s="3"/>
      <c r="G112" s="3">
        <v>2887.5</v>
      </c>
      <c r="H112" s="3"/>
      <c r="I112" s="3"/>
      <c r="J112" s="3"/>
      <c r="K112" s="3"/>
      <c r="L112" s="3">
        <v>1550</v>
      </c>
      <c r="M112" s="3"/>
      <c r="N112" s="3">
        <v>1000</v>
      </c>
      <c r="O112" s="3">
        <v>1000</v>
      </c>
      <c r="P112" s="10"/>
      <c r="Q112" s="3">
        <f>SUM(OSRRefD21_16_0x)+IFERROR(SUM(OSRRefE21_16_0x),0)</f>
        <v>66061</v>
      </c>
    </row>
    <row r="113" spans="1:17" s="42" customFormat="1" ht="15" hidden="1" customHeight="1" outlineLevel="1" x14ac:dyDescent="0.3">
      <c r="A113" s="34"/>
      <c r="B113" s="11" t="str">
        <f>CONCATENATE("          ","6372"," - ","COMPUTER HARDWARE MAINTENANCE")</f>
        <v xml:space="preserve">          6372 - COMPUTER HARDWARE MAINTENANCE</v>
      </c>
      <c r="C113" s="15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>
        <v>3750</v>
      </c>
      <c r="O113" s="3">
        <v>3750</v>
      </c>
      <c r="P113" s="10"/>
      <c r="Q113" s="3">
        <f>SUM(OSRRefD21_16_1x)+IFERROR(SUM(OSRRefE21_16_1x),0)</f>
        <v>7500</v>
      </c>
    </row>
    <row r="114" spans="1:17" s="42" customFormat="1" ht="15" hidden="1" customHeight="1" outlineLevel="1" x14ac:dyDescent="0.3">
      <c r="A114" s="34"/>
      <c r="B114" s="11" t="str">
        <f>CONCATENATE("          ","6373"," - ","MAINTENANCE CONTRACTS")</f>
        <v xml:space="preserve">          6373 - MAINTENANCE CONTRACTS</v>
      </c>
      <c r="C114" s="15"/>
      <c r="D114" s="3">
        <v>654.63</v>
      </c>
      <c r="E114" s="3">
        <v>6010.42</v>
      </c>
      <c r="F114" s="3">
        <v>1366.9</v>
      </c>
      <c r="G114" s="3">
        <v>4034.78</v>
      </c>
      <c r="H114" s="3">
        <v>179.27</v>
      </c>
      <c r="I114" s="3">
        <v>2237.17</v>
      </c>
      <c r="J114" s="3">
        <v>1512.02</v>
      </c>
      <c r="K114" s="3">
        <v>1904.31</v>
      </c>
      <c r="L114" s="3">
        <v>3672.02</v>
      </c>
      <c r="M114" s="3">
        <v>800.18</v>
      </c>
      <c r="N114" s="3">
        <v>5855</v>
      </c>
      <c r="O114" s="3">
        <v>5955</v>
      </c>
      <c r="P114" s="10"/>
      <c r="Q114" s="3">
        <f>SUM(OSRRefD21_16_2x)+IFERROR(SUM(OSRRefE21_16_2x),0)</f>
        <v>34181.700000000004</v>
      </c>
    </row>
    <row r="115" spans="1:17" s="42" customFormat="1" ht="15" hidden="1" customHeight="1" outlineLevel="1" x14ac:dyDescent="0.3">
      <c r="A115" s="34"/>
      <c r="B115" s="11" t="str">
        <f>CONCATENATE("          ","6375"," - ","OUTSIDE REPAIRS &amp; MAINTENANCE")</f>
        <v xml:space="preserve">          6375 - OUTSIDE REPAIRS &amp; MAINTENANCE</v>
      </c>
      <c r="C115" s="15"/>
      <c r="D115" s="3">
        <v>4484.6000000000004</v>
      </c>
      <c r="E115" s="3">
        <v>2053.91</v>
      </c>
      <c r="F115" s="3">
        <v>2822.6</v>
      </c>
      <c r="G115" s="3">
        <v>5518.6</v>
      </c>
      <c r="H115" s="3">
        <v>1158.76</v>
      </c>
      <c r="I115" s="3">
        <v>4774.9799999999996</v>
      </c>
      <c r="J115" s="3">
        <v>10110.73</v>
      </c>
      <c r="K115" s="3">
        <v>4103.32</v>
      </c>
      <c r="L115" s="3">
        <v>11252.66</v>
      </c>
      <c r="M115" s="3">
        <v>5847.6</v>
      </c>
      <c r="N115" s="3">
        <v>40</v>
      </c>
      <c r="O115" s="3">
        <v>40</v>
      </c>
      <c r="P115" s="10"/>
      <c r="Q115" s="3">
        <f>SUM(OSRRefD21_16_3x)+IFERROR(SUM(OSRRefE21_16_3x),0)</f>
        <v>52207.76</v>
      </c>
    </row>
    <row r="116" spans="1:17" s="42" customFormat="1" ht="15" customHeight="1" collapsed="1" x14ac:dyDescent="0.3">
      <c r="A116" s="34"/>
      <c r="B116" s="15" t="str">
        <f>CONCATENATE("     ","Royalty &amp; Commissions                             ")</f>
        <v xml:space="preserve">     Royalty &amp; Commissions                             </v>
      </c>
      <c r="C116" s="15"/>
      <c r="D116" s="2">
        <f>SUM(OSRRefD21_17x_0)</f>
        <v>7355.1000000000013</v>
      </c>
      <c r="E116" s="2">
        <f>SUM(OSRRefD21_17x_1)</f>
        <v>601.89</v>
      </c>
      <c r="F116" s="2">
        <f>SUM(OSRRefD21_17x_2)</f>
        <v>1174.22</v>
      </c>
      <c r="G116" s="2">
        <f>SUM(OSRRefD21_17x_3)</f>
        <v>10709.72</v>
      </c>
      <c r="H116" s="2">
        <f>SUM(OSRRefD21_17x_4)</f>
        <v>784.77</v>
      </c>
      <c r="I116" s="2">
        <f>SUM(OSRRefD21_17x_5)</f>
        <v>1121.23</v>
      </c>
      <c r="J116" s="2">
        <f>SUM(OSRRefD21_17x_6)</f>
        <v>23704.5</v>
      </c>
      <c r="K116" s="2">
        <f>SUM(OSRRefD21_17x_7)</f>
        <v>4782.3600000000006</v>
      </c>
      <c r="L116" s="2">
        <f>SUM(OSRRefD21_17x_8)</f>
        <v>2502.14</v>
      </c>
      <c r="M116" s="2">
        <f>SUM(OSRRefD21_17x_9)</f>
        <v>28886.6</v>
      </c>
      <c r="N116" s="2">
        <f>SUM(OSRRefE21_17x_0)</f>
        <v>9656</v>
      </c>
      <c r="O116" s="2">
        <f>SUM(OSRRefE21_17x_1)</f>
        <v>9822</v>
      </c>
      <c r="Q116" s="3">
        <f>SUM(OSRRefD20_17x)+IFERROR(SUM(OSRRefE20_17x),0)</f>
        <v>101100.53</v>
      </c>
    </row>
    <row r="117" spans="1:17" s="42" customFormat="1" ht="15" hidden="1" customHeight="1" outlineLevel="1" x14ac:dyDescent="0.3">
      <c r="A117" s="34"/>
      <c r="B117" s="11" t="str">
        <f>CONCATENATE("          ","6252"," - ","ROYALTY DUE CSTV")</f>
        <v xml:space="preserve">          6252 - ROYALTY DUE CSTV</v>
      </c>
      <c r="C117" s="15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>
        <v>2156</v>
      </c>
      <c r="O117" s="3">
        <v>3322</v>
      </c>
      <c r="P117" s="10"/>
      <c r="Q117" s="3">
        <f>SUM(OSRRefD21_17_0x)+IFERROR(SUM(OSRRefE21_17_0x),0)</f>
        <v>5478</v>
      </c>
    </row>
    <row r="118" spans="1:17" s="42" customFormat="1" ht="15" hidden="1" customHeight="1" outlineLevel="1" x14ac:dyDescent="0.3">
      <c r="A118" s="34"/>
      <c r="B118" s="11" t="str">
        <f>CONCATENATE("          ","6253"," - ","ROYALTY DUE ATHLETICS-LRG")</f>
        <v xml:space="preserve">          6253 - ROYALTY DUE ATHLETICS-LRG</v>
      </c>
      <c r="C118" s="15"/>
      <c r="D118" s="3">
        <v>14376.54</v>
      </c>
      <c r="E118" s="3"/>
      <c r="F118" s="3"/>
      <c r="G118" s="3">
        <v>8783.75</v>
      </c>
      <c r="H118" s="3"/>
      <c r="I118" s="3"/>
      <c r="J118" s="3">
        <v>16060.87</v>
      </c>
      <c r="K118" s="3"/>
      <c r="L118" s="3"/>
      <c r="M118" s="3">
        <v>15944.33</v>
      </c>
      <c r="N118" s="3">
        <v>0</v>
      </c>
      <c r="O118" s="3">
        <v>0</v>
      </c>
      <c r="P118" s="10"/>
      <c r="Q118" s="3">
        <f>SUM(OSRRefD21_17_1x)+IFERROR(SUM(OSRRefE21_17_1x),0)</f>
        <v>55165.490000000005</v>
      </c>
    </row>
    <row r="119" spans="1:17" s="42" customFormat="1" ht="15" hidden="1" customHeight="1" outlineLevel="1" x14ac:dyDescent="0.3">
      <c r="A119" s="34"/>
      <c r="B119" s="11" t="str">
        <f>CONCATENATE("          ","6254"," - ","ROYALTY &amp; COMMISSIONS")</f>
        <v xml:space="preserve">          6254 - ROYALTY &amp; COMMISSIONS</v>
      </c>
      <c r="C119" s="15"/>
      <c r="D119" s="3">
        <v>-7027.5</v>
      </c>
      <c r="E119" s="3"/>
      <c r="F119" s="3"/>
      <c r="G119" s="3"/>
      <c r="H119" s="3"/>
      <c r="I119" s="3">
        <v>0</v>
      </c>
      <c r="J119" s="3">
        <v>7389.19</v>
      </c>
      <c r="K119" s="3">
        <v>3147.46</v>
      </c>
      <c r="L119" s="3"/>
      <c r="M119" s="3">
        <v>10897.24</v>
      </c>
      <c r="N119" s="3">
        <v>1000</v>
      </c>
      <c r="O119" s="3">
        <v>0</v>
      </c>
      <c r="P119" s="10"/>
      <c r="Q119" s="3">
        <f>SUM(OSRRefD21_17_2x)+IFERROR(SUM(OSRRefE21_17_2x),0)</f>
        <v>15406.39</v>
      </c>
    </row>
    <row r="120" spans="1:17" s="42" customFormat="1" ht="15" hidden="1" customHeight="1" outlineLevel="1" x14ac:dyDescent="0.3">
      <c r="A120" s="34"/>
      <c r="B120" s="11" t="str">
        <f>CONCATENATE("          ","6259"," - ","ROYALTY &amp; COMMISSIONS")</f>
        <v xml:space="preserve">          6259 - ROYALTY &amp; COMMISSIONS</v>
      </c>
      <c r="C120" s="15"/>
      <c r="D120" s="3">
        <v>6.06</v>
      </c>
      <c r="E120" s="3">
        <v>601.89</v>
      </c>
      <c r="F120" s="3">
        <v>1174.22</v>
      </c>
      <c r="G120" s="3">
        <v>1925.97</v>
      </c>
      <c r="H120" s="3">
        <v>784.77</v>
      </c>
      <c r="I120" s="3">
        <v>1121.23</v>
      </c>
      <c r="J120" s="3">
        <v>254.44</v>
      </c>
      <c r="K120" s="3">
        <v>1634.9</v>
      </c>
      <c r="L120" s="3">
        <v>2502.14</v>
      </c>
      <c r="M120" s="3">
        <v>2045.03</v>
      </c>
      <c r="N120" s="3">
        <v>6500</v>
      </c>
      <c r="O120" s="3">
        <v>6500</v>
      </c>
      <c r="P120" s="10"/>
      <c r="Q120" s="3">
        <f>SUM(OSRRefD21_17_3x)+IFERROR(SUM(OSRRefE21_17_3x),0)</f>
        <v>25050.65</v>
      </c>
    </row>
    <row r="121" spans="1:17" s="42" customFormat="1" ht="15" customHeight="1" collapsed="1" x14ac:dyDescent="0.3">
      <c r="A121" s="34"/>
      <c r="B121" s="15" t="str">
        <f>CONCATENATE("     ","Services                                          ")</f>
        <v xml:space="preserve">     Services                                          </v>
      </c>
      <c r="C121" s="15"/>
      <c r="D121" s="2">
        <f>SUM(OSRRefD21_18x_0)</f>
        <v>4006.32</v>
      </c>
      <c r="E121" s="2">
        <f>SUM(OSRRefD21_18x_1)</f>
        <v>12958.730000000001</v>
      </c>
      <c r="F121" s="2">
        <f>SUM(OSRRefD21_18x_2)</f>
        <v>4255.71</v>
      </c>
      <c r="G121" s="2">
        <f>SUM(OSRRefD21_18x_3)</f>
        <v>5241.84</v>
      </c>
      <c r="H121" s="2">
        <f>SUM(OSRRefD21_18x_4)</f>
        <v>4500.9799999999996</v>
      </c>
      <c r="I121" s="2">
        <f>SUM(OSRRefD21_18x_5)</f>
        <v>4823.41</v>
      </c>
      <c r="J121" s="2">
        <f>SUM(OSRRefD21_18x_6)</f>
        <v>4457.3099999999995</v>
      </c>
      <c r="K121" s="2">
        <f>SUM(OSRRefD21_18x_7)</f>
        <v>7009.93</v>
      </c>
      <c r="L121" s="2">
        <f>SUM(OSRRefD21_18x_8)</f>
        <v>4639.4000000000005</v>
      </c>
      <c r="M121" s="2">
        <f>SUM(OSRRefD21_18x_9)</f>
        <v>4617.1299999999992</v>
      </c>
      <c r="N121" s="2">
        <f>SUM(OSRRefE21_18x_0)</f>
        <v>4360</v>
      </c>
      <c r="O121" s="2">
        <f>SUM(OSRRefE21_18x_1)</f>
        <v>4420</v>
      </c>
      <c r="Q121" s="3">
        <f>SUM(OSRRefD20_18x)+IFERROR(SUM(OSRRefE20_18x),0)</f>
        <v>65290.76</v>
      </c>
    </row>
    <row r="122" spans="1:17" s="42" customFormat="1" ht="15" hidden="1" customHeight="1" outlineLevel="1" x14ac:dyDescent="0.3">
      <c r="A122" s="34"/>
      <c r="B122" s="11" t="str">
        <f>CONCATENATE("          ","6282"," - ","JANITORIAL/EXTERMINATOR EXPENS")</f>
        <v xml:space="preserve">          6282 - JANITORIAL/EXTERMINATOR EXPENS</v>
      </c>
      <c r="C122" s="15"/>
      <c r="D122" s="3"/>
      <c r="E122" s="3">
        <v>291</v>
      </c>
      <c r="F122" s="3">
        <v>684.57</v>
      </c>
      <c r="G122" s="3">
        <v>753.11</v>
      </c>
      <c r="H122" s="3">
        <v>129</v>
      </c>
      <c r="I122" s="3">
        <v>267</v>
      </c>
      <c r="J122" s="3">
        <v>69</v>
      </c>
      <c r="K122" s="3">
        <v>350.3</v>
      </c>
      <c r="L122" s="3">
        <v>209.65</v>
      </c>
      <c r="M122" s="3">
        <v>209.65</v>
      </c>
      <c r="N122" s="3">
        <v>4300</v>
      </c>
      <c r="O122" s="3">
        <v>4300</v>
      </c>
      <c r="P122" s="10"/>
      <c r="Q122" s="3">
        <f>SUM(OSRRefD21_18_0x)+IFERROR(SUM(OSRRefE21_18_0x),0)</f>
        <v>11563.28</v>
      </c>
    </row>
    <row r="123" spans="1:17" s="42" customFormat="1" ht="15" hidden="1" customHeight="1" outlineLevel="1" x14ac:dyDescent="0.3">
      <c r="A123" s="34"/>
      <c r="B123" s="11" t="str">
        <f>CONCATENATE("          ","6284"," - ","TRASH REMOVAL EXPENSE")</f>
        <v xml:space="preserve">          6284 - TRASH REMOVAL EXPENSE</v>
      </c>
      <c r="C123" s="15"/>
      <c r="D123" s="3">
        <v>142.57</v>
      </c>
      <c r="E123" s="3">
        <v>149.69999999999999</v>
      </c>
      <c r="F123" s="3">
        <v>149.69999999999999</v>
      </c>
      <c r="G123" s="3">
        <v>149.69999999999999</v>
      </c>
      <c r="H123" s="3">
        <v>149.69999999999999</v>
      </c>
      <c r="I123" s="3">
        <v>149.69999999999999</v>
      </c>
      <c r="J123" s="3">
        <v>149.69999999999999</v>
      </c>
      <c r="K123" s="3">
        <v>149.69999999999999</v>
      </c>
      <c r="L123" s="3">
        <v>149.69999999999999</v>
      </c>
      <c r="M123" s="3"/>
      <c r="N123" s="3">
        <v>60</v>
      </c>
      <c r="O123" s="3">
        <v>120</v>
      </c>
      <c r="P123" s="10"/>
      <c r="Q123" s="3">
        <f>SUM(OSRRefD21_18_1x)+IFERROR(SUM(OSRRefE21_18_1x),0)</f>
        <v>1520.17</v>
      </c>
    </row>
    <row r="124" spans="1:17" s="42" customFormat="1" ht="15" hidden="1" customHeight="1" outlineLevel="1" x14ac:dyDescent="0.3">
      <c r="A124" s="34"/>
      <c r="B124" s="11" t="str">
        <f>CONCATENATE("          ","6285"," - ","JANITORIAL SERVICES")</f>
        <v xml:space="preserve">          6285 - JANITORIAL SERVICES</v>
      </c>
      <c r="C124" s="15"/>
      <c r="D124" s="3">
        <v>3863.75</v>
      </c>
      <c r="E124" s="3">
        <v>12518.03</v>
      </c>
      <c r="F124" s="3">
        <v>3421.44</v>
      </c>
      <c r="G124" s="3">
        <v>4339.03</v>
      </c>
      <c r="H124" s="3">
        <v>4222.28</v>
      </c>
      <c r="I124" s="3">
        <v>4406.71</v>
      </c>
      <c r="J124" s="3">
        <v>4238.6099999999997</v>
      </c>
      <c r="K124" s="3">
        <v>6509.93</v>
      </c>
      <c r="L124" s="3">
        <v>4280.05</v>
      </c>
      <c r="M124" s="3">
        <v>4407.4799999999996</v>
      </c>
      <c r="N124" s="3"/>
      <c r="O124" s="3"/>
      <c r="P124" s="10"/>
      <c r="Q124" s="3">
        <f>SUM(OSRRefD21_18_2x)+IFERROR(SUM(OSRRefE21_18_2x),0)</f>
        <v>52207.31</v>
      </c>
    </row>
    <row r="125" spans="1:17" s="42" customFormat="1" ht="15" customHeight="1" collapsed="1" x14ac:dyDescent="0.3">
      <c r="A125" s="34"/>
      <c r="B125" s="15" t="str">
        <f>CONCATENATE("     ","Subscriptions &amp; Dues                              ")</f>
        <v xml:space="preserve">     Subscriptions &amp; Dues                              </v>
      </c>
      <c r="C125" s="15"/>
      <c r="D125" s="2">
        <f>SUM(OSRRefD21_19x_0)</f>
        <v>68.319999999999993</v>
      </c>
      <c r="E125" s="2">
        <f>SUM(OSRRefD21_19x_1)</f>
        <v>57</v>
      </c>
      <c r="F125" s="2">
        <f>SUM(OSRRefD21_19x_2)</f>
        <v>-72.56</v>
      </c>
      <c r="G125" s="2">
        <f>SUM(OSRRefD21_19x_3)</f>
        <v>904.08</v>
      </c>
      <c r="H125" s="2">
        <f>SUM(OSRRefD21_19x_4)</f>
        <v>148.66</v>
      </c>
      <c r="I125" s="2">
        <f>SUM(OSRRefD21_19x_5)</f>
        <v>286.24</v>
      </c>
      <c r="J125" s="2">
        <f>SUM(OSRRefD21_19x_6)</f>
        <v>301.99</v>
      </c>
      <c r="K125" s="2">
        <f>SUM(OSRRefD21_19x_7)</f>
        <v>176.99</v>
      </c>
      <c r="L125" s="2">
        <f>SUM(OSRRefD21_19x_8)</f>
        <v>606.92999999999995</v>
      </c>
      <c r="M125" s="2">
        <f>SUM(OSRRefD21_19x_9)</f>
        <v>2418.29</v>
      </c>
      <c r="N125" s="2">
        <f>SUM(OSRRefE21_19x_0)</f>
        <v>481</v>
      </c>
      <c r="O125" s="2">
        <f>SUM(OSRRefE21_19x_1)</f>
        <v>661</v>
      </c>
      <c r="Q125" s="3">
        <f>SUM(OSRRefD20_19x)+IFERROR(SUM(OSRRefE20_19x),0)</f>
        <v>6037.9400000000005</v>
      </c>
    </row>
    <row r="126" spans="1:17" s="42" customFormat="1" ht="15" hidden="1" customHeight="1" outlineLevel="1" x14ac:dyDescent="0.3">
      <c r="A126" s="34"/>
      <c r="B126" s="11" t="str">
        <f>CONCATENATE("          ","6258"," - ","MEMBERSHIP DUES")</f>
        <v xml:space="preserve">          6258 - MEMBERSHIP DUES</v>
      </c>
      <c r="C126" s="15"/>
      <c r="D126" s="3">
        <v>68.319999999999993</v>
      </c>
      <c r="E126" s="3">
        <v>57</v>
      </c>
      <c r="F126" s="3">
        <v>-72.56</v>
      </c>
      <c r="G126" s="3">
        <v>904.08</v>
      </c>
      <c r="H126" s="3">
        <v>148.66</v>
      </c>
      <c r="I126" s="3">
        <v>286.24</v>
      </c>
      <c r="J126" s="3">
        <v>301.99</v>
      </c>
      <c r="K126" s="3">
        <v>176.99</v>
      </c>
      <c r="L126" s="3">
        <v>606.92999999999995</v>
      </c>
      <c r="M126" s="3">
        <v>510.65</v>
      </c>
      <c r="N126" s="3">
        <v>300</v>
      </c>
      <c r="O126" s="3">
        <v>500</v>
      </c>
      <c r="P126" s="10"/>
      <c r="Q126" s="3">
        <f>SUM(OSRRefD21_19_0x)+IFERROR(SUM(OSRRefE21_19_0x),0)</f>
        <v>3788.3</v>
      </c>
    </row>
    <row r="127" spans="1:17" s="42" customFormat="1" ht="15" hidden="1" customHeight="1" outlineLevel="1" x14ac:dyDescent="0.3">
      <c r="A127" s="34"/>
      <c r="B127" s="11" t="str">
        <f>CONCATENATE("          ","6275"," - ","SUBSCRIPTIONS")</f>
        <v xml:space="preserve">          6275 - SUBSCRIPTIONS</v>
      </c>
      <c r="C127" s="15"/>
      <c r="D127" s="3"/>
      <c r="E127" s="3"/>
      <c r="F127" s="3"/>
      <c r="G127" s="3"/>
      <c r="H127" s="3"/>
      <c r="I127" s="3"/>
      <c r="J127" s="3"/>
      <c r="K127" s="3"/>
      <c r="L127" s="3"/>
      <c r="M127" s="3">
        <v>1907.64</v>
      </c>
      <c r="N127" s="3">
        <v>181</v>
      </c>
      <c r="O127" s="3">
        <v>161</v>
      </c>
      <c r="P127" s="10"/>
      <c r="Q127" s="3">
        <f>SUM(OSRRefD21_19_1x)+IFERROR(SUM(OSRRefE21_19_1x),0)</f>
        <v>2249.6400000000003</v>
      </c>
    </row>
    <row r="128" spans="1:17" s="42" customFormat="1" ht="15" customHeight="1" collapsed="1" x14ac:dyDescent="0.3">
      <c r="A128" s="34"/>
      <c r="B128" s="15" t="str">
        <f>CONCATENATE("     ","Supplies                                          ")</f>
        <v xml:space="preserve">     Supplies                                          </v>
      </c>
      <c r="C128" s="15"/>
      <c r="D128" s="2">
        <f>SUM(OSRRefD21_20x_0)</f>
        <v>9128.16</v>
      </c>
      <c r="E128" s="2">
        <f>SUM(OSRRefD21_20x_1)</f>
        <v>16315.83</v>
      </c>
      <c r="F128" s="2">
        <f>SUM(OSRRefD21_20x_2)</f>
        <v>5201.7299999999996</v>
      </c>
      <c r="G128" s="2">
        <f>SUM(OSRRefD21_20x_3)</f>
        <v>12404.46</v>
      </c>
      <c r="H128" s="2">
        <f>SUM(OSRRefD21_20x_4)</f>
        <v>6962.4400000000005</v>
      </c>
      <c r="I128" s="2">
        <f>SUM(OSRRefD21_20x_5)</f>
        <v>6011.63</v>
      </c>
      <c r="J128" s="2">
        <f>SUM(OSRRefD21_20x_6)</f>
        <v>3947.6</v>
      </c>
      <c r="K128" s="2">
        <f>SUM(OSRRefD21_20x_7)</f>
        <v>20061.739999999998</v>
      </c>
      <c r="L128" s="2">
        <f>SUM(OSRRefD21_20x_8)</f>
        <v>9875.9000000000015</v>
      </c>
      <c r="M128" s="2">
        <f>SUM(OSRRefD21_20x_9)</f>
        <v>12834.929999999998</v>
      </c>
      <c r="N128" s="2">
        <f>SUM(OSRRefE21_20x_0)</f>
        <v>12230</v>
      </c>
      <c r="O128" s="2">
        <f>SUM(OSRRefE21_20x_1)</f>
        <v>7940</v>
      </c>
      <c r="Q128" s="3">
        <f>SUM(OSRRefD20_20x)+IFERROR(SUM(OSRRefE20_20x),0)</f>
        <v>122914.41999999998</v>
      </c>
    </row>
    <row r="129" spans="1:17" s="42" customFormat="1" ht="15" hidden="1" customHeight="1" outlineLevel="1" x14ac:dyDescent="0.3">
      <c r="A129" s="34"/>
      <c r="B129" s="11" t="str">
        <f>CONCATENATE("          ","6234"," - ","EXPENDABLE SUPPLIES &amp; EQUIPMEN")</f>
        <v xml:space="preserve">          6234 - EXPENDABLE SUPPLIES &amp; EQUIPMEN</v>
      </c>
      <c r="C129" s="15"/>
      <c r="D129" s="3"/>
      <c r="E129" s="3"/>
      <c r="F129" s="3"/>
      <c r="G129" s="3">
        <v>2542.41</v>
      </c>
      <c r="H129" s="3">
        <v>2747.16</v>
      </c>
      <c r="I129" s="3"/>
      <c r="J129" s="3"/>
      <c r="K129" s="3"/>
      <c r="L129" s="3"/>
      <c r="M129" s="3">
        <v>4993.3100000000004</v>
      </c>
      <c r="N129" s="3">
        <v>300</v>
      </c>
      <c r="O129" s="3">
        <v>300</v>
      </c>
      <c r="P129" s="10"/>
      <c r="Q129" s="3">
        <f>SUM(OSRRefD21_20_0x)+IFERROR(SUM(OSRRefE21_20_0x),0)</f>
        <v>10882.880000000001</v>
      </c>
    </row>
    <row r="130" spans="1:17" s="42" customFormat="1" ht="15" hidden="1" customHeight="1" outlineLevel="1" x14ac:dyDescent="0.3">
      <c r="A130" s="34"/>
      <c r="B130" s="11" t="str">
        <f>CONCATENATE("          ","6235"," - ","COVID-19 EXPENSES")</f>
        <v xml:space="preserve">          6235 - COVID-19 EXPENSES</v>
      </c>
      <c r="C130" s="15"/>
      <c r="D130" s="3">
        <v>272.22000000000003</v>
      </c>
      <c r="E130" s="3">
        <v>2695.61</v>
      </c>
      <c r="F130" s="3">
        <v>462.49</v>
      </c>
      <c r="G130" s="3"/>
      <c r="H130" s="3"/>
      <c r="I130" s="3"/>
      <c r="J130" s="3"/>
      <c r="K130" s="3"/>
      <c r="L130" s="3"/>
      <c r="M130" s="3"/>
      <c r="N130" s="3">
        <v>125</v>
      </c>
      <c r="O130" s="3">
        <v>125</v>
      </c>
      <c r="P130" s="10"/>
      <c r="Q130" s="3">
        <f>SUM(OSRRefD21_20_1x)+IFERROR(SUM(OSRRefE21_20_1x),0)</f>
        <v>3680.3199999999997</v>
      </c>
    </row>
    <row r="131" spans="1:17" s="42" customFormat="1" ht="15" hidden="1" customHeight="1" outlineLevel="1" x14ac:dyDescent="0.3">
      <c r="A131" s="34"/>
      <c r="B131" s="11" t="str">
        <f>CONCATENATE("          ","6237"," - ","JANITORIAL SUPPLIES")</f>
        <v xml:space="preserve">          6237 - JANITORIAL SUPPLIES</v>
      </c>
      <c r="C131" s="15"/>
      <c r="D131" s="3">
        <v>655.97</v>
      </c>
      <c r="E131" s="3">
        <v>1169.72</v>
      </c>
      <c r="F131" s="3">
        <v>247</v>
      </c>
      <c r="G131" s="3">
        <v>1303.78</v>
      </c>
      <c r="H131" s="3">
        <v>489.67</v>
      </c>
      <c r="I131" s="3"/>
      <c r="J131" s="3">
        <v>665.03</v>
      </c>
      <c r="K131" s="3"/>
      <c r="L131" s="3">
        <v>257.99</v>
      </c>
      <c r="M131" s="3">
        <v>1406.74</v>
      </c>
      <c r="N131" s="3">
        <v>50</v>
      </c>
      <c r="O131" s="3">
        <v>10</v>
      </c>
      <c r="P131" s="10"/>
      <c r="Q131" s="3">
        <f>SUM(OSRRefD21_20_2x)+IFERROR(SUM(OSRRefE21_20_2x),0)</f>
        <v>6255.9</v>
      </c>
    </row>
    <row r="132" spans="1:17" s="42" customFormat="1" ht="15" hidden="1" customHeight="1" outlineLevel="1" x14ac:dyDescent="0.3">
      <c r="A132" s="34"/>
      <c r="B132" s="11" t="str">
        <f>CONCATENATE("          ","6241"," - ","OFFICE EXPENSE")</f>
        <v xml:space="preserve">          6241 - OFFICE EXPENSE</v>
      </c>
      <c r="C132" s="15"/>
      <c r="D132" s="3">
        <v>415.21</v>
      </c>
      <c r="E132" s="3">
        <v>5642.81</v>
      </c>
      <c r="F132" s="3">
        <v>128.32</v>
      </c>
      <c r="G132" s="3">
        <v>1149.57</v>
      </c>
      <c r="H132" s="3">
        <v>569.61</v>
      </c>
      <c r="I132" s="3">
        <v>886.72</v>
      </c>
      <c r="J132" s="3">
        <v>491.99</v>
      </c>
      <c r="K132" s="3">
        <v>4058.37</v>
      </c>
      <c r="L132" s="3">
        <v>1845.19</v>
      </c>
      <c r="M132" s="3">
        <v>3839</v>
      </c>
      <c r="N132" s="3">
        <v>580</v>
      </c>
      <c r="O132" s="3">
        <v>530</v>
      </c>
      <c r="P132" s="10"/>
      <c r="Q132" s="3">
        <f>SUM(OSRRefD21_20_3x)+IFERROR(SUM(OSRRefE21_20_3x),0)</f>
        <v>20136.79</v>
      </c>
    </row>
    <row r="133" spans="1:17" s="42" customFormat="1" ht="15" hidden="1" customHeight="1" outlineLevel="1" x14ac:dyDescent="0.3">
      <c r="A133" s="34"/>
      <c r="B133" s="11" t="str">
        <f>CONCATENATE("          ","6243"," - ","PAPER SUPPLIES")</f>
        <v xml:space="preserve">          6243 - PAPER SUPPLIES</v>
      </c>
      <c r="C133" s="15"/>
      <c r="D133" s="3">
        <v>1649.24</v>
      </c>
      <c r="E133" s="3">
        <v>1801.68</v>
      </c>
      <c r="F133" s="3"/>
      <c r="G133" s="3">
        <v>735.87</v>
      </c>
      <c r="H133" s="3">
        <v>284.11</v>
      </c>
      <c r="I133" s="3"/>
      <c r="J133" s="3">
        <v>78.34</v>
      </c>
      <c r="K133" s="3">
        <v>1072.69</v>
      </c>
      <c r="L133" s="3">
        <v>1213.21</v>
      </c>
      <c r="M133" s="3">
        <v>410.22</v>
      </c>
      <c r="N133" s="3">
        <v>2800</v>
      </c>
      <c r="O133" s="3">
        <v>1250</v>
      </c>
      <c r="P133" s="10"/>
      <c r="Q133" s="3">
        <f>SUM(OSRRefD21_20_4x)+IFERROR(SUM(OSRRefE21_20_4x),0)</f>
        <v>11295.36</v>
      </c>
    </row>
    <row r="134" spans="1:17" s="42" customFormat="1" ht="15" hidden="1" customHeight="1" outlineLevel="1" x14ac:dyDescent="0.3">
      <c r="A134" s="34"/>
      <c r="B134" s="11" t="str">
        <f>CONCATENATE("          ","6245"," - ","PRINTING")</f>
        <v xml:space="preserve">          6245 - PRINTING</v>
      </c>
      <c r="C134" s="15"/>
      <c r="D134" s="3">
        <v>251.64</v>
      </c>
      <c r="E134" s="3">
        <v>-851.82</v>
      </c>
      <c r="F134" s="3">
        <v>276.43</v>
      </c>
      <c r="G134" s="3">
        <v>296.68</v>
      </c>
      <c r="H134" s="3">
        <v>1092.56</v>
      </c>
      <c r="I134" s="3">
        <v>1046.49</v>
      </c>
      <c r="J134" s="3">
        <v>689.76</v>
      </c>
      <c r="K134" s="3">
        <v>502.78</v>
      </c>
      <c r="L134" s="3">
        <v>3682</v>
      </c>
      <c r="M134" s="3">
        <v>-45.84</v>
      </c>
      <c r="N134" s="3">
        <v>2300</v>
      </c>
      <c r="O134" s="3">
        <v>50</v>
      </c>
      <c r="P134" s="10"/>
      <c r="Q134" s="3">
        <f>SUM(OSRRefD21_20_5x)+IFERROR(SUM(OSRRefE21_20_5x),0)</f>
        <v>9290.68</v>
      </c>
    </row>
    <row r="135" spans="1:17" s="42" customFormat="1" ht="15" hidden="1" customHeight="1" outlineLevel="1" x14ac:dyDescent="0.3">
      <c r="A135" s="34"/>
      <c r="B135" s="11" t="str">
        <f>CONCATENATE("          ","6247"," - ","STORE SUPPLIES")</f>
        <v xml:space="preserve">          6247 - STORE SUPPLIES</v>
      </c>
      <c r="C135" s="15"/>
      <c r="D135" s="3">
        <v>5883.88</v>
      </c>
      <c r="E135" s="3">
        <v>5857.83</v>
      </c>
      <c r="F135" s="3">
        <v>4087.49</v>
      </c>
      <c r="G135" s="3">
        <v>6376.15</v>
      </c>
      <c r="H135" s="3">
        <v>1779.33</v>
      </c>
      <c r="I135" s="3">
        <v>4078.42</v>
      </c>
      <c r="J135" s="3">
        <v>2022.48</v>
      </c>
      <c r="K135" s="3">
        <v>14427.9</v>
      </c>
      <c r="L135" s="3">
        <v>2877.51</v>
      </c>
      <c r="M135" s="3">
        <v>2231.5</v>
      </c>
      <c r="N135" s="3">
        <v>6075</v>
      </c>
      <c r="O135" s="3">
        <v>5675</v>
      </c>
      <c r="P135" s="10"/>
      <c r="Q135" s="3">
        <f>SUM(OSRRefD21_20_6x)+IFERROR(SUM(OSRRefE21_20_6x),0)</f>
        <v>61372.49</v>
      </c>
    </row>
    <row r="136" spans="1:17" s="42" customFormat="1" ht="15" customHeight="1" collapsed="1" x14ac:dyDescent="0.3">
      <c r="A136" s="34"/>
      <c r="B136" s="15" t="str">
        <f>CONCATENATE("     ","Telephone/Data Lines                              ")</f>
        <v xml:space="preserve">     Telephone/Data Lines                              </v>
      </c>
      <c r="C136" s="15"/>
      <c r="D136" s="2">
        <f>SUM(OSRRefD21_21x_0)</f>
        <v>1851.74</v>
      </c>
      <c r="E136" s="2">
        <f>SUM(OSRRefD21_21x_1)</f>
        <v>2291.39</v>
      </c>
      <c r="F136" s="2">
        <f>SUM(OSRRefD21_21x_2)</f>
        <v>1721.14</v>
      </c>
      <c r="G136" s="2">
        <f>SUM(OSRRefD21_21x_3)</f>
        <v>2607.34</v>
      </c>
      <c r="H136" s="2">
        <f>SUM(OSRRefD21_21x_4)</f>
        <v>2077.14</v>
      </c>
      <c r="I136" s="2">
        <f>SUM(OSRRefD21_21x_5)</f>
        <v>1372.46</v>
      </c>
      <c r="J136" s="2">
        <f>SUM(OSRRefD21_21x_6)</f>
        <v>2491.98</v>
      </c>
      <c r="K136" s="2">
        <f>SUM(OSRRefD21_21x_7)</f>
        <v>1862.87</v>
      </c>
      <c r="L136" s="2">
        <f>SUM(OSRRefD21_21x_8)</f>
        <v>1823.1</v>
      </c>
      <c r="M136" s="2">
        <f>SUM(OSRRefD21_21x_9)</f>
        <v>2313.91</v>
      </c>
      <c r="N136" s="2">
        <f>SUM(OSRRefE21_21x_0)</f>
        <v>2060</v>
      </c>
      <c r="O136" s="2">
        <f>SUM(OSRRefE21_21x_1)</f>
        <v>2060</v>
      </c>
      <c r="Q136" s="3">
        <f>SUM(OSRRefD20_21x)+IFERROR(SUM(OSRRefE20_21x),0)</f>
        <v>24533.069999999996</v>
      </c>
    </row>
    <row r="137" spans="1:17" s="42" customFormat="1" ht="15" hidden="1" customHeight="1" outlineLevel="1" x14ac:dyDescent="0.3">
      <c r="A137" s="34"/>
      <c r="B137" s="11" t="str">
        <f>CONCATENATE("          ","6303"," - ","DATA PHONE LINES")</f>
        <v xml:space="preserve">          6303 - DATA PHONE LINES</v>
      </c>
      <c r="C137" s="15"/>
      <c r="D137" s="3">
        <v>295</v>
      </c>
      <c r="E137" s="3"/>
      <c r="F137" s="3"/>
      <c r="G137" s="3"/>
      <c r="H137" s="3"/>
      <c r="I137" s="3"/>
      <c r="J137" s="3"/>
      <c r="K137" s="3"/>
      <c r="L137" s="3"/>
      <c r="M137" s="3"/>
      <c r="N137" s="3">
        <v>0</v>
      </c>
      <c r="O137" s="3">
        <v>0</v>
      </c>
      <c r="P137" s="10"/>
      <c r="Q137" s="3">
        <f>SUM(OSRRefD21_21_0x)+IFERROR(SUM(OSRRefE21_21_0x),0)</f>
        <v>295</v>
      </c>
    </row>
    <row r="138" spans="1:17" s="42" customFormat="1" ht="15" hidden="1" customHeight="1" outlineLevel="1" x14ac:dyDescent="0.3">
      <c r="A138" s="34"/>
      <c r="B138" s="11" t="str">
        <f>CONCATENATE("          ","6309"," - ","TELEPHONE")</f>
        <v xml:space="preserve">          6309 - TELEPHONE</v>
      </c>
      <c r="C138" s="15"/>
      <c r="D138" s="3">
        <v>1556.74</v>
      </c>
      <c r="E138" s="3">
        <v>2291.39</v>
      </c>
      <c r="F138" s="3">
        <v>1721.14</v>
      </c>
      <c r="G138" s="3">
        <v>2607.34</v>
      </c>
      <c r="H138" s="3">
        <v>2077.14</v>
      </c>
      <c r="I138" s="3">
        <v>1372.46</v>
      </c>
      <c r="J138" s="3">
        <v>2491.98</v>
      </c>
      <c r="K138" s="3">
        <v>1862.87</v>
      </c>
      <c r="L138" s="3">
        <v>1823.1</v>
      </c>
      <c r="M138" s="3">
        <v>2313.91</v>
      </c>
      <c r="N138" s="3">
        <v>2060</v>
      </c>
      <c r="O138" s="3">
        <v>2060</v>
      </c>
      <c r="P138" s="10"/>
      <c r="Q138" s="3">
        <f>SUM(OSRRefD21_21_1x)+IFERROR(SUM(OSRRefE21_21_1x),0)</f>
        <v>24238.069999999996</v>
      </c>
    </row>
    <row r="139" spans="1:17" s="42" customFormat="1" ht="15" customHeight="1" collapsed="1" x14ac:dyDescent="0.3">
      <c r="A139" s="34"/>
      <c r="B139" s="15" t="str">
        <f>CONCATENATE("     ","Training                                          ")</f>
        <v xml:space="preserve">     Training                                          </v>
      </c>
      <c r="C139" s="15"/>
      <c r="D139" s="2">
        <f>SUM(OSRRefD21_22x_0)</f>
        <v>0</v>
      </c>
      <c r="E139" s="2">
        <f>SUM(OSRRefD21_22x_1)</f>
        <v>0</v>
      </c>
      <c r="F139" s="2">
        <f>SUM(OSRRefD21_22x_2)</f>
        <v>595</v>
      </c>
      <c r="G139" s="2">
        <f>SUM(OSRRefD21_22x_3)</f>
        <v>0</v>
      </c>
      <c r="H139" s="2">
        <f>SUM(OSRRefD21_22x_4)</f>
        <v>0</v>
      </c>
      <c r="I139" s="2">
        <f>SUM(OSRRefD21_22x_5)</f>
        <v>0</v>
      </c>
      <c r="J139" s="2">
        <f>SUM(OSRRefD21_22x_6)</f>
        <v>0</v>
      </c>
      <c r="K139" s="2">
        <f>SUM(OSRRefD21_22x_7)</f>
        <v>300</v>
      </c>
      <c r="L139" s="2">
        <f>SUM(OSRRefD21_22x_8)</f>
        <v>199</v>
      </c>
      <c r="M139" s="2">
        <f>SUM(OSRRefD21_22x_9)</f>
        <v>125</v>
      </c>
      <c r="N139" s="2">
        <f>SUM(OSRRefE21_22x_0)</f>
        <v>0</v>
      </c>
      <c r="O139" s="2">
        <f>SUM(OSRRefE21_22x_1)</f>
        <v>0</v>
      </c>
      <c r="Q139" s="3">
        <f>SUM(OSRRefD20_22x)+IFERROR(SUM(OSRRefE20_22x),0)</f>
        <v>1219</v>
      </c>
    </row>
    <row r="140" spans="1:17" s="42" customFormat="1" ht="15" hidden="1" customHeight="1" outlineLevel="1" x14ac:dyDescent="0.3">
      <c r="A140" s="34"/>
      <c r="B140" s="11" t="str">
        <f>CONCATENATE("          ","6376"," - ","TRAINING")</f>
        <v xml:space="preserve">          6376 - TRAINING</v>
      </c>
      <c r="C140" s="15"/>
      <c r="D140" s="3"/>
      <c r="E140" s="3"/>
      <c r="F140" s="3">
        <v>595</v>
      </c>
      <c r="G140" s="3"/>
      <c r="H140" s="3"/>
      <c r="I140" s="3"/>
      <c r="J140" s="3"/>
      <c r="K140" s="3">
        <v>300</v>
      </c>
      <c r="L140" s="3">
        <v>199</v>
      </c>
      <c r="M140" s="3">
        <v>125</v>
      </c>
      <c r="N140" s="3">
        <v>0</v>
      </c>
      <c r="O140" s="3"/>
      <c r="P140" s="10"/>
      <c r="Q140" s="3">
        <f>SUM(OSRRefD21_22_0x)+IFERROR(SUM(OSRRefE21_22_0x),0)</f>
        <v>1219</v>
      </c>
    </row>
    <row r="141" spans="1:17" s="42" customFormat="1" ht="15" customHeight="1" collapsed="1" x14ac:dyDescent="0.3">
      <c r="A141" s="34"/>
      <c r="B141" s="15" t="str">
        <f>CONCATENATE("     ","Travel                                            ")</f>
        <v xml:space="preserve">     Travel                                            </v>
      </c>
      <c r="C141" s="15"/>
      <c r="D141" s="2">
        <f>SUM(OSRRefD21_23x_0)</f>
        <v>683.14</v>
      </c>
      <c r="E141" s="2">
        <f>SUM(OSRRefD21_23x_1)</f>
        <v>0</v>
      </c>
      <c r="F141" s="2">
        <f>SUM(OSRRefD21_23x_2)</f>
        <v>27.39</v>
      </c>
      <c r="G141" s="2">
        <f>SUM(OSRRefD21_23x_3)</f>
        <v>50</v>
      </c>
      <c r="H141" s="2">
        <f>SUM(OSRRefD21_23x_4)</f>
        <v>97.08</v>
      </c>
      <c r="I141" s="2">
        <f>SUM(OSRRefD21_23x_5)</f>
        <v>24.4</v>
      </c>
      <c r="J141" s="2">
        <f>SUM(OSRRefD21_23x_6)</f>
        <v>0</v>
      </c>
      <c r="K141" s="2">
        <f>SUM(OSRRefD21_23x_7)</f>
        <v>206.75</v>
      </c>
      <c r="L141" s="2">
        <f>SUM(OSRRefD21_23x_8)</f>
        <v>46.81</v>
      </c>
      <c r="M141" s="2">
        <f>SUM(OSRRefD21_23x_9)</f>
        <v>149.41</v>
      </c>
      <c r="N141" s="2">
        <f>SUM(OSRRefE21_23x_0)</f>
        <v>175</v>
      </c>
      <c r="O141" s="2">
        <f>SUM(OSRRefE21_23x_1)</f>
        <v>175</v>
      </c>
      <c r="Q141" s="3">
        <f>SUM(OSRRefD20_23x)+IFERROR(SUM(OSRRefE20_23x),0)</f>
        <v>1634.98</v>
      </c>
    </row>
    <row r="142" spans="1:17" s="42" customFormat="1" ht="15" hidden="1" customHeight="1" outlineLevel="1" x14ac:dyDescent="0.3">
      <c r="A142" s="34"/>
      <c r="B142" s="11" t="str">
        <f>CONCATENATE("          ","6292"," - ","TRAVEL/CONFERENCE")</f>
        <v xml:space="preserve">          6292 - TRAVEL/CONFERENCE</v>
      </c>
      <c r="C142" s="15"/>
      <c r="D142" s="3">
        <v>495</v>
      </c>
      <c r="E142" s="3"/>
      <c r="F142" s="3"/>
      <c r="G142" s="3"/>
      <c r="H142" s="3"/>
      <c r="I142" s="3"/>
      <c r="J142" s="3"/>
      <c r="K142" s="3"/>
      <c r="L142" s="3"/>
      <c r="M142" s="3"/>
      <c r="N142" s="3">
        <v>125</v>
      </c>
      <c r="O142" s="3">
        <v>125</v>
      </c>
      <c r="P142" s="10"/>
      <c r="Q142" s="3">
        <f>SUM(OSRRefD21_23_0x)+IFERROR(SUM(OSRRefE21_23_0x),0)</f>
        <v>745</v>
      </c>
    </row>
    <row r="143" spans="1:17" s="42" customFormat="1" ht="15" hidden="1" customHeight="1" outlineLevel="1" x14ac:dyDescent="0.3">
      <c r="A143" s="34"/>
      <c r="B143" s="11" t="str">
        <f>CONCATENATE("          ","6294"," - ","TRAVEL OPERATIONAL")</f>
        <v xml:space="preserve">          6294 - TRAVEL OPERATIONAL</v>
      </c>
      <c r="C143" s="15"/>
      <c r="D143" s="3">
        <v>188.14</v>
      </c>
      <c r="E143" s="3"/>
      <c r="F143" s="3">
        <v>27.39</v>
      </c>
      <c r="G143" s="3"/>
      <c r="H143" s="3"/>
      <c r="I143" s="3">
        <v>24.4</v>
      </c>
      <c r="J143" s="3"/>
      <c r="K143" s="3">
        <v>116.74</v>
      </c>
      <c r="L143" s="3">
        <v>46.81</v>
      </c>
      <c r="M143" s="3"/>
      <c r="N143" s="3">
        <v>25</v>
      </c>
      <c r="O143" s="3">
        <v>25</v>
      </c>
      <c r="P143" s="10"/>
      <c r="Q143" s="3">
        <f>SUM(OSRRefD21_23_1x)+IFERROR(SUM(OSRRefE21_23_1x),0)</f>
        <v>453.47999999999996</v>
      </c>
    </row>
    <row r="144" spans="1:17" s="42" customFormat="1" ht="15" hidden="1" customHeight="1" outlineLevel="1" x14ac:dyDescent="0.3">
      <c r="A144" s="34"/>
      <c r="B144" s="11" t="str">
        <f>CONCATENATE("          ","6298"," - ","VEHICLE MILEAGE")</f>
        <v xml:space="preserve">          6298 - VEHICLE MILEAGE</v>
      </c>
      <c r="C144" s="15"/>
      <c r="D144" s="3"/>
      <c r="E144" s="3"/>
      <c r="F144" s="3"/>
      <c r="G144" s="3">
        <v>50</v>
      </c>
      <c r="H144" s="3">
        <v>97.08</v>
      </c>
      <c r="I144" s="3"/>
      <c r="J144" s="3"/>
      <c r="K144" s="3">
        <v>90.01</v>
      </c>
      <c r="L144" s="3"/>
      <c r="M144" s="3">
        <v>149.41</v>
      </c>
      <c r="N144" s="3">
        <v>25</v>
      </c>
      <c r="O144" s="3">
        <v>25</v>
      </c>
      <c r="P144" s="10"/>
      <c r="Q144" s="3">
        <f>SUM(OSRRefD21_23_2x)+IFERROR(SUM(OSRRefE21_23_2x),0)</f>
        <v>436.5</v>
      </c>
    </row>
    <row r="145" spans="1:17" s="42" customFormat="1" ht="15" customHeight="1" collapsed="1" x14ac:dyDescent="0.3">
      <c r="A145" s="34"/>
      <c r="B145" s="15" t="str">
        <f>CONCATENATE("     ","Utilities                                         ")</f>
        <v xml:space="preserve">     Utilities                                         </v>
      </c>
      <c r="C145" s="15"/>
      <c r="D145" s="2">
        <f>SUM(OSRRefD21_24x_0)</f>
        <v>6036.49</v>
      </c>
      <c r="E145" s="2">
        <f>SUM(OSRRefD21_24x_1)</f>
        <v>6037.29</v>
      </c>
      <c r="F145" s="2">
        <f>SUM(OSRRefD21_24x_2)</f>
        <v>6037.6</v>
      </c>
      <c r="G145" s="2">
        <f>SUM(OSRRefD21_24x_3)</f>
        <v>6038.6</v>
      </c>
      <c r="H145" s="2">
        <f>SUM(OSRRefD21_24x_4)</f>
        <v>6033.61</v>
      </c>
      <c r="I145" s="2">
        <f>SUM(OSRRefD21_24x_5)</f>
        <v>62.92</v>
      </c>
      <c r="J145" s="2">
        <f>SUM(OSRRefD21_24x_6)</f>
        <v>6292.91</v>
      </c>
      <c r="K145" s="2">
        <f>SUM(OSRRefD21_24x_7)</f>
        <v>6355.65</v>
      </c>
      <c r="L145" s="2">
        <f>SUM(OSRRefD21_24x_8)</f>
        <v>6137.83</v>
      </c>
      <c r="M145" s="2">
        <f>SUM(OSRRefD21_24x_9)</f>
        <v>6254.32</v>
      </c>
      <c r="N145" s="2">
        <f>SUM(OSRRefE21_24x_0)</f>
        <v>6120</v>
      </c>
      <c r="O145" s="2">
        <f>SUM(OSRRefE21_24x_1)</f>
        <v>6120</v>
      </c>
      <c r="Q145" s="3">
        <f>SUM(OSRRefD20_24x)+IFERROR(SUM(OSRRefE20_24x),0)</f>
        <v>67527.22</v>
      </c>
    </row>
    <row r="146" spans="1:17" s="42" customFormat="1" ht="15" hidden="1" customHeight="1" outlineLevel="1" x14ac:dyDescent="0.3">
      <c r="A146" s="34"/>
      <c r="B146" s="11" t="str">
        <f>CONCATENATE("          ","6274"," - ","UTILITIES")</f>
        <v xml:space="preserve">          6274 - UTILITIES</v>
      </c>
      <c r="C146" s="15"/>
      <c r="D146" s="3">
        <v>6036.49</v>
      </c>
      <c r="E146" s="3">
        <v>6037.29</v>
      </c>
      <c r="F146" s="3">
        <v>6037.6</v>
      </c>
      <c r="G146" s="3">
        <v>6038.6</v>
      </c>
      <c r="H146" s="3">
        <v>6033.61</v>
      </c>
      <c r="I146" s="3">
        <v>62.92</v>
      </c>
      <c r="J146" s="3">
        <v>6292.91</v>
      </c>
      <c r="K146" s="3">
        <v>6355.65</v>
      </c>
      <c r="L146" s="3">
        <v>6137.83</v>
      </c>
      <c r="M146" s="3">
        <v>6254.32</v>
      </c>
      <c r="N146" s="3">
        <v>6120</v>
      </c>
      <c r="O146" s="3">
        <v>6120</v>
      </c>
      <c r="P146" s="10"/>
      <c r="Q146" s="3">
        <f>SUM(OSRRefD21_24_0x)+IFERROR(SUM(OSRRefE21_24_0x),0)</f>
        <v>67527.22</v>
      </c>
    </row>
    <row r="147" spans="1:17" s="40" customFormat="1" ht="15" customHeight="1" x14ac:dyDescent="0.3">
      <c r="A147" s="22"/>
      <c r="B147" s="22"/>
      <c r="C147" s="2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Q147" s="2"/>
    </row>
    <row r="148" spans="1:17" s="39" customFormat="1" ht="15" customHeight="1" x14ac:dyDescent="0.3">
      <c r="A148" s="24"/>
      <c r="B148" s="17" t="s">
        <v>287</v>
      </c>
      <c r="C148" s="23"/>
      <c r="D148" s="4">
        <f>--39834.23</f>
        <v>39834.230000000003</v>
      </c>
      <c r="E148" s="4">
        <f>--146544.04</f>
        <v>146544.04</v>
      </c>
      <c r="F148" s="4">
        <f>--179244.45</f>
        <v>179244.45</v>
      </c>
      <c r="G148" s="4">
        <f>--37823.51</f>
        <v>37823.51</v>
      </c>
      <c r="H148" s="4">
        <f>--54509.97</f>
        <v>54509.97</v>
      </c>
      <c r="I148" s="4">
        <f>--14550.55</f>
        <v>14550.55</v>
      </c>
      <c r="J148" s="4">
        <f>--47232.42</f>
        <v>47232.42</v>
      </c>
      <c r="K148" s="4">
        <f>--212753.64</f>
        <v>212753.64</v>
      </c>
      <c r="L148" s="4">
        <f>--181755.47</f>
        <v>181755.47</v>
      </c>
      <c r="M148" s="4">
        <f>--56550.91</f>
        <v>56550.91</v>
      </c>
      <c r="N148" s="4">
        <v>303583</v>
      </c>
      <c r="O148" s="4">
        <v>222100</v>
      </c>
      <c r="Q148" s="3">
        <f>SUM(OSRRefD23_0x)+IFERROR(SUM(OSRRefE23_0x),0)</f>
        <v>1496482.19</v>
      </c>
    </row>
    <row r="149" spans="1:17" ht="15" customHeight="1" x14ac:dyDescent="0.3">
      <c r="A149" s="6"/>
      <c r="B149" s="7"/>
      <c r="C149" s="7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Q149" s="4"/>
    </row>
    <row r="150" spans="1:17" s="37" customFormat="1" ht="15" customHeight="1" x14ac:dyDescent="0.3">
      <c r="A150" s="7"/>
      <c r="B150" s="18" t="s">
        <v>288</v>
      </c>
      <c r="C150" s="18"/>
      <c r="D150" s="9">
        <f t="shared" ref="D150:O150" si="2">IFERROR(+D54-D57+D148,0)</f>
        <v>-234469.15999999995</v>
      </c>
      <c r="E150" s="9">
        <f t="shared" si="2"/>
        <v>364578.14000000013</v>
      </c>
      <c r="F150" s="9">
        <f t="shared" si="2"/>
        <v>131917.64000000001</v>
      </c>
      <c r="G150" s="9">
        <f t="shared" si="2"/>
        <v>-70795.589999999967</v>
      </c>
      <c r="H150" s="9">
        <f t="shared" si="2"/>
        <v>-56864.959999999963</v>
      </c>
      <c r="I150" s="9">
        <f t="shared" si="2"/>
        <v>-20578.609999999975</v>
      </c>
      <c r="J150" s="9">
        <f t="shared" si="2"/>
        <v>2124.7900000002264</v>
      </c>
      <c r="K150" s="9">
        <f t="shared" si="2"/>
        <v>285882.33000000019</v>
      </c>
      <c r="L150" s="9">
        <f t="shared" si="2"/>
        <v>268130.11999999988</v>
      </c>
      <c r="M150" s="9">
        <f t="shared" si="2"/>
        <v>198589.15999999977</v>
      </c>
      <c r="N150" s="9">
        <f t="shared" si="2"/>
        <v>245915.46549037495</v>
      </c>
      <c r="O150" s="9">
        <f t="shared" si="2"/>
        <v>74824.857633924927</v>
      </c>
      <c r="Q150" s="9">
        <f>IFERROR(+Q54-Q57+Q148,0)</f>
        <v>1189254.183124301</v>
      </c>
    </row>
    <row r="151" spans="1:17" s="38" customFormat="1" ht="15" customHeight="1" x14ac:dyDescent="0.3">
      <c r="B151" s="17"/>
      <c r="C151" s="17"/>
      <c r="D151" s="5">
        <f t="shared" ref="D151:O151" si="3">IFERROR(D150/D10,0)</f>
        <v>-0.74245029805146534</v>
      </c>
      <c r="E151" s="5">
        <f t="shared" si="3"/>
        <v>0.19641440649322259</v>
      </c>
      <c r="F151" s="5">
        <f t="shared" si="3"/>
        <v>0.173732967572712</v>
      </c>
      <c r="G151" s="5">
        <f t="shared" si="3"/>
        <v>-0.10450095185189208</v>
      </c>
      <c r="H151" s="5">
        <f t="shared" si="3"/>
        <v>-0.1468368634456749</v>
      </c>
      <c r="I151" s="5">
        <f t="shared" si="3"/>
        <v>-3.2573194878723649E-2</v>
      </c>
      <c r="J151" s="5">
        <f t="shared" si="3"/>
        <v>2.331522638376324E-3</v>
      </c>
      <c r="K151" s="5">
        <f t="shared" si="3"/>
        <v>0.30092398848106733</v>
      </c>
      <c r="L151" s="5">
        <f t="shared" si="3"/>
        <v>0.25546458199479982</v>
      </c>
      <c r="M151" s="5">
        <f t="shared" si="3"/>
        <v>0.16639560131254233</v>
      </c>
      <c r="N151" s="5">
        <f t="shared" si="3"/>
        <v>0.32005698646106773</v>
      </c>
      <c r="O151" s="5">
        <f t="shared" si="3"/>
        <v>0.19146046972558328</v>
      </c>
      <c r="P151" s="19"/>
      <c r="Q151" s="5">
        <f>IFERROR(Q150/Q10,0)</f>
        <v>0.12023184260543224</v>
      </c>
    </row>
    <row r="152" spans="1:17" ht="15" customHeight="1" x14ac:dyDescent="0.3">
      <c r="A152" s="6"/>
      <c r="B152" s="7"/>
      <c r="C152" s="6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Q152" s="4"/>
    </row>
    <row r="153" spans="1:17" s="37" customFormat="1" ht="15" customHeight="1" x14ac:dyDescent="0.3">
      <c r="A153" s="26"/>
      <c r="B153" s="7" t="s">
        <v>289</v>
      </c>
      <c r="C153" s="7"/>
      <c r="D153" s="4">
        <v>145900.39000000001</v>
      </c>
      <c r="E153" s="4">
        <v>178664.08</v>
      </c>
      <c r="F153" s="4">
        <v>38257.19</v>
      </c>
      <c r="G153" s="4">
        <v>54319.89</v>
      </c>
      <c r="H153" s="4">
        <v>58830.74</v>
      </c>
      <c r="I153" s="4">
        <v>81077.320000000007</v>
      </c>
      <c r="J153" s="4">
        <v>176148.12</v>
      </c>
      <c r="K153" s="4">
        <v>76792.63</v>
      </c>
      <c r="L153" s="4">
        <v>89735.61</v>
      </c>
      <c r="M153" s="4">
        <v>89489.39</v>
      </c>
      <c r="N153" s="4">
        <v>104726</v>
      </c>
      <c r="O153" s="4">
        <v>-69503</v>
      </c>
      <c r="Q153" s="3">
        <f>SUM(OSRRefD28_0x)+IFERROR(SUM(OSRRefE28_0x),0)</f>
        <v>1024438.36</v>
      </c>
    </row>
    <row r="154" spans="1:17" ht="15" customHeight="1" x14ac:dyDescent="0.3">
      <c r="A154" s="6"/>
      <c r="B154" s="7"/>
      <c r="C154" s="7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Q154" s="4"/>
    </row>
    <row r="155" spans="1:17" s="37" customFormat="1" ht="15.75" customHeight="1" x14ac:dyDescent="0.3">
      <c r="A155" s="7"/>
      <c r="B155" s="18" t="s">
        <v>290</v>
      </c>
      <c r="C155" s="18"/>
      <c r="D155" s="8">
        <f t="shared" ref="D155:O155" si="4">IFERROR(+D150-D153,0)</f>
        <v>-380369.54999999993</v>
      </c>
      <c r="E155" s="8">
        <f t="shared" si="4"/>
        <v>185914.06000000014</v>
      </c>
      <c r="F155" s="8">
        <f t="shared" si="4"/>
        <v>93660.450000000012</v>
      </c>
      <c r="G155" s="8">
        <f t="shared" si="4"/>
        <v>-125115.47999999997</v>
      </c>
      <c r="H155" s="8">
        <f t="shared" si="4"/>
        <v>-115695.69999999995</v>
      </c>
      <c r="I155" s="8">
        <f t="shared" si="4"/>
        <v>-101655.92999999998</v>
      </c>
      <c r="J155" s="8">
        <f t="shared" si="4"/>
        <v>-174023.32999999978</v>
      </c>
      <c r="K155" s="8">
        <f t="shared" si="4"/>
        <v>209089.70000000019</v>
      </c>
      <c r="L155" s="8">
        <f t="shared" si="4"/>
        <v>178394.50999999989</v>
      </c>
      <c r="M155" s="8">
        <f t="shared" si="4"/>
        <v>109099.76999999977</v>
      </c>
      <c r="N155" s="8">
        <f t="shared" si="4"/>
        <v>141189.46549037495</v>
      </c>
      <c r="O155" s="8">
        <f t="shared" si="4"/>
        <v>144327.85763392493</v>
      </c>
      <c r="Q155" s="8">
        <f>IFERROR(+Q150-Q153,0)</f>
        <v>164815.82312430104</v>
      </c>
    </row>
    <row r="156" spans="1:17" ht="15.75" customHeight="1" x14ac:dyDescent="0.3">
      <c r="A156" s="6"/>
      <c r="B156" s="6"/>
      <c r="C156" s="6"/>
      <c r="D156" s="5">
        <f t="shared" ref="D156:O156" si="5">IFERROR(D155/D10,0)</f>
        <v>-1.2044461871540024</v>
      </c>
      <c r="E156" s="5">
        <f t="shared" si="5"/>
        <v>0.10016014606263939</v>
      </c>
      <c r="F156" s="5">
        <f t="shared" si="5"/>
        <v>0.12334899201271045</v>
      </c>
      <c r="G156" s="5">
        <f t="shared" si="5"/>
        <v>-0.1846822203389557</v>
      </c>
      <c r="H156" s="5">
        <f t="shared" si="5"/>
        <v>-0.29874976966750305</v>
      </c>
      <c r="I156" s="5">
        <f t="shared" si="5"/>
        <v>-0.16090777843925769</v>
      </c>
      <c r="J156" s="5">
        <f t="shared" si="5"/>
        <v>-0.19095502779125934</v>
      </c>
      <c r="K156" s="5">
        <f t="shared" si="5"/>
        <v>0.22009092508204281</v>
      </c>
      <c r="L156" s="5">
        <f t="shared" si="5"/>
        <v>0.16996777134667723</v>
      </c>
      <c r="M156" s="5">
        <f t="shared" si="5"/>
        <v>9.141345797630672E-2</v>
      </c>
      <c r="N156" s="5">
        <f t="shared" si="5"/>
        <v>0.18375694572437129</v>
      </c>
      <c r="O156" s="5">
        <f t="shared" si="5"/>
        <v>0.36930346800352326</v>
      </c>
      <c r="P156" s="19"/>
      <c r="Q156" s="5">
        <f>IFERROR(Q155/Q10,0)</f>
        <v>1.6662636453972042E-2</v>
      </c>
    </row>
    <row r="157" spans="1:17" ht="15" customHeight="1" x14ac:dyDescent="0.3">
      <c r="A157" s="6"/>
      <c r="B157" s="6"/>
      <c r="C157" s="6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Q157" s="4"/>
    </row>
    <row r="158" spans="1:17" ht="15" customHeight="1" x14ac:dyDescent="0.3">
      <c r="A158" s="6"/>
      <c r="B158" s="6"/>
      <c r="C158" s="6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Q158" s="4"/>
    </row>
    <row r="159" spans="1:17" s="37" customFormat="1" ht="15.75" customHeight="1" x14ac:dyDescent="0.3">
      <c r="A159" s="7"/>
      <c r="B159" s="18" t="s">
        <v>293</v>
      </c>
      <c r="C159" s="18"/>
      <c r="D159" s="8">
        <f t="shared" ref="D159:O159" si="6">IFERROR(SUM(D155:D158),0)</f>
        <v>-380370.75444618706</v>
      </c>
      <c r="E159" s="8">
        <f t="shared" si="6"/>
        <v>185914.16016014622</v>
      </c>
      <c r="F159" s="8">
        <f t="shared" si="6"/>
        <v>93660.573348992024</v>
      </c>
      <c r="G159" s="8">
        <f t="shared" si="6"/>
        <v>-125115.6646822203</v>
      </c>
      <c r="H159" s="8">
        <f t="shared" si="6"/>
        <v>-115695.99874976963</v>
      </c>
      <c r="I159" s="8">
        <f t="shared" si="6"/>
        <v>-101656.09090777842</v>
      </c>
      <c r="J159" s="8">
        <f t="shared" si="6"/>
        <v>-174023.52095502758</v>
      </c>
      <c r="K159" s="8">
        <f t="shared" si="6"/>
        <v>209089.92009092527</v>
      </c>
      <c r="L159" s="8">
        <f t="shared" si="6"/>
        <v>178394.67996777123</v>
      </c>
      <c r="M159" s="8">
        <f t="shared" si="6"/>
        <v>109099.86141345775</v>
      </c>
      <c r="N159" s="8">
        <f t="shared" si="6"/>
        <v>141189.64924732066</v>
      </c>
      <c r="O159" s="8">
        <f t="shared" si="6"/>
        <v>144328.22693739293</v>
      </c>
      <c r="Q159" s="8">
        <f>IFERROR(SUM(Q155:Q158),0)</f>
        <v>164815.83978693749</v>
      </c>
    </row>
    <row r="160" spans="1:17" ht="15.75" customHeight="1" x14ac:dyDescent="0.3">
      <c r="A160" s="6"/>
      <c r="C160" s="6"/>
      <c r="D160" s="5">
        <f t="shared" ref="D160:O160" si="7">IFERROR(D159/D10,0)</f>
        <v>-1.2044500010518755</v>
      </c>
      <c r="E160" s="5">
        <f t="shared" si="7"/>
        <v>0.10016020002335037</v>
      </c>
      <c r="F160" s="5">
        <f t="shared" si="7"/>
        <v>0.1233491544609352</v>
      </c>
      <c r="G160" s="5">
        <f t="shared" si="7"/>
        <v>-0.18468249294728931</v>
      </c>
      <c r="H160" s="5">
        <f t="shared" si="7"/>
        <v>-0.29875054110001853</v>
      </c>
      <c r="I160" s="5">
        <f t="shared" si="7"/>
        <v>-0.16090803313480928</v>
      </c>
      <c r="J160" s="5">
        <f t="shared" si="7"/>
        <v>-0.19095523732536399</v>
      </c>
      <c r="K160" s="5">
        <f t="shared" si="7"/>
        <v>0.22009115675302088</v>
      </c>
      <c r="L160" s="5">
        <f t="shared" si="7"/>
        <v>0.16996793328575985</v>
      </c>
      <c r="M160" s="5">
        <f t="shared" si="7"/>
        <v>9.1413534570604749E-2</v>
      </c>
      <c r="N160" s="5">
        <f t="shared" si="7"/>
        <v>0.18375718488254772</v>
      </c>
      <c r="O160" s="5">
        <f t="shared" si="7"/>
        <v>0.36930441297044592</v>
      </c>
      <c r="P160" s="19"/>
      <c r="Q160" s="5">
        <f>IFERROR(Q159/Q10,0)</f>
        <v>1.6662638138539996E-2</v>
      </c>
    </row>
    <row r="161" spans="1:17" ht="15" customHeight="1" x14ac:dyDescent="0.3">
      <c r="A161" s="6"/>
      <c r="B161" s="33">
        <v>44694.892857407409</v>
      </c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Q161" s="14"/>
    </row>
    <row r="162" spans="1:17" ht="15" customHeight="1" x14ac:dyDescent="0.3">
      <c r="A162" s="6"/>
      <c r="B162" s="31" t="s">
        <v>294</v>
      </c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Q162" s="14"/>
    </row>
    <row r="163" spans="1:17" ht="15" customHeight="1" x14ac:dyDescent="0.3">
      <c r="A163" s="6"/>
      <c r="B163" s="27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Q163" s="14"/>
    </row>
    <row r="164" spans="1:17" ht="15" customHeight="1" x14ac:dyDescent="0.3"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Q164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43C75-366F-ACCD-00C5-9506E805B601}">
  <sheetPr>
    <tabColor rgb="FF92D050"/>
    <outlinePr summaryBelow="0" summaryRight="0"/>
    <pageSetUpPr fitToPage="1"/>
  </sheetPr>
  <dimension ref="A2:R112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","301"," - ","Bookstore Operations")</f>
        <v>Department 301 - Bookstore Operations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collapsed="1" x14ac:dyDescent="0.3">
      <c r="A12" s="24"/>
      <c r="B12" s="17" t="s">
        <v>284</v>
      </c>
      <c r="C12" s="23"/>
      <c r="D12" s="4">
        <f>SUM(OSRRefD14x_0)</f>
        <v>0</v>
      </c>
      <c r="E12" s="4">
        <f>SUM(OSRRefD14x_1)</f>
        <v>0</v>
      </c>
      <c r="F12" s="4">
        <f>SUM(OSRRefD14x_2)</f>
        <v>0</v>
      </c>
      <c r="G12" s="4">
        <f>SUM(OSRRefD14x_3)</f>
        <v>0</v>
      </c>
      <c r="H12" s="4">
        <f>SUM(OSRRefD14x_4)</f>
        <v>0</v>
      </c>
      <c r="I12" s="4">
        <f>SUM(OSRRefD14x_5)</f>
        <v>0</v>
      </c>
      <c r="J12" s="4">
        <f>SUM(OSRRefD14x_6)</f>
        <v>0</v>
      </c>
      <c r="K12" s="4">
        <f>SUM(OSRRefD14x_7)</f>
        <v>0</v>
      </c>
      <c r="L12" s="4">
        <f>SUM(OSRRefD14x_8)</f>
        <v>0</v>
      </c>
      <c r="M12" s="4">
        <f>SUM(OSRRefD14x_9)</f>
        <v>0</v>
      </c>
      <c r="N12" s="4">
        <f>SUM(OSRRefE14x_0)</f>
        <v>0</v>
      </c>
      <c r="O12" s="4">
        <f>SUM(OSRRefE14x_1)</f>
        <v>0</v>
      </c>
      <c r="Q12" s="4">
        <f>SUM(OSRRefG14x)</f>
        <v>0</v>
      </c>
    </row>
    <row r="13" spans="1:18" s="39" customFormat="1" ht="15" hidden="1" customHeight="1" outlineLevel="1" x14ac:dyDescent="0.3">
      <c r="A13" s="24"/>
      <c r="B13" s="11" t="str">
        <f>CONCATENATE("          ","5000"," - ","PURCHASES @ COST")</f>
        <v xml:space="preserve">          5000 - PURCHASES @ COST</v>
      </c>
      <c r="C13" s="23"/>
      <c r="D13" s="3"/>
      <c r="E13" s="3"/>
      <c r="F13" s="3"/>
      <c r="G13" s="3">
        <v>0</v>
      </c>
      <c r="H13" s="3"/>
      <c r="I13" s="3"/>
      <c r="J13" s="3"/>
      <c r="K13" s="3"/>
      <c r="L13" s="3"/>
      <c r="M13" s="3"/>
      <c r="N13" s="3"/>
      <c r="O13" s="3"/>
      <c r="Q13" s="3">
        <f>SUM(OSRRefD14_0x)+IFERROR(SUM(OSRRefE14_0x),0)</f>
        <v>0</v>
      </c>
    </row>
    <row r="14" spans="1:18" ht="15" customHeight="1" x14ac:dyDescent="0.3">
      <c r="A14" s="6"/>
      <c r="B14" s="7"/>
      <c r="C14" s="7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Q14" s="4"/>
    </row>
    <row r="15" spans="1:18" s="37" customFormat="1" ht="15" customHeight="1" x14ac:dyDescent="0.3">
      <c r="A15" s="7"/>
      <c r="B15" s="18" t="s">
        <v>285</v>
      </c>
      <c r="C15" s="18"/>
      <c r="D15" s="9">
        <f t="shared" ref="D15:O15" si="1">IFERROR(+D10-D12,0)</f>
        <v>0</v>
      </c>
      <c r="E15" s="9">
        <f t="shared" si="1"/>
        <v>0</v>
      </c>
      <c r="F15" s="9">
        <f t="shared" si="1"/>
        <v>0</v>
      </c>
      <c r="G15" s="9">
        <f t="shared" si="1"/>
        <v>0</v>
      </c>
      <c r="H15" s="9">
        <f t="shared" si="1"/>
        <v>0</v>
      </c>
      <c r="I15" s="9">
        <f t="shared" si="1"/>
        <v>0</v>
      </c>
      <c r="J15" s="9">
        <f t="shared" si="1"/>
        <v>0</v>
      </c>
      <c r="K15" s="9">
        <f t="shared" si="1"/>
        <v>0</v>
      </c>
      <c r="L15" s="9">
        <f t="shared" si="1"/>
        <v>0</v>
      </c>
      <c r="M15" s="9">
        <f t="shared" si="1"/>
        <v>0</v>
      </c>
      <c r="N15" s="9">
        <f t="shared" si="1"/>
        <v>0</v>
      </c>
      <c r="O15" s="9">
        <f t="shared" si="1"/>
        <v>0</v>
      </c>
      <c r="Q15" s="9">
        <f>IFERROR(+Q10-Q12,0)</f>
        <v>0</v>
      </c>
    </row>
    <row r="16" spans="1:18" s="38" customFormat="1" ht="15" customHeight="1" x14ac:dyDescent="0.3">
      <c r="B16" s="17"/>
      <c r="C16" s="17"/>
      <c r="D16" s="5">
        <f t="shared" ref="D16:O16" si="2">IFERROR(D15/D10,0)</f>
        <v>0</v>
      </c>
      <c r="E16" s="5">
        <f t="shared" si="2"/>
        <v>0</v>
      </c>
      <c r="F16" s="5">
        <f t="shared" si="2"/>
        <v>0</v>
      </c>
      <c r="G16" s="5">
        <f t="shared" si="2"/>
        <v>0</v>
      </c>
      <c r="H16" s="5">
        <f t="shared" si="2"/>
        <v>0</v>
      </c>
      <c r="I16" s="5">
        <f t="shared" si="2"/>
        <v>0</v>
      </c>
      <c r="J16" s="5">
        <f t="shared" si="2"/>
        <v>0</v>
      </c>
      <c r="K16" s="5">
        <f t="shared" si="2"/>
        <v>0</v>
      </c>
      <c r="L16" s="5">
        <f t="shared" si="2"/>
        <v>0</v>
      </c>
      <c r="M16" s="5">
        <f t="shared" si="2"/>
        <v>0</v>
      </c>
      <c r="N16" s="5">
        <f t="shared" si="2"/>
        <v>0</v>
      </c>
      <c r="O16" s="5">
        <f t="shared" si="2"/>
        <v>0</v>
      </c>
      <c r="P16" s="19"/>
      <c r="Q16" s="5">
        <f>IFERROR(Q15/Q10,0)</f>
        <v>0</v>
      </c>
    </row>
    <row r="17" spans="1:17" ht="15" customHeight="1" x14ac:dyDescent="0.3">
      <c r="A17" s="6"/>
      <c r="B17" s="7"/>
      <c r="C17" s="6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Q17" s="2"/>
    </row>
    <row r="18" spans="1:17" s="37" customFormat="1" ht="15" customHeight="1" x14ac:dyDescent="0.3">
      <c r="A18" s="7"/>
      <c r="B18" s="17" t="s">
        <v>286</v>
      </c>
      <c r="C18" s="7"/>
      <c r="D18" s="12" cm="1">
        <f t="array" ref="D18">SUM(OSRRefD20x_0)</f>
        <v>179674.92</v>
      </c>
      <c r="E18" s="12" cm="1">
        <f t="array" ref="E18">SUM(OSRRefD20x_1)</f>
        <v>166653.48999999996</v>
      </c>
      <c r="F18" s="12" cm="1">
        <f t="array" ref="F18">SUM(OSRRefD20x_2)</f>
        <v>128055.81</v>
      </c>
      <c r="G18" s="12" cm="1">
        <f t="array" ref="G18">SUM(OSRRefD20x_3)</f>
        <v>146275.69999999998</v>
      </c>
      <c r="H18" s="12" cm="1">
        <f t="array" ref="H18">SUM(OSRRefD20x_4)</f>
        <v>124679.03000000001</v>
      </c>
      <c r="I18" s="12" cm="1">
        <f t="array" ref="I18">SUM(OSRRefD20x_5)</f>
        <v>117030.11000000002</v>
      </c>
      <c r="J18" s="12" cm="1">
        <f t="array" ref="J18">SUM(OSRRefD20x_6)</f>
        <v>150583.76</v>
      </c>
      <c r="K18" s="12" cm="1">
        <f t="array" ref="K18">SUM(OSRRefD20x_7)</f>
        <v>145000.02000000002</v>
      </c>
      <c r="L18" s="12" cm="1">
        <f t="array" ref="L18">SUM(OSRRefD20x_8)</f>
        <v>134992.32999999999</v>
      </c>
      <c r="M18" s="12" cm="1">
        <f t="array" ref="M18">SUM(OSRRefD20x_9)</f>
        <v>126578.33999999998</v>
      </c>
      <c r="N18" s="12" cm="1">
        <f t="array" ref="N18">SUM(OSRRefE20x_0)</f>
        <v>96174.098725757678</v>
      </c>
      <c r="O18" s="12" cm="1">
        <f t="array" ref="O18">SUM(OSRRefE20x_1)</f>
        <v>84563.498496557688</v>
      </c>
      <c r="Q18" s="12" cm="1">
        <f t="array" ref="Q18">SUM(OSRRefG20x)</f>
        <v>1600261.1072223152</v>
      </c>
    </row>
    <row r="19" spans="1:17" s="42" customFormat="1" ht="15" customHeight="1" collapsed="1" x14ac:dyDescent="0.3">
      <c r="A19" s="34"/>
      <c r="B19" s="15" t="str">
        <f>CONCATENATE("     ","*Benefits                                         ")</f>
        <v xml:space="preserve">     *Benefits                                         </v>
      </c>
      <c r="C19" s="15"/>
      <c r="D19" s="2">
        <f>SUM(OSRRefD21_0x_0)</f>
        <v>13023.77</v>
      </c>
      <c r="E19" s="2">
        <f>SUM(OSRRefD21_0x_1)</f>
        <v>15087.93</v>
      </c>
      <c r="F19" s="2">
        <f>SUM(OSRRefD21_0x_2)</f>
        <v>12772.51</v>
      </c>
      <c r="G19" s="2">
        <f>SUM(OSRRefD21_0x_3)</f>
        <v>17082.93</v>
      </c>
      <c r="H19" s="2">
        <f>SUM(OSRRefD21_0x_4)</f>
        <v>13803.459999999997</v>
      </c>
      <c r="I19" s="2">
        <f>SUM(OSRRefD21_0x_5)</f>
        <v>13685.689999999999</v>
      </c>
      <c r="J19" s="2">
        <f>SUM(OSRRefD21_0x_6)</f>
        <v>17114.54</v>
      </c>
      <c r="K19" s="2">
        <f>SUM(OSRRefD21_0x_7)</f>
        <v>13243.66</v>
      </c>
      <c r="L19" s="2">
        <f>SUM(OSRRefD21_0x_8)</f>
        <v>13121.18</v>
      </c>
      <c r="M19" s="2">
        <f>SUM(OSRRefD21_0x_9)</f>
        <v>16249.02</v>
      </c>
      <c r="N19" s="2">
        <f>SUM(OSRRefE21_0x_0)</f>
        <v>4556.9109084499969</v>
      </c>
      <c r="O19" s="2">
        <f>SUM(OSRRefE21_0x_1)</f>
        <v>5486.4016542499958</v>
      </c>
      <c r="Q19" s="3">
        <f>SUM(OSRRefD20_0x)+IFERROR(SUM(OSRRefE20_0x),0)</f>
        <v>155228.00256269996</v>
      </c>
    </row>
    <row r="20" spans="1:17" s="42" customFormat="1" ht="15" hidden="1" customHeight="1" outlineLevel="1" x14ac:dyDescent="0.3">
      <c r="A20" s="34"/>
      <c r="B20" s="11" t="str">
        <f>CONCATENATE("          ","6111"," - ","F.I.C.A.")</f>
        <v xml:space="preserve">          6111 - F.I.C.A.</v>
      </c>
      <c r="C20" s="15"/>
      <c r="D20" s="3">
        <v>3019.49</v>
      </c>
      <c r="E20" s="3">
        <v>4189.24</v>
      </c>
      <c r="F20" s="3">
        <v>2271.34</v>
      </c>
      <c r="G20" s="3">
        <v>3010.31</v>
      </c>
      <c r="H20" s="3">
        <v>1945.46</v>
      </c>
      <c r="I20" s="3">
        <v>2010.69</v>
      </c>
      <c r="J20" s="3">
        <v>2137.65</v>
      </c>
      <c r="K20" s="3">
        <v>2182.9299999999998</v>
      </c>
      <c r="L20" s="3">
        <v>2144.9</v>
      </c>
      <c r="M20" s="3">
        <v>3076.42</v>
      </c>
      <c r="N20" s="3">
        <v>1000.74701750769</v>
      </c>
      <c r="O20" s="3">
        <v>2243.8341390576902</v>
      </c>
      <c r="P20" s="10"/>
      <c r="Q20" s="3">
        <f>SUM(OSRRefD21_0_0x)+IFERROR(SUM(OSRRefE21_0_0x),0)</f>
        <v>29233.011156565379</v>
      </c>
    </row>
    <row r="21" spans="1:17" s="42" customFormat="1" ht="15" hidden="1" customHeight="1" outlineLevel="1" x14ac:dyDescent="0.3">
      <c r="A21" s="34"/>
      <c r="B21" s="11" t="str">
        <f>CONCATENATE("          ","6112"," - ","COMPENSATION INSURANCE")</f>
        <v xml:space="preserve">          6112 - COMPENSATION INSURANCE</v>
      </c>
      <c r="C21" s="15"/>
      <c r="D21" s="3">
        <v>605.14</v>
      </c>
      <c r="E21" s="3">
        <v>854.3</v>
      </c>
      <c r="F21" s="3">
        <v>848.92</v>
      </c>
      <c r="G21" s="3">
        <v>991.91</v>
      </c>
      <c r="H21" s="3">
        <v>587.38</v>
      </c>
      <c r="I21" s="3">
        <v>695.61</v>
      </c>
      <c r="J21" s="3">
        <v>817.81</v>
      </c>
      <c r="K21" s="3">
        <v>788.06</v>
      </c>
      <c r="L21" s="3">
        <v>740.65</v>
      </c>
      <c r="M21" s="3">
        <v>681.55</v>
      </c>
      <c r="N21" s="3">
        <v>559.94663100000002</v>
      </c>
      <c r="O21" s="3">
        <v>457.38681000000003</v>
      </c>
      <c r="P21" s="10"/>
      <c r="Q21" s="3">
        <f>SUM(OSRRefD21_0_1x)+IFERROR(SUM(OSRRefE21_0_1x),0)</f>
        <v>8628.6634409999988</v>
      </c>
    </row>
    <row r="22" spans="1:17" s="42" customFormat="1" ht="15" hidden="1" customHeight="1" outlineLevel="1" x14ac:dyDescent="0.3">
      <c r="A22" s="34"/>
      <c r="B22" s="11" t="str">
        <f>CONCATENATE("          ","6113"," - ","GROUP INSURANCE")</f>
        <v xml:space="preserve">          6113 - GROUP INSURANCE</v>
      </c>
      <c r="C22" s="15"/>
      <c r="D22" s="3">
        <v>5081.28</v>
      </c>
      <c r="E22" s="3">
        <v>5081.28</v>
      </c>
      <c r="F22" s="3">
        <v>4982.24</v>
      </c>
      <c r="G22" s="3">
        <v>5751.68</v>
      </c>
      <c r="H22" s="3">
        <v>5752.3</v>
      </c>
      <c r="I22" s="3">
        <v>5752.3</v>
      </c>
      <c r="J22" s="3">
        <v>4880.57</v>
      </c>
      <c r="K22" s="3">
        <v>4880.57</v>
      </c>
      <c r="L22" s="3">
        <v>4880.57</v>
      </c>
      <c r="M22" s="3">
        <v>4880.57</v>
      </c>
      <c r="N22" s="3">
        <v>1303</v>
      </c>
      <c r="O22" s="3">
        <v>1303</v>
      </c>
      <c r="P22" s="10"/>
      <c r="Q22" s="3">
        <f>SUM(OSRRefD21_0_2x)+IFERROR(SUM(OSRRefE21_0_2x),0)</f>
        <v>54529.359999999993</v>
      </c>
    </row>
    <row r="23" spans="1:17" s="42" customFormat="1" ht="15" hidden="1" customHeight="1" outlineLevel="1" x14ac:dyDescent="0.3">
      <c r="A23" s="34"/>
      <c r="B23" s="11" t="str">
        <f>CONCATENATE("          ","6114"," - ","STATE UNEMPLOYMENT INSURANCE")</f>
        <v xml:space="preserve">          6114 - STATE UNEMPLOYMENT INSURANCE</v>
      </c>
      <c r="C23" s="15"/>
      <c r="D23" s="3">
        <v>109.65</v>
      </c>
      <c r="E23" s="3">
        <v>153.36000000000001</v>
      </c>
      <c r="F23" s="3">
        <v>150.62</v>
      </c>
      <c r="G23" s="3">
        <v>176.48</v>
      </c>
      <c r="H23" s="3">
        <v>104.73</v>
      </c>
      <c r="I23" s="3">
        <v>123.73</v>
      </c>
      <c r="J23" s="3">
        <v>145.5</v>
      </c>
      <c r="K23" s="3">
        <v>140.49</v>
      </c>
      <c r="L23" s="3">
        <v>132.21</v>
      </c>
      <c r="M23" s="3">
        <v>121.82</v>
      </c>
      <c r="N23" s="3">
        <v>75.377431096153799</v>
      </c>
      <c r="O23" s="3">
        <v>61.571301346153803</v>
      </c>
      <c r="P23" s="10"/>
      <c r="Q23" s="3">
        <f>SUM(OSRRefD21_0_3x)+IFERROR(SUM(OSRRefE21_0_3x),0)</f>
        <v>1495.5387324423075</v>
      </c>
    </row>
    <row r="24" spans="1:17" s="42" customFormat="1" ht="15" hidden="1" customHeight="1" outlineLevel="1" x14ac:dyDescent="0.3">
      <c r="A24" s="34"/>
      <c r="B24" s="11" t="str">
        <f>CONCATENATE("          ","6115"," - ","P.E.R.S.")</f>
        <v xml:space="preserve">          6115 - P.E.R.S.</v>
      </c>
      <c r="C24" s="15"/>
      <c r="D24" s="3">
        <v>1518.86</v>
      </c>
      <c r="E24" s="3">
        <v>1518.86</v>
      </c>
      <c r="F24" s="3">
        <v>1518.86</v>
      </c>
      <c r="G24" s="3">
        <v>2278.2800000000002</v>
      </c>
      <c r="H24" s="3">
        <v>1579.6</v>
      </c>
      <c r="I24" s="3">
        <v>1579.6</v>
      </c>
      <c r="J24" s="3">
        <v>1579.6</v>
      </c>
      <c r="K24" s="3">
        <v>1579.6</v>
      </c>
      <c r="L24" s="3">
        <v>1579.6</v>
      </c>
      <c r="M24" s="3">
        <v>2252.7800000000002</v>
      </c>
      <c r="N24" s="3">
        <v>374.76153846153801</v>
      </c>
      <c r="O24" s="3">
        <v>374.76153846153801</v>
      </c>
      <c r="P24" s="10"/>
      <c r="Q24" s="3">
        <f>SUM(OSRRefD21_0_4x)+IFERROR(SUM(OSRRefE21_0_4x),0)</f>
        <v>17735.16307692308</v>
      </c>
    </row>
    <row r="25" spans="1:17" s="42" customFormat="1" ht="15" hidden="1" customHeight="1" outlineLevel="1" x14ac:dyDescent="0.3">
      <c r="A25" s="34"/>
      <c r="B25" s="11" t="str">
        <f>CONCATENATE("          ","6116"," - ","EDUCATIONAL BENEFITS")</f>
        <v xml:space="preserve">          6116 - EDUCATIONAL BENEFITS</v>
      </c>
      <c r="C25" s="15"/>
      <c r="D25" s="3"/>
      <c r="E25" s="3"/>
      <c r="F25" s="3"/>
      <c r="G25" s="3"/>
      <c r="H25" s="3"/>
      <c r="I25" s="3"/>
      <c r="J25" s="3"/>
      <c r="K25" s="3"/>
      <c r="L25" s="3"/>
      <c r="M25" s="3"/>
      <c r="N25" s="3">
        <v>0</v>
      </c>
      <c r="O25" s="3">
        <v>0</v>
      </c>
      <c r="P25" s="10"/>
      <c r="Q25" s="3">
        <f>SUM(OSRRefD21_0_5x)+IFERROR(SUM(OSRRefE21_0_5x),0)</f>
        <v>0</v>
      </c>
    </row>
    <row r="26" spans="1:17" s="42" customFormat="1" ht="15" hidden="1" customHeight="1" outlineLevel="1" x14ac:dyDescent="0.3">
      <c r="A26" s="34"/>
      <c r="B26" s="11" t="str">
        <f>CONCATENATE("          ","6117"," - ","RETIREMENT STAFF HOURLY")</f>
        <v xml:space="preserve">          6117 - RETIREMENT STAFF HOURLY</v>
      </c>
      <c r="C26" s="15"/>
      <c r="D26" s="3">
        <v>299.24</v>
      </c>
      <c r="E26" s="3">
        <v>430.36</v>
      </c>
      <c r="F26" s="3">
        <v>233.16</v>
      </c>
      <c r="G26" s="3">
        <v>304.70999999999998</v>
      </c>
      <c r="H26" s="3">
        <v>313.81</v>
      </c>
      <c r="I26" s="3">
        <v>305.18</v>
      </c>
      <c r="J26" s="3">
        <v>509.36</v>
      </c>
      <c r="K26" s="3">
        <v>374.51</v>
      </c>
      <c r="L26" s="3">
        <v>412.62</v>
      </c>
      <c r="M26" s="3">
        <v>476.91</v>
      </c>
      <c r="N26" s="3"/>
      <c r="O26" s="3"/>
      <c r="P26" s="10"/>
      <c r="Q26" s="3">
        <f>SUM(OSRRefD21_0_6x)+IFERROR(SUM(OSRRefE21_0_6x),0)</f>
        <v>3659.8599999999997</v>
      </c>
    </row>
    <row r="27" spans="1:17" s="42" customFormat="1" ht="15" hidden="1" customHeight="1" outlineLevel="1" x14ac:dyDescent="0.3">
      <c r="A27" s="34"/>
      <c r="B27" s="11" t="str">
        <f>CONCATENATE("          ","6118"," - ","VACATION")</f>
        <v xml:space="preserve">          6118 - VACATION</v>
      </c>
      <c r="C27" s="15"/>
      <c r="D27" s="3">
        <v>1168.29</v>
      </c>
      <c r="E27" s="3">
        <v>1367.23</v>
      </c>
      <c r="F27" s="3">
        <v>1147.9100000000001</v>
      </c>
      <c r="G27" s="3">
        <v>1928.32</v>
      </c>
      <c r="H27" s="3">
        <v>1623.97</v>
      </c>
      <c r="I27" s="3">
        <v>1450.87</v>
      </c>
      <c r="J27" s="3">
        <v>2847.07</v>
      </c>
      <c r="K27" s="3">
        <v>1242.79</v>
      </c>
      <c r="L27" s="3">
        <v>1242.79</v>
      </c>
      <c r="M27" s="3">
        <v>2333.4</v>
      </c>
      <c r="N27" s="3">
        <v>249.386769230769</v>
      </c>
      <c r="O27" s="3">
        <v>249.386769230769</v>
      </c>
      <c r="P27" s="10"/>
      <c r="Q27" s="3">
        <f>SUM(OSRRefD21_0_7x)+IFERROR(SUM(OSRRefE21_0_7x),0)</f>
        <v>16851.41353846154</v>
      </c>
    </row>
    <row r="28" spans="1:17" s="42" customFormat="1" ht="15" hidden="1" customHeight="1" outlineLevel="1" x14ac:dyDescent="0.3">
      <c r="A28" s="34"/>
      <c r="B28" s="11" t="str">
        <f>CONCATENATE("          ","6119"," - ","SICK LEAVE")</f>
        <v xml:space="preserve">          6119 - SICK LEAVE</v>
      </c>
      <c r="C28" s="15"/>
      <c r="D28" s="3">
        <v>955.23</v>
      </c>
      <c r="E28" s="3">
        <v>955.23</v>
      </c>
      <c r="F28" s="3">
        <v>1139.6300000000001</v>
      </c>
      <c r="G28" s="3">
        <v>1619.13</v>
      </c>
      <c r="H28" s="3">
        <v>1115.22</v>
      </c>
      <c r="I28" s="3">
        <v>1115.22</v>
      </c>
      <c r="J28" s="3">
        <v>3548.69</v>
      </c>
      <c r="K28" s="3">
        <v>1093.08</v>
      </c>
      <c r="L28" s="3">
        <v>1093.08</v>
      </c>
      <c r="M28" s="3">
        <v>1639.62</v>
      </c>
      <c r="N28" s="3">
        <v>993.691521153846</v>
      </c>
      <c r="O28" s="3">
        <v>796.46109615384603</v>
      </c>
      <c r="P28" s="10"/>
      <c r="Q28" s="3">
        <f>SUM(OSRRefD21_0_8x)+IFERROR(SUM(OSRRefE21_0_8x),0)</f>
        <v>16064.282617307694</v>
      </c>
    </row>
    <row r="29" spans="1:17" s="42" customFormat="1" ht="15" hidden="1" customHeight="1" outlineLevel="1" x14ac:dyDescent="0.3">
      <c r="A29" s="34"/>
      <c r="B29" s="11" t="str">
        <f>CONCATENATE("          ","6156"," - ","EMPLOYEE MEALS")</f>
        <v xml:space="preserve">          6156 - EMPLOYEE MEALS</v>
      </c>
      <c r="C29" s="15"/>
      <c r="D29" s="3">
        <v>266.58999999999997</v>
      </c>
      <c r="E29" s="3">
        <v>538.07000000000005</v>
      </c>
      <c r="F29" s="3">
        <v>479.83</v>
      </c>
      <c r="G29" s="3">
        <v>1022.11</v>
      </c>
      <c r="H29" s="3">
        <v>780.99</v>
      </c>
      <c r="I29" s="3">
        <v>652.49</v>
      </c>
      <c r="J29" s="3">
        <v>648.29</v>
      </c>
      <c r="K29" s="3">
        <v>961.63</v>
      </c>
      <c r="L29" s="3">
        <v>894.76</v>
      </c>
      <c r="M29" s="3">
        <v>785.95</v>
      </c>
      <c r="N29" s="3"/>
      <c r="O29" s="3"/>
      <c r="P29" s="10"/>
      <c r="Q29" s="3">
        <f>SUM(OSRRefD21_0_9x)+IFERROR(SUM(OSRRefE21_0_9x),0)</f>
        <v>7030.71</v>
      </c>
    </row>
    <row r="30" spans="1:17" s="42" customFormat="1" ht="15" customHeight="1" collapsed="1" x14ac:dyDescent="0.3">
      <c r="A30" s="34"/>
      <c r="B30" s="15" t="str">
        <f>CONCATENATE("     ","*Payroll                                          ")</f>
        <v xml:space="preserve">     *Payroll                                          </v>
      </c>
      <c r="C30" s="15"/>
      <c r="D30" s="2">
        <f>SUM(OSRRefD21_1x_0)</f>
        <v>55192.97</v>
      </c>
      <c r="E30" s="2">
        <f>SUM(OSRRefD21_1x_1)</f>
        <v>64285.560000000005</v>
      </c>
      <c r="F30" s="2">
        <f>SUM(OSRRefD21_1x_2)</f>
        <v>52654.07</v>
      </c>
      <c r="G30" s="2">
        <f>SUM(OSRRefD21_1x_3)</f>
        <v>52591.170000000006</v>
      </c>
      <c r="H30" s="2">
        <f>SUM(OSRRefD21_1x_4)</f>
        <v>39015.51</v>
      </c>
      <c r="I30" s="2">
        <f>SUM(OSRRefD21_1x_5)</f>
        <v>47876.54</v>
      </c>
      <c r="J30" s="2">
        <f>SUM(OSRRefD21_1x_6)</f>
        <v>69805.86</v>
      </c>
      <c r="K30" s="2">
        <f>SUM(OSRRefD21_1x_7)</f>
        <v>51007.649999999994</v>
      </c>
      <c r="L30" s="2">
        <f>SUM(OSRRefD21_1x_8)</f>
        <v>50053.990000000005</v>
      </c>
      <c r="M30" s="2">
        <f>SUM(OSRRefD21_1x_9)</f>
        <v>56906.710000000006</v>
      </c>
      <c r="N30" s="2">
        <f>SUM(OSRRefE21_1x_0)</f>
        <v>35603.187817307691</v>
      </c>
      <c r="O30" s="2">
        <f>SUM(OSRRefE21_1x_1)</f>
        <v>28963.096842307692</v>
      </c>
      <c r="Q30" s="3">
        <f>SUM(OSRRefD20_1x)+IFERROR(SUM(OSRRefE20_1x),0)</f>
        <v>603956.31465961528</v>
      </c>
    </row>
    <row r="31" spans="1:17" s="42" customFormat="1" ht="15" hidden="1" customHeight="1" outlineLevel="1" x14ac:dyDescent="0.3">
      <c r="A31" s="34"/>
      <c r="B31" s="11" t="str">
        <f>CONCATENATE("          ","6001"," - ","ADMINISTRATIVE SALARIES")</f>
        <v xml:space="preserve">          6001 - ADMINISTRATIVE SALARIES</v>
      </c>
      <c r="C31" s="15"/>
      <c r="D31" s="3">
        <v>5599.1</v>
      </c>
      <c r="E31" s="3">
        <v>4479.1000000000004</v>
      </c>
      <c r="F31" s="3">
        <v>4479.1000000000004</v>
      </c>
      <c r="G31" s="3">
        <v>4926.78</v>
      </c>
      <c r="H31" s="3">
        <v>4192.43</v>
      </c>
      <c r="I31" s="3">
        <v>4658.26</v>
      </c>
      <c r="J31" s="3">
        <v>5357.43</v>
      </c>
      <c r="K31" s="3">
        <v>7265.35</v>
      </c>
      <c r="L31" s="3">
        <v>3959.51</v>
      </c>
      <c r="M31" s="3">
        <v>2749.47</v>
      </c>
      <c r="N31" s="3">
        <v>4139.8076923076896</v>
      </c>
      <c r="O31" s="3">
        <v>4139.8076923076896</v>
      </c>
      <c r="P31" s="10"/>
      <c r="Q31" s="3">
        <f>SUM(OSRRefD21_1_0x)+IFERROR(SUM(OSRRefE21_1_0x),0)</f>
        <v>55946.145384615389</v>
      </c>
    </row>
    <row r="32" spans="1:17" s="42" customFormat="1" ht="15" hidden="1" customHeight="1" outlineLevel="1" x14ac:dyDescent="0.3">
      <c r="A32" s="34"/>
      <c r="B32" s="11" t="str">
        <f>CONCATENATE("          ","6002"," - ","STAFF SALARIES")</f>
        <v xml:space="preserve">          6002 - STAFF SALARIES</v>
      </c>
      <c r="C32" s="15"/>
      <c r="D32" s="3">
        <v>13415.64</v>
      </c>
      <c r="E32" s="3">
        <v>8600.02</v>
      </c>
      <c r="F32" s="3">
        <v>10923.1</v>
      </c>
      <c r="G32" s="3">
        <v>10853.65</v>
      </c>
      <c r="H32" s="3">
        <v>10400.02</v>
      </c>
      <c r="I32" s="3">
        <v>11360.02</v>
      </c>
      <c r="J32" s="3">
        <v>13480.02</v>
      </c>
      <c r="K32" s="3">
        <v>8520.02</v>
      </c>
      <c r="L32" s="3">
        <v>11040.02</v>
      </c>
      <c r="M32" s="3">
        <v>14624.02</v>
      </c>
      <c r="N32" s="3">
        <v>0</v>
      </c>
      <c r="O32" s="3">
        <v>0</v>
      </c>
      <c r="P32" s="10"/>
      <c r="Q32" s="3">
        <f>SUM(OSRRefD21_1_1x)+IFERROR(SUM(OSRRefE21_1_1x),0)</f>
        <v>113216.53000000003</v>
      </c>
    </row>
    <row r="33" spans="1:17" s="42" customFormat="1" ht="15" hidden="1" customHeight="1" outlineLevel="1" x14ac:dyDescent="0.3">
      <c r="A33" s="34"/>
      <c r="B33" s="11" t="str">
        <f>CONCATENATE("          ","6003"," - ","STAFF HOURLY-9 MONTH")</f>
        <v xml:space="preserve">          6003 - STAFF HOURLY-9 MONTH</v>
      </c>
      <c r="C33" s="15"/>
      <c r="D33" s="3"/>
      <c r="E33" s="3"/>
      <c r="F33" s="3"/>
      <c r="G33" s="3"/>
      <c r="H33" s="3"/>
      <c r="I33" s="3"/>
      <c r="J33" s="3"/>
      <c r="K33" s="3"/>
      <c r="L33" s="3"/>
      <c r="M33" s="3"/>
      <c r="N33" s="3">
        <v>0</v>
      </c>
      <c r="O33" s="3">
        <v>0</v>
      </c>
      <c r="P33" s="10"/>
      <c r="Q33" s="3">
        <f>SUM(OSRRefD21_1_2x)+IFERROR(SUM(OSRRefE21_1_2x),0)</f>
        <v>0</v>
      </c>
    </row>
    <row r="34" spans="1:17" s="42" customFormat="1" ht="15" hidden="1" customHeight="1" outlineLevel="1" x14ac:dyDescent="0.3">
      <c r="A34" s="34"/>
      <c r="B34" s="11" t="str">
        <f>CONCATENATE("          ","6004"," - ","STAFF HOURLY")</f>
        <v xml:space="preserve">          6004 - STAFF HOURLY</v>
      </c>
      <c r="C34" s="15"/>
      <c r="D34" s="3">
        <v>3554.5</v>
      </c>
      <c r="E34" s="3">
        <v>4938.75</v>
      </c>
      <c r="F34" s="3">
        <v>8141.26</v>
      </c>
      <c r="G34" s="3">
        <v>10880.02</v>
      </c>
      <c r="H34" s="3">
        <v>7599.34</v>
      </c>
      <c r="I34" s="3">
        <v>7509.18</v>
      </c>
      <c r="J34" s="3">
        <v>8139.17</v>
      </c>
      <c r="K34" s="3">
        <v>9379.74</v>
      </c>
      <c r="L34" s="3">
        <v>7006.01</v>
      </c>
      <c r="M34" s="3">
        <v>11065.16</v>
      </c>
      <c r="N34" s="3">
        <v>8417.7227999999996</v>
      </c>
      <c r="O34" s="3">
        <v>8417.7227999999996</v>
      </c>
      <c r="P34" s="10"/>
      <c r="Q34" s="3">
        <f>SUM(OSRRefD21_1_3x)+IFERROR(SUM(OSRRefE21_1_3x),0)</f>
        <v>95048.575600000011</v>
      </c>
    </row>
    <row r="35" spans="1:17" s="42" customFormat="1" ht="15" hidden="1" customHeight="1" outlineLevel="1" x14ac:dyDescent="0.3">
      <c r="A35" s="34"/>
      <c r="B35" s="11" t="str">
        <f>CONCATENATE("          ","6005"," - ","TEMPORARY WAGES-HOURLY")</f>
        <v xml:space="preserve">          6005 - TEMPORARY WAGES-HOURLY</v>
      </c>
      <c r="C35" s="15"/>
      <c r="D35" s="3">
        <v>2204.2399999999998</v>
      </c>
      <c r="E35" s="3">
        <v>3175.05</v>
      </c>
      <c r="F35" s="3">
        <v>3945.26</v>
      </c>
      <c r="G35" s="3">
        <v>4541.66</v>
      </c>
      <c r="H35" s="3">
        <v>1976.27</v>
      </c>
      <c r="I35" s="3">
        <v>2095.19</v>
      </c>
      <c r="J35" s="3">
        <v>2175.8000000000002</v>
      </c>
      <c r="K35" s="3">
        <v>3073.66</v>
      </c>
      <c r="L35" s="3">
        <v>1659.92</v>
      </c>
      <c r="M35" s="3">
        <v>3024.59</v>
      </c>
      <c r="N35" s="3">
        <v>0</v>
      </c>
      <c r="O35" s="3">
        <v>0</v>
      </c>
      <c r="P35" s="10"/>
      <c r="Q35" s="3">
        <f>SUM(OSRRefD21_1_4x)+IFERROR(SUM(OSRRefE21_1_4x),0)</f>
        <v>27871.639999999996</v>
      </c>
    </row>
    <row r="36" spans="1:17" s="42" customFormat="1" ht="15" hidden="1" customHeight="1" outlineLevel="1" x14ac:dyDescent="0.3">
      <c r="A36" s="34"/>
      <c r="B36" s="11" t="str">
        <f>CONCATENATE("          ","6006"," - ","TEMPORARY PART TIME")</f>
        <v xml:space="preserve">          6006 - TEMPORARY PART TIME</v>
      </c>
      <c r="C36" s="15"/>
      <c r="D36" s="3">
        <v>2864.4</v>
      </c>
      <c r="E36" s="3">
        <v>3273.79</v>
      </c>
      <c r="F36" s="3">
        <v>2957.46</v>
      </c>
      <c r="G36" s="3">
        <v>781.97</v>
      </c>
      <c r="H36" s="3"/>
      <c r="I36" s="3"/>
      <c r="J36" s="3">
        <v>2092.35</v>
      </c>
      <c r="K36" s="3">
        <v>2310.4</v>
      </c>
      <c r="L36" s="3">
        <v>1071.74</v>
      </c>
      <c r="M36" s="3">
        <v>2482.0300000000002</v>
      </c>
      <c r="N36" s="3">
        <v>0</v>
      </c>
      <c r="O36" s="3">
        <v>0</v>
      </c>
      <c r="P36" s="10"/>
      <c r="Q36" s="3">
        <f>SUM(OSRRefD21_1_5x)+IFERROR(SUM(OSRRefE21_1_5x),0)</f>
        <v>17834.14</v>
      </c>
    </row>
    <row r="37" spans="1:17" s="42" customFormat="1" ht="15" hidden="1" customHeight="1" outlineLevel="1" x14ac:dyDescent="0.3">
      <c r="A37" s="34"/>
      <c r="B37" s="11" t="str">
        <f>CONCATENATE("          ","6007"," - ","STUDENT HOURLY")</f>
        <v xml:space="preserve">          6007 - STUDENT HOURLY</v>
      </c>
      <c r="C37" s="15"/>
      <c r="D37" s="3">
        <v>25588.93</v>
      </c>
      <c r="E37" s="3">
        <v>36397.11</v>
      </c>
      <c r="F37" s="3">
        <v>20168.580000000002</v>
      </c>
      <c r="G37" s="3">
        <v>18702.11</v>
      </c>
      <c r="H37" s="3">
        <v>14386.71</v>
      </c>
      <c r="I37" s="3">
        <v>21435.59</v>
      </c>
      <c r="J37" s="3">
        <v>37537.79</v>
      </c>
      <c r="K37" s="3">
        <v>18918.03</v>
      </c>
      <c r="L37" s="3">
        <v>24173.74</v>
      </c>
      <c r="M37" s="3">
        <v>20874.64</v>
      </c>
      <c r="N37" s="3">
        <v>0</v>
      </c>
      <c r="O37" s="3">
        <v>16405.566350000001</v>
      </c>
      <c r="P37" s="10"/>
      <c r="Q37" s="3">
        <f>SUM(OSRRefD21_1_6x)+IFERROR(SUM(OSRRefE21_1_6x),0)</f>
        <v>254588.79634999999</v>
      </c>
    </row>
    <row r="38" spans="1:17" s="42" customFormat="1" ht="15" hidden="1" customHeight="1" outlineLevel="1" x14ac:dyDescent="0.3">
      <c r="A38" s="34"/>
      <c r="B38" s="11" t="str">
        <f>CONCATENATE("          ","6008"," - ","STUDENT HOURLY-FICA EXEMPT")</f>
        <v xml:space="preserve">          6008 - STUDENT HOURLY-FICA EXEMPT</v>
      </c>
      <c r="C38" s="15"/>
      <c r="D38" s="3">
        <v>1966.16</v>
      </c>
      <c r="E38" s="3">
        <v>3421.74</v>
      </c>
      <c r="F38" s="3">
        <v>2039.31</v>
      </c>
      <c r="G38" s="3">
        <v>1904.98</v>
      </c>
      <c r="H38" s="3">
        <v>460.74</v>
      </c>
      <c r="I38" s="3">
        <v>818.3</v>
      </c>
      <c r="J38" s="3">
        <v>1023.3</v>
      </c>
      <c r="K38" s="3">
        <v>1540.45</v>
      </c>
      <c r="L38" s="3">
        <v>1143.05</v>
      </c>
      <c r="M38" s="3">
        <v>2086.8000000000002</v>
      </c>
      <c r="N38" s="3">
        <v>23045.657325</v>
      </c>
      <c r="O38" s="3">
        <v>0</v>
      </c>
      <c r="P38" s="10"/>
      <c r="Q38" s="3">
        <f>SUM(OSRRefD21_1_7x)+IFERROR(SUM(OSRRefE21_1_7x),0)</f>
        <v>39450.487324999995</v>
      </c>
    </row>
    <row r="39" spans="1:17" s="42" customFormat="1" ht="15" hidden="1" customHeight="1" outlineLevel="1" x14ac:dyDescent="0.3">
      <c r="A39" s="34"/>
      <c r="B39" s="11" t="str">
        <f>CONCATENATE("          ","6009"," - ","TEMPORARY-SEASONAL")</f>
        <v xml:space="preserve">          6009 - TEMPORARY-SEASONAL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/>
      <c r="N39" s="3">
        <v>0</v>
      </c>
      <c r="O39" s="3">
        <v>0</v>
      </c>
      <c r="P39" s="10"/>
      <c r="Q39" s="3">
        <f>SUM(OSRRefD21_1_8x)+IFERROR(SUM(OSRRefE21_1_8x),0)</f>
        <v>0</v>
      </c>
    </row>
    <row r="40" spans="1:17" s="42" customFormat="1" ht="15" hidden="1" customHeight="1" outlineLevel="1" x14ac:dyDescent="0.3">
      <c r="A40" s="34"/>
      <c r="B40" s="11" t="str">
        <f>CONCATENATE("          ","6010"," - ","GRATUITY")</f>
        <v xml:space="preserve">          6010 - GRATUITY</v>
      </c>
      <c r="C40" s="15"/>
      <c r="D40" s="3"/>
      <c r="E40" s="3"/>
      <c r="F40" s="3"/>
      <c r="G40" s="3"/>
      <c r="H40" s="3"/>
      <c r="I40" s="3"/>
      <c r="J40" s="3"/>
      <c r="K40" s="3"/>
      <c r="L40" s="3"/>
      <c r="M40" s="3"/>
      <c r="N40" s="3">
        <v>0</v>
      </c>
      <c r="O40" s="3">
        <v>0</v>
      </c>
      <c r="P40" s="10"/>
      <c r="Q40" s="3">
        <f>SUM(OSRRefD21_1_9x)+IFERROR(SUM(OSRRefE21_1_9x),0)</f>
        <v>0</v>
      </c>
    </row>
    <row r="41" spans="1:17" s="42" customFormat="1" ht="15" customHeight="1" collapsed="1" x14ac:dyDescent="0.3">
      <c r="A41" s="34"/>
      <c r="B41" s="15" t="str">
        <f>CONCATENATE("     ","Advertising/Promo                                 ")</f>
        <v xml:space="preserve">     Advertising/Promo                                 </v>
      </c>
      <c r="C41" s="15"/>
      <c r="D41" s="2">
        <f>SUM(OSRRefD21_2x_0)</f>
        <v>0</v>
      </c>
      <c r="E41" s="2">
        <f>SUM(OSRRefD21_2x_1)</f>
        <v>160</v>
      </c>
      <c r="F41" s="2">
        <f>SUM(OSRRefD21_2x_2)</f>
        <v>0</v>
      </c>
      <c r="G41" s="2">
        <f>SUM(OSRRefD21_2x_3)</f>
        <v>0</v>
      </c>
      <c r="H41" s="2">
        <f>SUM(OSRRefD21_2x_4)</f>
        <v>0</v>
      </c>
      <c r="I41" s="2">
        <f>SUM(OSRRefD21_2x_5)</f>
        <v>0</v>
      </c>
      <c r="J41" s="2">
        <f>SUM(OSRRefD21_2x_6)</f>
        <v>-526.38</v>
      </c>
      <c r="K41" s="2">
        <f>SUM(OSRRefD21_2x_7)</f>
        <v>0</v>
      </c>
      <c r="L41" s="2">
        <f>SUM(OSRRefD21_2x_8)</f>
        <v>0</v>
      </c>
      <c r="M41" s="2">
        <f>SUM(OSRRefD21_2x_9)</f>
        <v>600</v>
      </c>
      <c r="N41" s="2">
        <f>SUM(OSRRefE21_2x_0)</f>
        <v>0</v>
      </c>
      <c r="O41" s="2">
        <f>SUM(OSRRefE21_2x_1)</f>
        <v>0</v>
      </c>
      <c r="Q41" s="3">
        <f>SUM(OSRRefD20_2x)+IFERROR(SUM(OSRRefE20_2x),0)</f>
        <v>233.62</v>
      </c>
    </row>
    <row r="42" spans="1:17" s="42" customFormat="1" ht="15" hidden="1" customHeight="1" outlineLevel="1" x14ac:dyDescent="0.3">
      <c r="A42" s="34"/>
      <c r="B42" s="11" t="str">
        <f>CONCATENATE("          ","6362"," - ","ADVERTISING EXPENSE")</f>
        <v xml:space="preserve">          6362 - ADVERTISING EXPENSE</v>
      </c>
      <c r="C42" s="15"/>
      <c r="D42" s="3"/>
      <c r="E42" s="3">
        <v>160</v>
      </c>
      <c r="F42" s="3"/>
      <c r="G42" s="3"/>
      <c r="H42" s="3"/>
      <c r="I42" s="3"/>
      <c r="J42" s="3">
        <v>-526.38</v>
      </c>
      <c r="K42" s="3"/>
      <c r="L42" s="3"/>
      <c r="M42" s="3">
        <v>600</v>
      </c>
      <c r="N42" s="3"/>
      <c r="O42" s="3"/>
      <c r="P42" s="10"/>
      <c r="Q42" s="3">
        <f>SUM(OSRRefD21_2_0x)+IFERROR(SUM(OSRRefE21_2_0x),0)</f>
        <v>233.62</v>
      </c>
    </row>
    <row r="43" spans="1:17" s="42" customFormat="1" ht="15" customHeight="1" collapsed="1" x14ac:dyDescent="0.3">
      <c r="A43" s="34"/>
      <c r="B43" s="15" t="str">
        <f>CONCATENATE("     ","Bad Debts/Over/Short                              ")</f>
        <v xml:space="preserve">     Bad Debts/Over/Short                              </v>
      </c>
      <c r="C43" s="15"/>
      <c r="D43" s="2">
        <f>SUM(OSRRefD21_3x_0)</f>
        <v>0.67</v>
      </c>
      <c r="E43" s="2">
        <f>SUM(OSRRefD21_3x_1)</f>
        <v>152.35</v>
      </c>
      <c r="F43" s="2">
        <f>SUM(OSRRefD21_3x_2)</f>
        <v>97.52</v>
      </c>
      <c r="G43" s="2">
        <f>SUM(OSRRefD21_3x_3)</f>
        <v>-20.8</v>
      </c>
      <c r="H43" s="2">
        <f>SUM(OSRRefD21_3x_4)</f>
        <v>-39.53</v>
      </c>
      <c r="I43" s="2">
        <f>SUM(OSRRefD21_3x_5)</f>
        <v>-23.67</v>
      </c>
      <c r="J43" s="2">
        <f>SUM(OSRRefD21_3x_6)</f>
        <v>5.92</v>
      </c>
      <c r="K43" s="2">
        <f>SUM(OSRRefD21_3x_7)</f>
        <v>-30.71</v>
      </c>
      <c r="L43" s="2">
        <f>SUM(OSRRefD21_3x_8)</f>
        <v>-30.91</v>
      </c>
      <c r="M43" s="2">
        <f>SUM(OSRRefD21_3x_9)</f>
        <v>-47.16</v>
      </c>
      <c r="N43" s="2">
        <f>SUM(OSRRefE21_3x_0)</f>
        <v>200</v>
      </c>
      <c r="O43" s="2">
        <f>SUM(OSRRefE21_3x_1)</f>
        <v>200</v>
      </c>
      <c r="Q43" s="3">
        <f>SUM(OSRRefD20_3x)+IFERROR(SUM(OSRRefE20_3x),0)</f>
        <v>463.67999999999995</v>
      </c>
    </row>
    <row r="44" spans="1:17" s="42" customFormat="1" ht="15" hidden="1" customHeight="1" outlineLevel="1" x14ac:dyDescent="0.3">
      <c r="A44" s="34"/>
      <c r="B44" s="11" t="str">
        <f>CONCATENATE("          ","6272"," - ","CASH (OVER/SHORT)")</f>
        <v xml:space="preserve">          6272 - CASH (OVER/SHORT)</v>
      </c>
      <c r="C44" s="15"/>
      <c r="D44" s="3">
        <v>0.67</v>
      </c>
      <c r="E44" s="3">
        <v>152.35</v>
      </c>
      <c r="F44" s="3">
        <v>97.52</v>
      </c>
      <c r="G44" s="3">
        <v>-20.8</v>
      </c>
      <c r="H44" s="3">
        <v>-39.53</v>
      </c>
      <c r="I44" s="3">
        <v>-23.67</v>
      </c>
      <c r="J44" s="3">
        <v>5.92</v>
      </c>
      <c r="K44" s="3">
        <v>-30.71</v>
      </c>
      <c r="L44" s="3">
        <v>-30.91</v>
      </c>
      <c r="M44" s="3">
        <v>-47.16</v>
      </c>
      <c r="N44" s="3">
        <v>200</v>
      </c>
      <c r="O44" s="3">
        <v>200</v>
      </c>
      <c r="P44" s="10"/>
      <c r="Q44" s="3">
        <f>SUM(OSRRefD21_3_0x)+IFERROR(SUM(OSRRefE21_3_0x),0)</f>
        <v>463.67999999999995</v>
      </c>
    </row>
    <row r="45" spans="1:17" s="42" customFormat="1" ht="15" customHeight="1" collapsed="1" x14ac:dyDescent="0.3">
      <c r="A45" s="34"/>
      <c r="B45" s="15" t="str">
        <f>CONCATENATE("     ","Bank/card Fees                                    ")</f>
        <v xml:space="preserve">     Bank/card Fees                                    </v>
      </c>
      <c r="C45" s="15"/>
      <c r="D45" s="2">
        <f>SUM(OSRRefD21_4x_0)</f>
        <v>3469.56</v>
      </c>
      <c r="E45" s="2">
        <f>SUM(OSRRefD21_4x_1)</f>
        <v>22388.61</v>
      </c>
      <c r="F45" s="2">
        <f>SUM(OSRRefD21_4x_2)</f>
        <v>10228.540000000001</v>
      </c>
      <c r="G45" s="2">
        <f>SUM(OSRRefD21_4x_3)</f>
        <v>12320.84</v>
      </c>
      <c r="H45" s="2">
        <f>SUM(OSRRefD21_4x_4)</f>
        <v>7325.16</v>
      </c>
      <c r="I45" s="2">
        <f>SUM(OSRRefD21_4x_5)</f>
        <v>8159.3</v>
      </c>
      <c r="J45" s="2">
        <f>SUM(OSRRefD21_4x_6)</f>
        <v>11917.04</v>
      </c>
      <c r="K45" s="2">
        <f>SUM(OSRRefD21_4x_7)</f>
        <v>15209.56</v>
      </c>
      <c r="L45" s="2">
        <f>SUM(OSRRefD21_4x_8)</f>
        <v>15573.86</v>
      </c>
      <c r="M45" s="2">
        <f>SUM(OSRRefD21_4x_9)</f>
        <v>14841.75</v>
      </c>
      <c r="N45" s="2">
        <f>SUM(OSRRefE21_4x_0)</f>
        <v>12000</v>
      </c>
      <c r="O45" s="2">
        <f>SUM(OSRRefE21_4x_1)</f>
        <v>6000</v>
      </c>
      <c r="Q45" s="3">
        <f>SUM(OSRRefD20_4x)+IFERROR(SUM(OSRRefE20_4x),0)</f>
        <v>139434.22000000003</v>
      </c>
    </row>
    <row r="46" spans="1:17" s="42" customFormat="1" ht="15" hidden="1" customHeight="1" outlineLevel="1" x14ac:dyDescent="0.3">
      <c r="A46" s="34"/>
      <c r="B46" s="11" t="str">
        <f>CONCATENATE("          ","6381"," - ","BANK/CREDIT CARD FEES")</f>
        <v xml:space="preserve">          6381 - BANK/CREDIT CARD FEES</v>
      </c>
      <c r="C46" s="15"/>
      <c r="D46" s="3">
        <v>3469.56</v>
      </c>
      <c r="E46" s="3">
        <v>22388.61</v>
      </c>
      <c r="F46" s="3">
        <v>10228.540000000001</v>
      </c>
      <c r="G46" s="3">
        <v>12320.84</v>
      </c>
      <c r="H46" s="3">
        <v>7325.16</v>
      </c>
      <c r="I46" s="3">
        <v>8159.3</v>
      </c>
      <c r="J46" s="3">
        <v>11917.04</v>
      </c>
      <c r="K46" s="3">
        <v>15209.56</v>
      </c>
      <c r="L46" s="3">
        <v>15573.86</v>
      </c>
      <c r="M46" s="3">
        <v>14841.75</v>
      </c>
      <c r="N46" s="3">
        <v>12000</v>
      </c>
      <c r="O46" s="3">
        <v>6000</v>
      </c>
      <c r="P46" s="10"/>
      <c r="Q46" s="3">
        <f>SUM(OSRRefD21_4_0x)+IFERROR(SUM(OSRRefE21_4_0x),0)</f>
        <v>139434.22000000003</v>
      </c>
    </row>
    <row r="47" spans="1:17" s="42" customFormat="1" ht="15" customHeight="1" collapsed="1" x14ac:dyDescent="0.3">
      <c r="A47" s="34"/>
      <c r="B47" s="15" t="str">
        <f>CONCATENATE("     ","Depreciation                                      ")</f>
        <v xml:space="preserve">     Depreciation                                      </v>
      </c>
      <c r="C47" s="15"/>
      <c r="D47" s="2">
        <f>SUM(OSRRefD21_5x_0)</f>
        <v>30550.800000000003</v>
      </c>
      <c r="E47" s="2">
        <f>SUM(OSRRefD21_5x_1)</f>
        <v>30550.800000000003</v>
      </c>
      <c r="F47" s="2">
        <f>SUM(OSRRefD21_5x_2)</f>
        <v>30550.800000000003</v>
      </c>
      <c r="G47" s="2">
        <f>SUM(OSRRefD21_5x_3)</f>
        <v>30444.98</v>
      </c>
      <c r="H47" s="2">
        <f>SUM(OSRRefD21_5x_4)</f>
        <v>30444.97</v>
      </c>
      <c r="I47" s="2">
        <f>SUM(OSRRefD21_5x_5)</f>
        <v>30444.959999999999</v>
      </c>
      <c r="J47" s="2">
        <f>SUM(OSRRefD21_5x_6)</f>
        <v>28180.050000000003</v>
      </c>
      <c r="K47" s="2">
        <f>SUM(OSRRefD21_5x_7)</f>
        <v>27370.16</v>
      </c>
      <c r="L47" s="2">
        <f>SUM(OSRRefD21_5x_8)</f>
        <v>27370.129999999997</v>
      </c>
      <c r="M47" s="2">
        <f>SUM(OSRRefD21_5x_9)</f>
        <v>16210.169999999998</v>
      </c>
      <c r="N47" s="2">
        <f>SUM(OSRRefE21_5x_0)</f>
        <v>16089</v>
      </c>
      <c r="O47" s="2">
        <f>SUM(OSRRefE21_5x_1)</f>
        <v>16089</v>
      </c>
      <c r="Q47" s="3">
        <f>SUM(OSRRefD20_5x)+IFERROR(SUM(OSRRefE20_5x),0)</f>
        <v>314295.81999999995</v>
      </c>
    </row>
    <row r="48" spans="1:17" s="42" customFormat="1" ht="15" hidden="1" customHeight="1" outlineLevel="1" x14ac:dyDescent="0.3">
      <c r="A48" s="34"/>
      <c r="B48" s="11" t="str">
        <f>CONCATENATE("          ","6321"," - ","BUILDING DEPRECIATION")</f>
        <v xml:space="preserve">          6321 - BUILDING DEPRECIATION</v>
      </c>
      <c r="C48" s="15"/>
      <c r="D48" s="3">
        <v>16396.52</v>
      </c>
      <c r="E48" s="3">
        <v>16396.52</v>
      </c>
      <c r="F48" s="3">
        <v>16396.52</v>
      </c>
      <c r="G48" s="3">
        <v>16396.52</v>
      </c>
      <c r="H48" s="3">
        <v>16396.52</v>
      </c>
      <c r="I48" s="3">
        <v>16396.509999999998</v>
      </c>
      <c r="J48" s="3">
        <v>14131.6</v>
      </c>
      <c r="K48" s="3">
        <v>13321.71</v>
      </c>
      <c r="L48" s="3">
        <v>13321.71</v>
      </c>
      <c r="M48" s="3">
        <v>13321.71</v>
      </c>
      <c r="N48" s="3"/>
      <c r="O48" s="3"/>
      <c r="P48" s="10"/>
      <c r="Q48" s="3">
        <f>SUM(OSRRefD21_5_0x)+IFERROR(SUM(OSRRefE21_5_0x),0)</f>
        <v>152475.84</v>
      </c>
    </row>
    <row r="49" spans="1:17" s="42" customFormat="1" ht="15" hidden="1" customHeight="1" outlineLevel="1" x14ac:dyDescent="0.3">
      <c r="A49" s="34"/>
      <c r="B49" s="11" t="str">
        <f>CONCATENATE("          ","6322"," - ","EQUIPMENT DEPRECIATION EXPENSE")</f>
        <v xml:space="preserve">          6322 - EQUIPMENT DEPRECIATION EXPENSE</v>
      </c>
      <c r="C49" s="15"/>
      <c r="D49" s="3">
        <v>14154.28</v>
      </c>
      <c r="E49" s="3">
        <v>14154.28</v>
      </c>
      <c r="F49" s="3">
        <v>14154.28</v>
      </c>
      <c r="G49" s="3">
        <v>14048.46</v>
      </c>
      <c r="H49" s="3">
        <v>14048.45</v>
      </c>
      <c r="I49" s="3">
        <v>14048.45</v>
      </c>
      <c r="J49" s="3">
        <v>14048.45</v>
      </c>
      <c r="K49" s="3">
        <v>14048.45</v>
      </c>
      <c r="L49" s="3">
        <v>14048.42</v>
      </c>
      <c r="M49" s="3">
        <v>2888.46</v>
      </c>
      <c r="N49" s="3">
        <v>16089</v>
      </c>
      <c r="O49" s="3">
        <v>16089</v>
      </c>
      <c r="P49" s="10"/>
      <c r="Q49" s="3">
        <f>SUM(OSRRefD21_5_1x)+IFERROR(SUM(OSRRefE21_5_1x),0)</f>
        <v>161819.97999999998</v>
      </c>
    </row>
    <row r="50" spans="1:17" s="42" customFormat="1" ht="15" customHeight="1" collapsed="1" x14ac:dyDescent="0.3">
      <c r="A50" s="34"/>
      <c r="B50" s="15" t="str">
        <f>CONCATENATE("     ","Discounts and Markdowns                           ")</f>
        <v xml:space="preserve">     Discounts and Markdowns                           </v>
      </c>
      <c r="C50" s="15"/>
      <c r="D50" s="2">
        <f>SUM(OSRRefD21_6x_0)</f>
        <v>-0.68</v>
      </c>
      <c r="E50" s="2">
        <f>SUM(OSRRefD21_6x_1)</f>
        <v>-21.81</v>
      </c>
      <c r="F50" s="2">
        <f>SUM(OSRRefD21_6x_2)</f>
        <v>0</v>
      </c>
      <c r="G50" s="2">
        <f>SUM(OSRRefD21_6x_3)</f>
        <v>-0.21</v>
      </c>
      <c r="H50" s="2">
        <f>SUM(OSRRefD21_6x_4)</f>
        <v>3407.68</v>
      </c>
      <c r="I50" s="2">
        <f>SUM(OSRRefD21_6x_5)</f>
        <v>-1.29</v>
      </c>
      <c r="J50" s="2">
        <f>SUM(OSRRefD21_6x_6)</f>
        <v>-1319.51</v>
      </c>
      <c r="K50" s="2">
        <f>SUM(OSRRefD21_6x_7)</f>
        <v>-0.98</v>
      </c>
      <c r="L50" s="2">
        <f>SUM(OSRRefD21_6x_8)</f>
        <v>-7.05</v>
      </c>
      <c r="M50" s="2">
        <f>SUM(OSRRefD21_6x_9)</f>
        <v>-29.32</v>
      </c>
      <c r="N50" s="2">
        <f>SUM(OSRRefE21_6x_0)</f>
        <v>0</v>
      </c>
      <c r="O50" s="2">
        <f>SUM(OSRRefE21_6x_1)</f>
        <v>0</v>
      </c>
      <c r="Q50" s="3">
        <f>SUM(OSRRefD20_6x)+IFERROR(SUM(OSRRefE20_6x),0)</f>
        <v>2026.8300000000002</v>
      </c>
    </row>
    <row r="51" spans="1:17" s="42" customFormat="1" ht="15" hidden="1" customHeight="1" outlineLevel="1" x14ac:dyDescent="0.3">
      <c r="A51" s="34"/>
      <c r="B51" s="11" t="str">
        <f>CONCATENATE("          ","6382"," - ","DISCOUNTS/MARK DOWNS")</f>
        <v xml:space="preserve">          6382 - DISCOUNTS/MARK DOWNS</v>
      </c>
      <c r="C51" s="15"/>
      <c r="D51" s="3"/>
      <c r="E51" s="3"/>
      <c r="F51" s="3"/>
      <c r="G51" s="3"/>
      <c r="H51" s="3">
        <v>3410</v>
      </c>
      <c r="I51" s="3"/>
      <c r="J51" s="3">
        <v>-1240</v>
      </c>
      <c r="K51" s="3"/>
      <c r="L51" s="3"/>
      <c r="M51" s="3"/>
      <c r="N51" s="3"/>
      <c r="O51" s="3"/>
      <c r="P51" s="10"/>
      <c r="Q51" s="3">
        <f>SUM(OSRRefD21_6_0x)+IFERROR(SUM(OSRRefE21_6_0x),0)</f>
        <v>2170</v>
      </c>
    </row>
    <row r="52" spans="1:17" s="42" customFormat="1" ht="15" hidden="1" customHeight="1" outlineLevel="1" x14ac:dyDescent="0.3">
      <c r="A52" s="34"/>
      <c r="B52" s="11" t="str">
        <f>CONCATENATE("          ","9175"," - ","EARNED DISCOUNTS")</f>
        <v xml:space="preserve">          9175 - EARNED DISCOUNTS</v>
      </c>
      <c r="C52" s="15"/>
      <c r="D52" s="3">
        <v>-0.68</v>
      </c>
      <c r="E52" s="3">
        <v>-21.81</v>
      </c>
      <c r="F52" s="3"/>
      <c r="G52" s="3">
        <v>-0.21</v>
      </c>
      <c r="H52" s="3">
        <v>-2.3199999999999998</v>
      </c>
      <c r="I52" s="3">
        <v>-1.29</v>
      </c>
      <c r="J52" s="3">
        <v>-79.510000000000005</v>
      </c>
      <c r="K52" s="3">
        <v>-0.98</v>
      </c>
      <c r="L52" s="3">
        <v>-7.05</v>
      </c>
      <c r="M52" s="3">
        <v>-29.32</v>
      </c>
      <c r="N52" s="3"/>
      <c r="O52" s="3"/>
      <c r="P52" s="10"/>
      <c r="Q52" s="3">
        <f>SUM(OSRRefD21_6_1x)+IFERROR(SUM(OSRRefE21_6_1x),0)</f>
        <v>-143.17000000000002</v>
      </c>
    </row>
    <row r="53" spans="1:17" s="42" customFormat="1" ht="15" customHeight="1" collapsed="1" x14ac:dyDescent="0.3">
      <c r="A53" s="34"/>
      <c r="B53" s="15" t="str">
        <f>CONCATENATE("     ","Donations                                         ")</f>
        <v xml:space="preserve">     Donations                                         </v>
      </c>
      <c r="C53" s="15"/>
      <c r="D53" s="2">
        <f>SUM(OSRRefD21_7x_0)</f>
        <v>0</v>
      </c>
      <c r="E53" s="2">
        <f>SUM(OSRRefD21_7x_1)</f>
        <v>0</v>
      </c>
      <c r="F53" s="2">
        <f>SUM(OSRRefD21_7x_2)</f>
        <v>0</v>
      </c>
      <c r="G53" s="2">
        <f>SUM(OSRRefD21_7x_3)</f>
        <v>1483.48</v>
      </c>
      <c r="H53" s="2">
        <f>SUM(OSRRefD21_7x_4)</f>
        <v>1336.74</v>
      </c>
      <c r="I53" s="2">
        <f>SUM(OSRRefD21_7x_5)</f>
        <v>0</v>
      </c>
      <c r="J53" s="2">
        <f>SUM(OSRRefD21_7x_6)</f>
        <v>0</v>
      </c>
      <c r="K53" s="2">
        <f>SUM(OSRRefD21_7x_7)</f>
        <v>2998.05</v>
      </c>
      <c r="L53" s="2">
        <f>SUM(OSRRefD21_7x_8)</f>
        <v>0</v>
      </c>
      <c r="M53" s="2">
        <f>SUM(OSRRefD21_7x_9)</f>
        <v>1488.53</v>
      </c>
      <c r="N53" s="2">
        <f>SUM(OSRRefE21_7x_0)</f>
        <v>1250</v>
      </c>
      <c r="O53" s="2">
        <f>SUM(OSRRefE21_7x_1)</f>
        <v>1250</v>
      </c>
      <c r="Q53" s="3">
        <f>SUM(OSRRefD20_7x)+IFERROR(SUM(OSRRefE20_7x),0)</f>
        <v>9806.7999999999993</v>
      </c>
    </row>
    <row r="54" spans="1:17" s="42" customFormat="1" ht="15" hidden="1" customHeight="1" outlineLevel="1" x14ac:dyDescent="0.3">
      <c r="A54" s="34"/>
      <c r="B54" s="11" t="str">
        <f>CONCATENATE("          ","6399"," - ","DONATION-ON CAMPUS")</f>
        <v xml:space="preserve">          6399 - DONATION-ON CAMPUS</v>
      </c>
      <c r="C54" s="15"/>
      <c r="D54" s="3"/>
      <c r="E54" s="3"/>
      <c r="F54" s="3"/>
      <c r="G54" s="3">
        <v>1483.48</v>
      </c>
      <c r="H54" s="3">
        <v>1336.74</v>
      </c>
      <c r="I54" s="3"/>
      <c r="J54" s="3"/>
      <c r="K54" s="3">
        <v>2998.05</v>
      </c>
      <c r="L54" s="3"/>
      <c r="M54" s="3">
        <v>1488.53</v>
      </c>
      <c r="N54" s="3">
        <v>1250</v>
      </c>
      <c r="O54" s="3">
        <v>1250</v>
      </c>
      <c r="P54" s="10"/>
      <c r="Q54" s="3">
        <f>SUM(OSRRefD21_7_0x)+IFERROR(SUM(OSRRefE21_7_0x),0)</f>
        <v>9806.7999999999993</v>
      </c>
    </row>
    <row r="55" spans="1:17" s="42" customFormat="1" ht="15" customHeight="1" collapsed="1" x14ac:dyDescent="0.3">
      <c r="A55" s="34"/>
      <c r="B55" s="15" t="str">
        <f>CONCATENATE("     ","Employees' Appreciation                           ")</f>
        <v xml:space="preserve">     Employees' Appreciation                           </v>
      </c>
      <c r="C55" s="15"/>
      <c r="D55" s="2">
        <f>SUM(OSRRefD21_8x_0)</f>
        <v>320.92</v>
      </c>
      <c r="E55" s="2">
        <f>SUM(OSRRefD21_8x_1)</f>
        <v>400</v>
      </c>
      <c r="F55" s="2">
        <f>SUM(OSRRefD21_8x_2)</f>
        <v>447.27</v>
      </c>
      <c r="G55" s="2">
        <f>SUM(OSRRefD21_8x_3)</f>
        <v>0</v>
      </c>
      <c r="H55" s="2">
        <f>SUM(OSRRefD21_8x_4)</f>
        <v>490.02</v>
      </c>
      <c r="I55" s="2">
        <f>SUM(OSRRefD21_8x_5)</f>
        <v>949.16</v>
      </c>
      <c r="J55" s="2">
        <f>SUM(OSRRefD21_8x_6)</f>
        <v>1421.38</v>
      </c>
      <c r="K55" s="2">
        <f>SUM(OSRRefD21_8x_7)</f>
        <v>0</v>
      </c>
      <c r="L55" s="2">
        <f>SUM(OSRRefD21_8x_8)</f>
        <v>0</v>
      </c>
      <c r="M55" s="2">
        <f>SUM(OSRRefD21_8x_9)</f>
        <v>0</v>
      </c>
      <c r="N55" s="2">
        <f>SUM(OSRRefE21_8x_0)</f>
        <v>100</v>
      </c>
      <c r="O55" s="2">
        <f>SUM(OSRRefE21_8x_1)</f>
        <v>100</v>
      </c>
      <c r="Q55" s="3">
        <f>SUM(OSRRefD20_8x)+IFERROR(SUM(OSRRefE20_8x),0)</f>
        <v>4228.75</v>
      </c>
    </row>
    <row r="56" spans="1:17" s="42" customFormat="1" ht="15" hidden="1" customHeight="1" outlineLevel="1" x14ac:dyDescent="0.3">
      <c r="A56" s="34"/>
      <c r="B56" s="11" t="str">
        <f>CONCATENATE("          ","6277"," - ","EMPLOYEE APPRECIATION")</f>
        <v xml:space="preserve">          6277 - EMPLOYEE APPRECIATION</v>
      </c>
      <c r="C56" s="15"/>
      <c r="D56" s="3">
        <v>320.92</v>
      </c>
      <c r="E56" s="3">
        <v>400</v>
      </c>
      <c r="F56" s="3">
        <v>447.27</v>
      </c>
      <c r="G56" s="3"/>
      <c r="H56" s="3">
        <v>490.02</v>
      </c>
      <c r="I56" s="3">
        <v>949.16</v>
      </c>
      <c r="J56" s="3">
        <v>1421.38</v>
      </c>
      <c r="K56" s="3"/>
      <c r="L56" s="3"/>
      <c r="M56" s="3"/>
      <c r="N56" s="3">
        <v>100</v>
      </c>
      <c r="O56" s="3">
        <v>100</v>
      </c>
      <c r="P56" s="10"/>
      <c r="Q56" s="3">
        <f>SUM(OSRRefD21_8_0x)+IFERROR(SUM(OSRRefE21_8_0x),0)</f>
        <v>4228.75</v>
      </c>
    </row>
    <row r="57" spans="1:17" s="42" customFormat="1" ht="15" customHeight="1" collapsed="1" x14ac:dyDescent="0.3">
      <c r="A57" s="34"/>
      <c r="B57" s="15" t="str">
        <f>CONCATENATE("     ","Equipment Rental                                  ")</f>
        <v xml:space="preserve">     Equipment Rental                                  </v>
      </c>
      <c r="C57" s="15"/>
      <c r="D57" s="2">
        <f>SUM(OSRRefD21_9x_0)</f>
        <v>91.26</v>
      </c>
      <c r="E57" s="2">
        <f>SUM(OSRRefD21_9x_1)</f>
        <v>1006.83</v>
      </c>
      <c r="F57" s="2">
        <f>SUM(OSRRefD21_9x_2)</f>
        <v>91.26</v>
      </c>
      <c r="G57" s="2">
        <f>SUM(OSRRefD21_9x_3)</f>
        <v>234.45</v>
      </c>
      <c r="H57" s="2">
        <f>SUM(OSRRefD21_9x_4)</f>
        <v>415.15</v>
      </c>
      <c r="I57" s="2">
        <f>SUM(OSRRefD21_9x_5)</f>
        <v>91.26</v>
      </c>
      <c r="J57" s="2">
        <f>SUM(OSRRefD21_9x_6)</f>
        <v>91.26</v>
      </c>
      <c r="K57" s="2">
        <f>SUM(OSRRefD21_9x_7)</f>
        <v>91.26</v>
      </c>
      <c r="L57" s="2">
        <f>SUM(OSRRefD21_9x_8)</f>
        <v>415.15</v>
      </c>
      <c r="M57" s="2">
        <f>SUM(OSRRefD21_9x_9)</f>
        <v>91.26</v>
      </c>
      <c r="N57" s="2">
        <f>SUM(OSRRefE21_9x_0)</f>
        <v>300</v>
      </c>
      <c r="O57" s="2">
        <f>SUM(OSRRefE21_9x_1)</f>
        <v>300</v>
      </c>
      <c r="Q57" s="3">
        <f>SUM(OSRRefD20_9x)+IFERROR(SUM(OSRRefE20_9x),0)</f>
        <v>3219.1400000000008</v>
      </c>
    </row>
    <row r="58" spans="1:17" s="42" customFormat="1" ht="15" hidden="1" customHeight="1" outlineLevel="1" x14ac:dyDescent="0.3">
      <c r="A58" s="34"/>
      <c r="B58" s="11" t="str">
        <f>CONCATENATE("          ","6351"," - ","EQUIPMENT RENTAL")</f>
        <v xml:space="preserve">          6351 - EQUIPMENT RENTAL</v>
      </c>
      <c r="C58" s="15"/>
      <c r="D58" s="3">
        <v>91.26</v>
      </c>
      <c r="E58" s="3">
        <v>1006.83</v>
      </c>
      <c r="F58" s="3">
        <v>91.26</v>
      </c>
      <c r="G58" s="3">
        <v>234.45</v>
      </c>
      <c r="H58" s="3">
        <v>415.15</v>
      </c>
      <c r="I58" s="3">
        <v>91.26</v>
      </c>
      <c r="J58" s="3">
        <v>91.26</v>
      </c>
      <c r="K58" s="3">
        <v>91.26</v>
      </c>
      <c r="L58" s="3">
        <v>415.15</v>
      </c>
      <c r="M58" s="3">
        <v>91.26</v>
      </c>
      <c r="N58" s="3">
        <v>300</v>
      </c>
      <c r="O58" s="3">
        <v>300</v>
      </c>
      <c r="P58" s="10"/>
      <c r="Q58" s="3">
        <f>SUM(OSRRefD21_9_0x)+IFERROR(SUM(OSRRefE21_9_0x),0)</f>
        <v>3219.1400000000008</v>
      </c>
    </row>
    <row r="59" spans="1:17" s="42" customFormat="1" ht="15" customHeight="1" collapsed="1" x14ac:dyDescent="0.3">
      <c r="A59" s="34"/>
      <c r="B59" s="15" t="str">
        <f>CONCATENATE("     ","Freight out/Postage                               ")</f>
        <v xml:space="preserve">     Freight out/Postage                               </v>
      </c>
      <c r="C59" s="15"/>
      <c r="D59" s="2">
        <f>SUM(OSRRefD21_10x_0)</f>
        <v>315.95</v>
      </c>
      <c r="E59" s="2">
        <f>SUM(OSRRefD21_10x_1)</f>
        <v>615.95000000000005</v>
      </c>
      <c r="F59" s="2">
        <f>SUM(OSRRefD21_10x_2)</f>
        <v>0.43</v>
      </c>
      <c r="G59" s="2">
        <f>SUM(OSRRefD21_10x_3)</f>
        <v>1231.9000000000001</v>
      </c>
      <c r="H59" s="2">
        <f>SUM(OSRRefD21_10x_4)</f>
        <v>7326.06</v>
      </c>
      <c r="I59" s="2">
        <f>SUM(OSRRefD21_10x_5)</f>
        <v>15.95</v>
      </c>
      <c r="J59" s="2">
        <f>SUM(OSRRefD21_10x_6)</f>
        <v>1725.99</v>
      </c>
      <c r="K59" s="2">
        <f>SUM(OSRRefD21_10x_7)</f>
        <v>15.95</v>
      </c>
      <c r="L59" s="2">
        <f>SUM(OSRRefD21_10x_8)</f>
        <v>15.95</v>
      </c>
      <c r="M59" s="2">
        <f>SUM(OSRRefD21_10x_9)</f>
        <v>15.95</v>
      </c>
      <c r="N59" s="2">
        <f>SUM(OSRRefE21_10x_0)</f>
        <v>100</v>
      </c>
      <c r="O59" s="2">
        <f>SUM(OSRRefE21_10x_1)</f>
        <v>100</v>
      </c>
      <c r="Q59" s="3">
        <f>SUM(OSRRefD20_10x)+IFERROR(SUM(OSRRefE20_10x),0)</f>
        <v>11480.080000000004</v>
      </c>
    </row>
    <row r="60" spans="1:17" s="42" customFormat="1" ht="15" hidden="1" customHeight="1" outlineLevel="1" x14ac:dyDescent="0.3">
      <c r="A60" s="34"/>
      <c r="B60" s="11" t="str">
        <f>CONCATENATE("          ","6307"," - ","POSTAGE")</f>
        <v xml:space="preserve">          6307 - POSTAGE</v>
      </c>
      <c r="C60" s="15"/>
      <c r="D60" s="3">
        <v>315.95</v>
      </c>
      <c r="E60" s="3">
        <v>615.95000000000005</v>
      </c>
      <c r="F60" s="3">
        <v>0.43</v>
      </c>
      <c r="G60" s="3">
        <v>1231.9000000000001</v>
      </c>
      <c r="H60" s="3">
        <v>7326.06</v>
      </c>
      <c r="I60" s="3">
        <v>15.95</v>
      </c>
      <c r="J60" s="3">
        <v>1725.99</v>
      </c>
      <c r="K60" s="3">
        <v>15.95</v>
      </c>
      <c r="L60" s="3">
        <v>15.95</v>
      </c>
      <c r="M60" s="3">
        <v>15.95</v>
      </c>
      <c r="N60" s="3">
        <v>100</v>
      </c>
      <c r="O60" s="3">
        <v>100</v>
      </c>
      <c r="P60" s="10"/>
      <c r="Q60" s="3">
        <f>SUM(OSRRefD21_10_0x)+IFERROR(SUM(OSRRefE21_10_0x),0)</f>
        <v>11480.080000000004</v>
      </c>
    </row>
    <row r="61" spans="1:17" s="42" customFormat="1" ht="15" customHeight="1" collapsed="1" x14ac:dyDescent="0.3">
      <c r="A61" s="34"/>
      <c r="B61" s="15" t="str">
        <f>CONCATENATE("     ","General                                           ")</f>
        <v xml:space="preserve">     General                                           </v>
      </c>
      <c r="C61" s="15"/>
      <c r="D61" s="2">
        <f>SUM(OSRRefD21_11x_0)</f>
        <v>778</v>
      </c>
      <c r="E61" s="2">
        <f>SUM(OSRRefD21_11x_1)</f>
        <v>769.25</v>
      </c>
      <c r="F61" s="2">
        <f>SUM(OSRRefD21_11x_2)</f>
        <v>0</v>
      </c>
      <c r="G61" s="2">
        <f>SUM(OSRRefD21_11x_3)</f>
        <v>327.5</v>
      </c>
      <c r="H61" s="2">
        <f>SUM(OSRRefD21_11x_4)</f>
        <v>0</v>
      </c>
      <c r="I61" s="2">
        <f>SUM(OSRRefD21_11x_5)</f>
        <v>682</v>
      </c>
      <c r="J61" s="2">
        <f>SUM(OSRRefD21_11x_6)</f>
        <v>0</v>
      </c>
      <c r="K61" s="2">
        <f>SUM(OSRRefD21_11x_7)</f>
        <v>267.05</v>
      </c>
      <c r="L61" s="2">
        <f>SUM(OSRRefD21_11x_8)</f>
        <v>72</v>
      </c>
      <c r="M61" s="2">
        <f>SUM(OSRRefD21_11x_9)</f>
        <v>-72</v>
      </c>
      <c r="N61" s="2">
        <f>SUM(OSRRefE21_11x_0)</f>
        <v>200</v>
      </c>
      <c r="O61" s="2">
        <f>SUM(OSRRefE21_11x_1)</f>
        <v>200</v>
      </c>
      <c r="Q61" s="3">
        <f>SUM(OSRRefD20_11x)+IFERROR(SUM(OSRRefE20_11x),0)</f>
        <v>3223.8</v>
      </c>
    </row>
    <row r="62" spans="1:17" s="42" customFormat="1" ht="15" hidden="1" customHeight="1" outlineLevel="1" x14ac:dyDescent="0.3">
      <c r="A62" s="34"/>
      <c r="B62" s="11" t="str">
        <f>CONCATENATE("          ","6279"," - ","GENERAL EXPENSE")</f>
        <v xml:space="preserve">          6279 - GENERAL EXPENSE</v>
      </c>
      <c r="C62" s="15"/>
      <c r="D62" s="3">
        <v>778</v>
      </c>
      <c r="E62" s="3">
        <v>769.25</v>
      </c>
      <c r="F62" s="3"/>
      <c r="G62" s="3">
        <v>327.5</v>
      </c>
      <c r="H62" s="3"/>
      <c r="I62" s="3">
        <v>682</v>
      </c>
      <c r="J62" s="3"/>
      <c r="K62" s="3">
        <v>267.05</v>
      </c>
      <c r="L62" s="3">
        <v>72</v>
      </c>
      <c r="M62" s="3">
        <v>-72</v>
      </c>
      <c r="N62" s="3">
        <v>200</v>
      </c>
      <c r="O62" s="3">
        <v>200</v>
      </c>
      <c r="P62" s="10"/>
      <c r="Q62" s="3">
        <f>SUM(OSRRefD21_11_0x)+IFERROR(SUM(OSRRefE21_11_0x),0)</f>
        <v>3223.8</v>
      </c>
    </row>
    <row r="63" spans="1:17" s="42" customFormat="1" ht="15" customHeight="1" collapsed="1" x14ac:dyDescent="0.3">
      <c r="A63" s="34"/>
      <c r="B63" s="15" t="str">
        <f>CONCATENATE("     ","Insurance                                         ")</f>
        <v xml:space="preserve">     Insurance                                         </v>
      </c>
      <c r="C63" s="15"/>
      <c r="D63" s="2">
        <f>SUM(OSRRefD21_12x_0)</f>
        <v>5275.49</v>
      </c>
      <c r="E63" s="2">
        <f>SUM(OSRRefD21_12x_1)</f>
        <v>5275.49</v>
      </c>
      <c r="F63" s="2">
        <f>SUM(OSRRefD21_12x_2)</f>
        <v>5275.49</v>
      </c>
      <c r="G63" s="2">
        <f>SUM(OSRRefD21_12x_3)</f>
        <v>5275.49</v>
      </c>
      <c r="H63" s="2">
        <f>SUM(OSRRefD21_12x_4)</f>
        <v>5275.49</v>
      </c>
      <c r="I63" s="2">
        <f>SUM(OSRRefD21_12x_5)</f>
        <v>5275.49</v>
      </c>
      <c r="J63" s="2">
        <f>SUM(OSRRefD21_12x_6)</f>
        <v>5275.49</v>
      </c>
      <c r="K63" s="2">
        <f>SUM(OSRRefD21_12x_7)</f>
        <v>5275.49</v>
      </c>
      <c r="L63" s="2">
        <f>SUM(OSRRefD21_12x_8)</f>
        <v>5275.49</v>
      </c>
      <c r="M63" s="2">
        <f>SUM(OSRRefD21_12x_9)</f>
        <v>5275.49</v>
      </c>
      <c r="N63" s="2">
        <f>SUM(OSRRefE21_12x_0)</f>
        <v>5200</v>
      </c>
      <c r="O63" s="2">
        <f>SUM(OSRRefE21_12x_1)</f>
        <v>5200</v>
      </c>
      <c r="Q63" s="3">
        <f>SUM(OSRRefD20_12x)+IFERROR(SUM(OSRRefE20_12x),0)</f>
        <v>63154.899999999987</v>
      </c>
    </row>
    <row r="64" spans="1:17" s="42" customFormat="1" ht="15" hidden="1" customHeight="1" outlineLevel="1" x14ac:dyDescent="0.3">
      <c r="A64" s="34"/>
      <c r="B64" s="11" t="str">
        <f>CONCATENATE("          ","6314"," - ","LIABILITY INSURANCE")</f>
        <v xml:space="preserve">          6314 - LIABILITY INSURANCE</v>
      </c>
      <c r="C64" s="15"/>
      <c r="D64" s="3">
        <v>5275.49</v>
      </c>
      <c r="E64" s="3">
        <v>5275.49</v>
      </c>
      <c r="F64" s="3">
        <v>5275.49</v>
      </c>
      <c r="G64" s="3">
        <v>5275.49</v>
      </c>
      <c r="H64" s="3">
        <v>5275.49</v>
      </c>
      <c r="I64" s="3">
        <v>5275.49</v>
      </c>
      <c r="J64" s="3">
        <v>5275.49</v>
      </c>
      <c r="K64" s="3">
        <v>5275.49</v>
      </c>
      <c r="L64" s="3">
        <v>5275.49</v>
      </c>
      <c r="M64" s="3">
        <v>5275.49</v>
      </c>
      <c r="N64" s="3">
        <v>5200</v>
      </c>
      <c r="O64" s="3">
        <v>5200</v>
      </c>
      <c r="P64" s="10"/>
      <c r="Q64" s="3">
        <f>SUM(OSRRefD21_12_0x)+IFERROR(SUM(OSRRefE21_12_0x),0)</f>
        <v>63154.899999999987</v>
      </c>
    </row>
    <row r="65" spans="1:17" s="42" customFormat="1" ht="15" customHeight="1" collapsed="1" x14ac:dyDescent="0.3">
      <c r="A65" s="34"/>
      <c r="B65" s="15" t="str">
        <f>CONCATENATE("     ","Professional Services                             ")</f>
        <v xml:space="preserve">     Professional Services                             </v>
      </c>
      <c r="C65" s="15"/>
      <c r="D65" s="2">
        <f>SUM(OSRRefD21_13x_0)</f>
        <v>0</v>
      </c>
      <c r="E65" s="2">
        <f>SUM(OSRRefD21_13x_1)</f>
        <v>0</v>
      </c>
      <c r="F65" s="2">
        <f>SUM(OSRRefD21_13x_2)</f>
        <v>0</v>
      </c>
      <c r="G65" s="2">
        <f>SUM(OSRRefD21_13x_3)</f>
        <v>7517.43</v>
      </c>
      <c r="H65" s="2">
        <f>SUM(OSRRefD21_13x_4)</f>
        <v>0</v>
      </c>
      <c r="I65" s="2">
        <f>SUM(OSRRefD21_13x_5)</f>
        <v>0</v>
      </c>
      <c r="J65" s="2">
        <f>SUM(OSRRefD21_13x_6)</f>
        <v>0</v>
      </c>
      <c r="K65" s="2">
        <f>SUM(OSRRefD21_13x_7)</f>
        <v>0</v>
      </c>
      <c r="L65" s="2">
        <f>SUM(OSRRefD21_13x_8)</f>
        <v>0</v>
      </c>
      <c r="M65" s="2">
        <f>SUM(OSRRefD21_13x_9)</f>
        <v>0</v>
      </c>
      <c r="N65" s="2">
        <f>SUM(OSRRefE21_13x_0)</f>
        <v>0</v>
      </c>
      <c r="O65" s="2">
        <f>SUM(OSRRefE21_13x_1)</f>
        <v>0</v>
      </c>
      <c r="Q65" s="3">
        <f>SUM(OSRRefD20_13x)+IFERROR(SUM(OSRRefE20_13x),0)</f>
        <v>7517.43</v>
      </c>
    </row>
    <row r="66" spans="1:17" s="42" customFormat="1" ht="15" hidden="1" customHeight="1" outlineLevel="1" x14ac:dyDescent="0.3">
      <c r="A66" s="34"/>
      <c r="B66" s="11" t="str">
        <f>CONCATENATE("          ","6336"," - ","PROFESSIONAL SERVICES")</f>
        <v xml:space="preserve">          6336 - PROFESSIONAL SERVICES</v>
      </c>
      <c r="C66" s="15"/>
      <c r="D66" s="3"/>
      <c r="E66" s="3"/>
      <c r="F66" s="3"/>
      <c r="G66" s="3">
        <v>7517.43</v>
      </c>
      <c r="H66" s="3"/>
      <c r="I66" s="3"/>
      <c r="J66" s="3"/>
      <c r="K66" s="3"/>
      <c r="L66" s="3"/>
      <c r="M66" s="3"/>
      <c r="N66" s="3"/>
      <c r="O66" s="3"/>
      <c r="P66" s="10"/>
      <c r="Q66" s="3">
        <f>SUM(OSRRefD21_13_0x)+IFERROR(SUM(OSRRefE21_13_0x),0)</f>
        <v>7517.43</v>
      </c>
    </row>
    <row r="67" spans="1:17" s="42" customFormat="1" ht="15" customHeight="1" collapsed="1" x14ac:dyDescent="0.3">
      <c r="A67" s="34"/>
      <c r="B67" s="15" t="str">
        <f>CONCATENATE("     ","Rent                                              ")</f>
        <v xml:space="preserve">     Rent                                              </v>
      </c>
      <c r="C67" s="15"/>
      <c r="D67" s="2">
        <f>SUM(OSRRefD21_14x_0)</f>
        <v>-800</v>
      </c>
      <c r="E67" s="2">
        <f>SUM(OSRRefD21_14x_1)</f>
        <v>-800</v>
      </c>
      <c r="F67" s="2">
        <f>SUM(OSRRefD21_14x_2)</f>
        <v>-800</v>
      </c>
      <c r="G67" s="2">
        <f>SUM(OSRRefD21_14x_3)</f>
        <v>-800</v>
      </c>
      <c r="H67" s="2">
        <f>SUM(OSRRefD21_14x_4)</f>
        <v>-800</v>
      </c>
      <c r="I67" s="2">
        <f>SUM(OSRRefD21_14x_5)</f>
        <v>-800</v>
      </c>
      <c r="J67" s="2">
        <f>SUM(OSRRefD21_14x_6)</f>
        <v>-800</v>
      </c>
      <c r="K67" s="2">
        <f>SUM(OSRRefD21_14x_7)</f>
        <v>-800</v>
      </c>
      <c r="L67" s="2">
        <f>SUM(OSRRefD21_14x_8)</f>
        <v>-800</v>
      </c>
      <c r="M67" s="2">
        <f>SUM(OSRRefD21_14x_9)</f>
        <v>-800</v>
      </c>
      <c r="N67" s="2">
        <f>SUM(OSRRefE21_14x_0)</f>
        <v>-800</v>
      </c>
      <c r="O67" s="2">
        <f>SUM(OSRRefE21_14x_1)</f>
        <v>-800</v>
      </c>
      <c r="Q67" s="3">
        <f>SUM(OSRRefD20_14x)+IFERROR(SUM(OSRRefE20_14x),0)</f>
        <v>-9600</v>
      </c>
    </row>
    <row r="68" spans="1:17" s="42" customFormat="1" ht="15" hidden="1" customHeight="1" outlineLevel="1" x14ac:dyDescent="0.3">
      <c r="A68" s="34"/>
      <c r="B68" s="11" t="str">
        <f>CONCATENATE("          ","6273"," - ","RENT")</f>
        <v xml:space="preserve">          6273 - RENT</v>
      </c>
      <c r="C68" s="15"/>
      <c r="D68" s="3">
        <v>-800</v>
      </c>
      <c r="E68" s="3">
        <v>-800</v>
      </c>
      <c r="F68" s="3">
        <v>-800</v>
      </c>
      <c r="G68" s="3">
        <v>-800</v>
      </c>
      <c r="H68" s="3">
        <v>-800</v>
      </c>
      <c r="I68" s="3">
        <v>-800</v>
      </c>
      <c r="J68" s="3">
        <v>-800</v>
      </c>
      <c r="K68" s="3">
        <v>-800</v>
      </c>
      <c r="L68" s="3">
        <v>-800</v>
      </c>
      <c r="M68" s="3">
        <v>-800</v>
      </c>
      <c r="N68" s="3">
        <v>-800</v>
      </c>
      <c r="O68" s="3">
        <v>-800</v>
      </c>
      <c r="P68" s="10"/>
      <c r="Q68" s="3">
        <f>SUM(OSRRefD21_14_0x)+IFERROR(SUM(OSRRefE21_14_0x),0)</f>
        <v>-9600</v>
      </c>
    </row>
    <row r="69" spans="1:17" s="42" customFormat="1" ht="15" customHeight="1" collapsed="1" x14ac:dyDescent="0.3">
      <c r="A69" s="34"/>
      <c r="B69" s="15" t="str">
        <f>CONCATENATE("     ","Repair and Maintenance                            ")</f>
        <v xml:space="preserve">     Repair and Maintenance                            </v>
      </c>
      <c r="C69" s="15"/>
      <c r="D69" s="2">
        <f>SUM(OSRRefD21_15x_0)</f>
        <v>59516.22</v>
      </c>
      <c r="E69" s="2">
        <f>SUM(OSRRefD21_15x_1)</f>
        <v>5377.0499999999993</v>
      </c>
      <c r="F69" s="2">
        <f>SUM(OSRRefD21_15x_2)</f>
        <v>3897.49</v>
      </c>
      <c r="G69" s="2">
        <f>SUM(OSRRefD21_15x_3)</f>
        <v>1190.8</v>
      </c>
      <c r="H69" s="2">
        <f>SUM(OSRRefD21_15x_4)</f>
        <v>1174.1600000000001</v>
      </c>
      <c r="I69" s="2">
        <f>SUM(OSRRefD21_15x_5)</f>
        <v>4199.7700000000004</v>
      </c>
      <c r="J69" s="2">
        <f>SUM(OSRRefD21_15x_6)</f>
        <v>4102.7300000000005</v>
      </c>
      <c r="K69" s="2">
        <f>SUM(OSRRefD21_15x_7)</f>
        <v>3337.9</v>
      </c>
      <c r="L69" s="2">
        <f>SUM(OSRRefD21_15x_8)</f>
        <v>11144.42</v>
      </c>
      <c r="M69" s="2">
        <f>SUM(OSRRefD21_15x_9)</f>
        <v>2266.6099999999997</v>
      </c>
      <c r="N69" s="2">
        <f>SUM(OSRRefE21_15x_0)</f>
        <v>4850</v>
      </c>
      <c r="O69" s="2">
        <f>SUM(OSRRefE21_15x_1)</f>
        <v>4950</v>
      </c>
      <c r="Q69" s="3">
        <f>SUM(OSRRefD20_15x)+IFERROR(SUM(OSRRefE20_15x),0)</f>
        <v>106007.15000000001</v>
      </c>
    </row>
    <row r="70" spans="1:17" s="42" customFormat="1" ht="15" hidden="1" customHeight="1" outlineLevel="1" x14ac:dyDescent="0.3">
      <c r="A70" s="34"/>
      <c r="B70" s="11" t="str">
        <f>CONCATENATE("          ","6371"," - ","COMPUTER SOFTWARE MAINTENANCE")</f>
        <v xml:space="preserve">          6371 - COMPUTER SOFTWARE MAINTENANCE</v>
      </c>
      <c r="C70" s="15"/>
      <c r="D70" s="3">
        <v>56736</v>
      </c>
      <c r="E70" s="3"/>
      <c r="F70" s="3"/>
      <c r="G70" s="3"/>
      <c r="H70" s="3"/>
      <c r="I70" s="3"/>
      <c r="J70" s="3"/>
      <c r="K70" s="3"/>
      <c r="L70" s="3"/>
      <c r="M70" s="3"/>
      <c r="N70" s="3">
        <v>1000</v>
      </c>
      <c r="O70" s="3">
        <v>1000</v>
      </c>
      <c r="P70" s="10"/>
      <c r="Q70" s="3">
        <f>SUM(OSRRefD21_15_0x)+IFERROR(SUM(OSRRefE21_15_0x),0)</f>
        <v>58736</v>
      </c>
    </row>
    <row r="71" spans="1:17" s="42" customFormat="1" ht="15" hidden="1" customHeight="1" outlineLevel="1" x14ac:dyDescent="0.3">
      <c r="A71" s="34"/>
      <c r="B71" s="11" t="str">
        <f>CONCATENATE("          ","6372"," - ","COMPUTER HARDWARE MAINTENANCE")</f>
        <v xml:space="preserve">          6372 - COMPUTER HARDWARE MAINTENANCE</v>
      </c>
      <c r="C71" s="15"/>
      <c r="D71" s="3"/>
      <c r="E71" s="3"/>
      <c r="F71" s="3"/>
      <c r="G71" s="3"/>
      <c r="H71" s="3"/>
      <c r="I71" s="3"/>
      <c r="J71" s="3"/>
      <c r="K71" s="3"/>
      <c r="L71" s="3"/>
      <c r="M71" s="3"/>
      <c r="N71" s="3">
        <v>3750</v>
      </c>
      <c r="O71" s="3">
        <v>3750</v>
      </c>
      <c r="P71" s="10"/>
      <c r="Q71" s="3">
        <f>SUM(OSRRefD21_15_1x)+IFERROR(SUM(OSRRefE21_15_1x),0)</f>
        <v>7500</v>
      </c>
    </row>
    <row r="72" spans="1:17" s="42" customFormat="1" ht="15" hidden="1" customHeight="1" outlineLevel="1" x14ac:dyDescent="0.3">
      <c r="A72" s="34"/>
      <c r="B72" s="11" t="str">
        <f>CONCATENATE("          ","6373"," - ","MAINTENANCE CONTRACTS")</f>
        <v xml:space="preserve">          6373 - MAINTENANCE CONTRACTS</v>
      </c>
      <c r="C72" s="15"/>
      <c r="D72" s="3">
        <v>16.260000000000002</v>
      </c>
      <c r="E72" s="3">
        <v>5948.98</v>
      </c>
      <c r="F72" s="3">
        <v>1074.8900000000001</v>
      </c>
      <c r="G72" s="3">
        <v>182.91</v>
      </c>
      <c r="H72" s="3">
        <v>15.4</v>
      </c>
      <c r="I72" s="3">
        <v>1149.83</v>
      </c>
      <c r="J72" s="3">
        <v>69.040000000000006</v>
      </c>
      <c r="K72" s="3">
        <v>1126.33</v>
      </c>
      <c r="L72" s="3">
        <v>2323.5700000000002</v>
      </c>
      <c r="M72" s="3">
        <v>12.89</v>
      </c>
      <c r="N72" s="3">
        <v>100</v>
      </c>
      <c r="O72" s="3">
        <v>200</v>
      </c>
      <c r="P72" s="10"/>
      <c r="Q72" s="3">
        <f>SUM(OSRRefD21_15_2x)+IFERROR(SUM(OSRRefE21_15_2x),0)</f>
        <v>12220.1</v>
      </c>
    </row>
    <row r="73" spans="1:17" s="42" customFormat="1" ht="15" hidden="1" customHeight="1" outlineLevel="1" x14ac:dyDescent="0.3">
      <c r="A73" s="34"/>
      <c r="B73" s="11" t="str">
        <f>CONCATENATE("          ","6375"," - ","OUTSIDE REPAIRS &amp; MAINTENANCE")</f>
        <v xml:space="preserve">          6375 - OUTSIDE REPAIRS &amp; MAINTENANCE</v>
      </c>
      <c r="C73" s="15"/>
      <c r="D73" s="3">
        <v>2763.96</v>
      </c>
      <c r="E73" s="3">
        <v>-571.92999999999995</v>
      </c>
      <c r="F73" s="3">
        <v>2822.6</v>
      </c>
      <c r="G73" s="3">
        <v>1007.89</v>
      </c>
      <c r="H73" s="3">
        <v>1158.76</v>
      </c>
      <c r="I73" s="3">
        <v>3049.94</v>
      </c>
      <c r="J73" s="3">
        <v>4033.69</v>
      </c>
      <c r="K73" s="3">
        <v>2211.5700000000002</v>
      </c>
      <c r="L73" s="3">
        <v>8820.85</v>
      </c>
      <c r="M73" s="3">
        <v>2253.7199999999998</v>
      </c>
      <c r="N73" s="3"/>
      <c r="O73" s="3"/>
      <c r="P73" s="10"/>
      <c r="Q73" s="3">
        <f>SUM(OSRRefD21_15_3x)+IFERROR(SUM(OSRRefE21_15_3x),0)</f>
        <v>27551.050000000003</v>
      </c>
    </row>
    <row r="74" spans="1:17" s="42" customFormat="1" ht="15" customHeight="1" collapsed="1" x14ac:dyDescent="0.3">
      <c r="A74" s="34"/>
      <c r="B74" s="15" t="str">
        <f>CONCATENATE("     ","Services                                          ")</f>
        <v xml:space="preserve">     Services                                          </v>
      </c>
      <c r="C74" s="15"/>
      <c r="D74" s="2">
        <f>SUM(OSRRefD21_16x_0)</f>
        <v>3850.73</v>
      </c>
      <c r="E74" s="2">
        <f>SUM(OSRRefD21_16x_1)</f>
        <v>10494.52</v>
      </c>
      <c r="F74" s="2">
        <f>SUM(OSRRefD21_16x_2)</f>
        <v>3780.54</v>
      </c>
      <c r="G74" s="2">
        <f>SUM(OSRRefD21_16x_3)</f>
        <v>4653.07</v>
      </c>
      <c r="H74" s="2">
        <f>SUM(OSRRefD21_16x_4)</f>
        <v>4214.8099999999995</v>
      </c>
      <c r="I74" s="2">
        <f>SUM(OSRRefD21_16x_5)</f>
        <v>4326.1499999999996</v>
      </c>
      <c r="J74" s="2">
        <f>SUM(OSRRefD21_16x_6)</f>
        <v>4067.35</v>
      </c>
      <c r="K74" s="2">
        <f>SUM(OSRRefD21_16x_7)</f>
        <v>6581.67</v>
      </c>
      <c r="L74" s="2">
        <f>SUM(OSRRefD21_16x_8)</f>
        <v>4165.87</v>
      </c>
      <c r="M74" s="2">
        <f>SUM(OSRRefD21_16x_9)</f>
        <v>4338.57</v>
      </c>
      <c r="N74" s="2">
        <f>SUM(OSRRefE21_16x_0)</f>
        <v>4300</v>
      </c>
      <c r="O74" s="2">
        <f>SUM(OSRRefE21_16x_1)</f>
        <v>4300</v>
      </c>
      <c r="Q74" s="3">
        <f>SUM(OSRRefD20_16x)+IFERROR(SUM(OSRRefE20_16x),0)</f>
        <v>59073.279999999999</v>
      </c>
    </row>
    <row r="75" spans="1:17" s="42" customFormat="1" ht="15" hidden="1" customHeight="1" outlineLevel="1" x14ac:dyDescent="0.3">
      <c r="A75" s="34"/>
      <c r="B75" s="11" t="str">
        <f>CONCATENATE("          ","6282"," - ","JANITORIAL/EXTERMINATOR EXPENS")</f>
        <v xml:space="preserve">          6282 - JANITORIAL/EXTERMINATOR EXPENS</v>
      </c>
      <c r="C75" s="15"/>
      <c r="D75" s="3"/>
      <c r="E75" s="3">
        <v>291</v>
      </c>
      <c r="F75" s="3">
        <v>413.27</v>
      </c>
      <c r="G75" s="3">
        <v>532.80999999999995</v>
      </c>
      <c r="H75" s="3">
        <v>129</v>
      </c>
      <c r="I75" s="3">
        <v>129</v>
      </c>
      <c r="J75" s="3"/>
      <c r="K75" s="3">
        <v>281.3</v>
      </c>
      <c r="L75" s="3">
        <v>140.65</v>
      </c>
      <c r="M75" s="3">
        <v>140.65</v>
      </c>
      <c r="N75" s="3">
        <v>4300</v>
      </c>
      <c r="O75" s="3">
        <v>4300</v>
      </c>
      <c r="P75" s="10"/>
      <c r="Q75" s="3">
        <f>SUM(OSRRefD21_16_0x)+IFERROR(SUM(OSRRefE21_16_0x),0)</f>
        <v>10657.68</v>
      </c>
    </row>
    <row r="76" spans="1:17" s="42" customFormat="1" ht="15" hidden="1" customHeight="1" outlineLevel="1" x14ac:dyDescent="0.3">
      <c r="A76" s="34"/>
      <c r="B76" s="11" t="str">
        <f>CONCATENATE("          ","6285"," - ","JANITORIAL SERVICES")</f>
        <v xml:space="preserve">          6285 - JANITORIAL SERVICES</v>
      </c>
      <c r="C76" s="15"/>
      <c r="D76" s="3">
        <v>3850.73</v>
      </c>
      <c r="E76" s="3">
        <v>10203.52</v>
      </c>
      <c r="F76" s="3">
        <v>3367.27</v>
      </c>
      <c r="G76" s="3">
        <v>4120.26</v>
      </c>
      <c r="H76" s="3">
        <v>4085.81</v>
      </c>
      <c r="I76" s="3">
        <v>4197.1499999999996</v>
      </c>
      <c r="J76" s="3">
        <v>4067.35</v>
      </c>
      <c r="K76" s="3">
        <v>6300.37</v>
      </c>
      <c r="L76" s="3">
        <v>4025.22</v>
      </c>
      <c r="M76" s="3">
        <v>4197.92</v>
      </c>
      <c r="N76" s="3"/>
      <c r="O76" s="3"/>
      <c r="P76" s="10"/>
      <c r="Q76" s="3">
        <f>SUM(OSRRefD21_16_1x)+IFERROR(SUM(OSRRefE21_16_1x),0)</f>
        <v>48415.6</v>
      </c>
    </row>
    <row r="77" spans="1:17" s="42" customFormat="1" ht="15" customHeight="1" collapsed="1" x14ac:dyDescent="0.3">
      <c r="A77" s="34"/>
      <c r="B77" s="15" t="str">
        <f>CONCATENATE("     ","Subscriptions &amp; Dues                              ")</f>
        <v xml:space="preserve">     Subscriptions &amp; Dues                              </v>
      </c>
      <c r="C77" s="15"/>
      <c r="D77" s="2">
        <f>SUM(OSRRefD21_17x_0)</f>
        <v>0</v>
      </c>
      <c r="E77" s="2">
        <f>SUM(OSRRefD21_17x_1)</f>
        <v>0</v>
      </c>
      <c r="F77" s="2">
        <f>SUM(OSRRefD21_17x_2)</f>
        <v>-120</v>
      </c>
      <c r="G77" s="2">
        <f>SUM(OSRRefD21_17x_3)</f>
        <v>0</v>
      </c>
      <c r="H77" s="2">
        <f>SUM(OSRRefD21_17x_4)</f>
        <v>0</v>
      </c>
      <c r="I77" s="2">
        <f>SUM(OSRRefD21_17x_5)</f>
        <v>0</v>
      </c>
      <c r="J77" s="2">
        <f>SUM(OSRRefD21_17x_6)</f>
        <v>0</v>
      </c>
      <c r="K77" s="2">
        <f>SUM(OSRRefD21_17x_7)</f>
        <v>0</v>
      </c>
      <c r="L77" s="2">
        <f>SUM(OSRRefD21_17x_8)</f>
        <v>0</v>
      </c>
      <c r="M77" s="2">
        <f>SUM(OSRRefD21_17x_9)</f>
        <v>0</v>
      </c>
      <c r="N77" s="2">
        <f>SUM(OSRRefE21_17x_0)</f>
        <v>0</v>
      </c>
      <c r="O77" s="2">
        <f>SUM(OSRRefE21_17x_1)</f>
        <v>0</v>
      </c>
      <c r="Q77" s="3">
        <f>SUM(OSRRefD20_17x)+IFERROR(SUM(OSRRefE20_17x),0)</f>
        <v>-120</v>
      </c>
    </row>
    <row r="78" spans="1:17" s="42" customFormat="1" ht="15" hidden="1" customHeight="1" outlineLevel="1" x14ac:dyDescent="0.3">
      <c r="A78" s="34"/>
      <c r="B78" s="11" t="str">
        <f>CONCATENATE("          ","6258"," - ","MEMBERSHIP DUES")</f>
        <v xml:space="preserve">          6258 - MEMBERSHIP DUES</v>
      </c>
      <c r="C78" s="15"/>
      <c r="D78" s="3"/>
      <c r="E78" s="3"/>
      <c r="F78" s="3">
        <v>-120</v>
      </c>
      <c r="G78" s="3"/>
      <c r="H78" s="3"/>
      <c r="I78" s="3"/>
      <c r="J78" s="3"/>
      <c r="K78" s="3"/>
      <c r="L78" s="3"/>
      <c r="M78" s="3"/>
      <c r="N78" s="3"/>
      <c r="O78" s="3"/>
      <c r="P78" s="10"/>
      <c r="Q78" s="3">
        <f>SUM(OSRRefD21_17_0x)+IFERROR(SUM(OSRRefE21_17_0x),0)</f>
        <v>-120</v>
      </c>
    </row>
    <row r="79" spans="1:17" s="42" customFormat="1" ht="15" customHeight="1" collapsed="1" x14ac:dyDescent="0.3">
      <c r="A79" s="34"/>
      <c r="B79" s="15" t="str">
        <f>CONCATENATE("     ","Supplies                                          ")</f>
        <v xml:space="preserve">     Supplies                                          </v>
      </c>
      <c r="C79" s="15"/>
      <c r="D79" s="2">
        <f>SUM(OSRRefD21_18x_0)</f>
        <v>1080.9100000000001</v>
      </c>
      <c r="E79" s="2">
        <f>SUM(OSRRefD21_18x_1)</f>
        <v>4373.46</v>
      </c>
      <c r="F79" s="2">
        <f>SUM(OSRRefD21_18x_2)</f>
        <v>1990.44</v>
      </c>
      <c r="G79" s="2">
        <f>SUM(OSRRefD21_18x_3)</f>
        <v>5953.17</v>
      </c>
      <c r="H79" s="2">
        <f>SUM(OSRRefD21_18x_4)</f>
        <v>4528.7700000000004</v>
      </c>
      <c r="I79" s="2">
        <f>SUM(OSRRefD21_18x_5)</f>
        <v>1557.98</v>
      </c>
      <c r="J79" s="2">
        <f>SUM(OSRRefD21_18x_6)</f>
        <v>2958.84</v>
      </c>
      <c r="K79" s="2">
        <f>SUM(OSRRefD21_18x_7)</f>
        <v>13772.9</v>
      </c>
      <c r="L79" s="2">
        <f>SUM(OSRRefD21_18x_8)</f>
        <v>1852.75</v>
      </c>
      <c r="M79" s="2">
        <f>SUM(OSRRefD21_18x_9)</f>
        <v>2379.4499999999998</v>
      </c>
      <c r="N79" s="2">
        <f>SUM(OSRRefE21_18x_0)</f>
        <v>5500</v>
      </c>
      <c r="O79" s="2">
        <f>SUM(OSRRefE21_18x_1)</f>
        <v>5500</v>
      </c>
      <c r="Q79" s="3">
        <f>SUM(OSRRefD20_18x)+IFERROR(SUM(OSRRefE20_18x),0)</f>
        <v>51448.67</v>
      </c>
    </row>
    <row r="80" spans="1:17" s="42" customFormat="1" ht="15" hidden="1" customHeight="1" outlineLevel="1" x14ac:dyDescent="0.3">
      <c r="A80" s="34"/>
      <c r="B80" s="11" t="str">
        <f>CONCATENATE("          ","6234"," - ","EXPENDABLE SUPPLIES &amp; EQUIPMEN")</f>
        <v xml:space="preserve">          6234 - EXPENDABLE SUPPLIES &amp; EQUIPMEN</v>
      </c>
      <c r="C80" s="15"/>
      <c r="D80" s="3"/>
      <c r="E80" s="3"/>
      <c r="F80" s="3"/>
      <c r="G80" s="3">
        <v>1194.8900000000001</v>
      </c>
      <c r="H80" s="3">
        <v>2701.13</v>
      </c>
      <c r="I80" s="3"/>
      <c r="J80" s="3"/>
      <c r="K80" s="3"/>
      <c r="L80" s="3"/>
      <c r="M80" s="3"/>
      <c r="N80" s="3">
        <v>300</v>
      </c>
      <c r="O80" s="3">
        <v>300</v>
      </c>
      <c r="P80" s="10"/>
      <c r="Q80" s="3">
        <f>SUM(OSRRefD21_18_0x)+IFERROR(SUM(OSRRefE21_18_0x),0)</f>
        <v>4496.0200000000004</v>
      </c>
    </row>
    <row r="81" spans="1:17" s="42" customFormat="1" ht="15" hidden="1" customHeight="1" outlineLevel="1" x14ac:dyDescent="0.3">
      <c r="A81" s="34"/>
      <c r="B81" s="11" t="str">
        <f>CONCATENATE("          ","6235"," - ","COVID-19 EXPENSES")</f>
        <v xml:space="preserve">          6235 - COVID-19 EXPENSES</v>
      </c>
      <c r="C81" s="15"/>
      <c r="D81" s="3">
        <v>272.22000000000003</v>
      </c>
      <c r="E81" s="3">
        <v>2695.61</v>
      </c>
      <c r="F81" s="3">
        <v>462.49</v>
      </c>
      <c r="G81" s="3"/>
      <c r="H81" s="3"/>
      <c r="I81" s="3"/>
      <c r="J81" s="3"/>
      <c r="K81" s="3"/>
      <c r="L81" s="3"/>
      <c r="M81" s="3"/>
      <c r="N81" s="3">
        <v>100</v>
      </c>
      <c r="O81" s="3">
        <v>100</v>
      </c>
      <c r="P81" s="10"/>
      <c r="Q81" s="3">
        <f>SUM(OSRRefD21_18_1x)+IFERROR(SUM(OSRRefE21_18_1x),0)</f>
        <v>3630.3199999999997</v>
      </c>
    </row>
    <row r="82" spans="1:17" s="42" customFormat="1" ht="15" hidden="1" customHeight="1" outlineLevel="1" x14ac:dyDescent="0.3">
      <c r="A82" s="34"/>
      <c r="B82" s="11" t="str">
        <f>CONCATENATE("          ","6237"," - ","JANITORIAL SUPPLIES")</f>
        <v xml:space="preserve">          6237 - JANITORIAL SUPPLIES</v>
      </c>
      <c r="C82" s="15"/>
      <c r="D82" s="3">
        <v>655.97</v>
      </c>
      <c r="E82" s="3">
        <v>1092.55</v>
      </c>
      <c r="F82" s="3">
        <v>247</v>
      </c>
      <c r="G82" s="3">
        <v>1303.78</v>
      </c>
      <c r="H82" s="3">
        <v>489.67</v>
      </c>
      <c r="I82" s="3"/>
      <c r="J82" s="3">
        <v>665.03</v>
      </c>
      <c r="K82" s="3"/>
      <c r="L82" s="3">
        <v>257.99</v>
      </c>
      <c r="M82" s="3">
        <v>713.9</v>
      </c>
      <c r="N82" s="3"/>
      <c r="O82" s="3"/>
      <c r="P82" s="10"/>
      <c r="Q82" s="3">
        <f>SUM(OSRRefD21_18_2x)+IFERROR(SUM(OSRRefE21_18_2x),0)</f>
        <v>5425.8899999999994</v>
      </c>
    </row>
    <row r="83" spans="1:17" s="42" customFormat="1" ht="15" hidden="1" customHeight="1" outlineLevel="1" x14ac:dyDescent="0.3">
      <c r="A83" s="34"/>
      <c r="B83" s="11" t="str">
        <f>CONCATENATE("          ","6241"," - ","OFFICE EXPENSE")</f>
        <v xml:space="preserve">          6241 - OFFICE EXPENSE</v>
      </c>
      <c r="C83" s="15"/>
      <c r="D83" s="3">
        <v>5.34</v>
      </c>
      <c r="E83" s="3">
        <v>98.44</v>
      </c>
      <c r="F83" s="3"/>
      <c r="G83" s="3">
        <v>589.67999999999995</v>
      </c>
      <c r="H83" s="3">
        <v>133.27000000000001</v>
      </c>
      <c r="I83" s="3">
        <v>217.42</v>
      </c>
      <c r="J83" s="3">
        <v>289.45</v>
      </c>
      <c r="K83" s="3">
        <v>155.72999999999999</v>
      </c>
      <c r="L83" s="3">
        <v>429.16</v>
      </c>
      <c r="M83" s="3">
        <v>105.44</v>
      </c>
      <c r="N83" s="3">
        <v>100</v>
      </c>
      <c r="O83" s="3">
        <v>100</v>
      </c>
      <c r="P83" s="10"/>
      <c r="Q83" s="3">
        <f>SUM(OSRRefD21_18_3x)+IFERROR(SUM(OSRRefE21_18_3x),0)</f>
        <v>2223.9300000000003</v>
      </c>
    </row>
    <row r="84" spans="1:17" s="42" customFormat="1" ht="15" hidden="1" customHeight="1" outlineLevel="1" x14ac:dyDescent="0.3">
      <c r="A84" s="34"/>
      <c r="B84" s="11" t="str">
        <f>CONCATENATE("          ","6245"," - ","PRINTING")</f>
        <v xml:space="preserve">          6245 - PRINTING</v>
      </c>
      <c r="C84" s="15"/>
      <c r="D84" s="3"/>
      <c r="E84" s="3">
        <v>335.32</v>
      </c>
      <c r="F84" s="3"/>
      <c r="G84" s="3"/>
      <c r="H84" s="3">
        <v>460.28</v>
      </c>
      <c r="I84" s="3">
        <v>209.7</v>
      </c>
      <c r="J84" s="3">
        <v>613.14</v>
      </c>
      <c r="K84" s="3"/>
      <c r="L84" s="3"/>
      <c r="M84" s="3"/>
      <c r="N84" s="3"/>
      <c r="O84" s="3"/>
      <c r="P84" s="10"/>
      <c r="Q84" s="3">
        <f>SUM(OSRRefD21_18_4x)+IFERROR(SUM(OSRRefE21_18_4x),0)</f>
        <v>1618.44</v>
      </c>
    </row>
    <row r="85" spans="1:17" s="42" customFormat="1" ht="15" hidden="1" customHeight="1" outlineLevel="1" x14ac:dyDescent="0.3">
      <c r="A85" s="34"/>
      <c r="B85" s="11" t="str">
        <f>CONCATENATE("          ","6247"," - ","STORE SUPPLIES")</f>
        <v xml:space="preserve">          6247 - STORE SUPPLIES</v>
      </c>
      <c r="C85" s="15"/>
      <c r="D85" s="3">
        <v>147.38</v>
      </c>
      <c r="E85" s="3">
        <v>151.54</v>
      </c>
      <c r="F85" s="3">
        <v>1280.95</v>
      </c>
      <c r="G85" s="3">
        <v>2864.82</v>
      </c>
      <c r="H85" s="3">
        <v>744.42</v>
      </c>
      <c r="I85" s="3">
        <v>1130.8599999999999</v>
      </c>
      <c r="J85" s="3">
        <v>1391.22</v>
      </c>
      <c r="K85" s="3">
        <v>13617.17</v>
      </c>
      <c r="L85" s="3">
        <v>1165.5999999999999</v>
      </c>
      <c r="M85" s="3">
        <v>1560.11</v>
      </c>
      <c r="N85" s="3">
        <v>5000</v>
      </c>
      <c r="O85" s="3">
        <v>5000</v>
      </c>
      <c r="P85" s="10"/>
      <c r="Q85" s="3">
        <f>SUM(OSRRefD21_18_5x)+IFERROR(SUM(OSRRefE21_18_5x),0)</f>
        <v>34054.07</v>
      </c>
    </row>
    <row r="86" spans="1:17" s="42" customFormat="1" ht="15" customHeight="1" collapsed="1" x14ac:dyDescent="0.3">
      <c r="A86" s="34"/>
      <c r="B86" s="15" t="str">
        <f>CONCATENATE("     ","Telephone/Data Lines                              ")</f>
        <v xml:space="preserve">     Telephone/Data Lines                              </v>
      </c>
      <c r="C86" s="15"/>
      <c r="D86" s="2">
        <f>SUM(OSRRefD21_19x_0)</f>
        <v>513.35</v>
      </c>
      <c r="E86" s="2">
        <f>SUM(OSRRefD21_19x_1)</f>
        <v>537.5</v>
      </c>
      <c r="F86" s="2">
        <f>SUM(OSRRefD21_19x_2)</f>
        <v>594.45000000000005</v>
      </c>
      <c r="G86" s="2">
        <f>SUM(OSRRefD21_19x_3)</f>
        <v>739.5</v>
      </c>
      <c r="H86" s="2">
        <f>SUM(OSRRefD21_19x_4)</f>
        <v>663.5</v>
      </c>
      <c r="I86" s="2">
        <f>SUM(OSRRefD21_19x_5)</f>
        <v>590.82000000000005</v>
      </c>
      <c r="J86" s="2">
        <f>SUM(OSRRefD21_19x_6)</f>
        <v>563.20000000000005</v>
      </c>
      <c r="K86" s="2">
        <f>SUM(OSRRefD21_19x_7)</f>
        <v>570.4</v>
      </c>
      <c r="L86" s="2">
        <f>SUM(OSRRefD21_19x_8)</f>
        <v>570.5</v>
      </c>
      <c r="M86" s="2">
        <f>SUM(OSRRefD21_19x_9)</f>
        <v>713.9</v>
      </c>
      <c r="N86" s="2">
        <f>SUM(OSRRefE21_19x_0)</f>
        <v>600</v>
      </c>
      <c r="O86" s="2">
        <f>SUM(OSRRefE21_19x_1)</f>
        <v>600</v>
      </c>
      <c r="Q86" s="3">
        <f>SUM(OSRRefD20_19x)+IFERROR(SUM(OSRRefE20_19x),0)</f>
        <v>7257.12</v>
      </c>
    </row>
    <row r="87" spans="1:17" s="42" customFormat="1" ht="15" hidden="1" customHeight="1" outlineLevel="1" x14ac:dyDescent="0.3">
      <c r="A87" s="34"/>
      <c r="B87" s="11" t="str">
        <f>CONCATENATE("          ","6309"," - ","TELEPHONE")</f>
        <v xml:space="preserve">          6309 - TELEPHONE</v>
      </c>
      <c r="C87" s="15"/>
      <c r="D87" s="3">
        <v>513.35</v>
      </c>
      <c r="E87" s="3">
        <v>537.5</v>
      </c>
      <c r="F87" s="3">
        <v>594.45000000000005</v>
      </c>
      <c r="G87" s="3">
        <v>739.5</v>
      </c>
      <c r="H87" s="3">
        <v>663.5</v>
      </c>
      <c r="I87" s="3">
        <v>590.82000000000005</v>
      </c>
      <c r="J87" s="3">
        <v>563.20000000000005</v>
      </c>
      <c r="K87" s="3">
        <v>570.4</v>
      </c>
      <c r="L87" s="3">
        <v>570.5</v>
      </c>
      <c r="M87" s="3">
        <v>713.9</v>
      </c>
      <c r="N87" s="3">
        <v>600</v>
      </c>
      <c r="O87" s="3">
        <v>600</v>
      </c>
      <c r="P87" s="10"/>
      <c r="Q87" s="3">
        <f>SUM(OSRRefD21_19_0x)+IFERROR(SUM(OSRRefE21_19_0x),0)</f>
        <v>7257.12</v>
      </c>
    </row>
    <row r="88" spans="1:17" s="42" customFormat="1" ht="15" customHeight="1" collapsed="1" x14ac:dyDescent="0.3">
      <c r="A88" s="34"/>
      <c r="B88" s="15" t="str">
        <f>CONCATENATE("     ","Training                                          ")</f>
        <v xml:space="preserve">     Training                                          </v>
      </c>
      <c r="C88" s="15"/>
      <c r="D88" s="2">
        <f>SUM(OSRRefD21_20x_0)</f>
        <v>0</v>
      </c>
      <c r="E88" s="2">
        <f>SUM(OSRRefD21_20x_1)</f>
        <v>0</v>
      </c>
      <c r="F88" s="2">
        <f>SUM(OSRRefD21_20x_2)</f>
        <v>595</v>
      </c>
      <c r="G88" s="2">
        <f>SUM(OSRRefD21_20x_3)</f>
        <v>0</v>
      </c>
      <c r="H88" s="2">
        <f>SUM(OSRRefD21_20x_4)</f>
        <v>0</v>
      </c>
      <c r="I88" s="2">
        <f>SUM(OSRRefD21_20x_5)</f>
        <v>0</v>
      </c>
      <c r="J88" s="2">
        <f>SUM(OSRRefD21_20x_6)</f>
        <v>0</v>
      </c>
      <c r="K88" s="2">
        <f>SUM(OSRRefD21_20x_7)</f>
        <v>0</v>
      </c>
      <c r="L88" s="2">
        <f>SUM(OSRRefD21_20x_8)</f>
        <v>199</v>
      </c>
      <c r="M88" s="2">
        <f>SUM(OSRRefD21_20x_9)</f>
        <v>0</v>
      </c>
      <c r="N88" s="2">
        <f>SUM(OSRRefE21_20x_0)</f>
        <v>0</v>
      </c>
      <c r="O88" s="2">
        <f>SUM(OSRRefE21_20x_1)</f>
        <v>0</v>
      </c>
      <c r="Q88" s="3">
        <f>SUM(OSRRefD20_20x)+IFERROR(SUM(OSRRefE20_20x),0)</f>
        <v>794</v>
      </c>
    </row>
    <row r="89" spans="1:17" s="42" customFormat="1" ht="15" hidden="1" customHeight="1" outlineLevel="1" x14ac:dyDescent="0.3">
      <c r="A89" s="34"/>
      <c r="B89" s="11" t="str">
        <f>CONCATENATE("          ","6376"," - ","TRAINING")</f>
        <v xml:space="preserve">          6376 - TRAINING</v>
      </c>
      <c r="C89" s="15"/>
      <c r="D89" s="3"/>
      <c r="E89" s="3"/>
      <c r="F89" s="3">
        <v>595</v>
      </c>
      <c r="G89" s="3"/>
      <c r="H89" s="3"/>
      <c r="I89" s="3"/>
      <c r="J89" s="3"/>
      <c r="K89" s="3"/>
      <c r="L89" s="3">
        <v>199</v>
      </c>
      <c r="M89" s="3"/>
      <c r="N89" s="3"/>
      <c r="O89" s="3"/>
      <c r="P89" s="10"/>
      <c r="Q89" s="3">
        <f>SUM(OSRRefD21_20_0x)+IFERROR(SUM(OSRRefE21_20_0x),0)</f>
        <v>794</v>
      </c>
    </row>
    <row r="90" spans="1:17" s="42" customFormat="1" ht="15" customHeight="1" collapsed="1" x14ac:dyDescent="0.3">
      <c r="A90" s="34"/>
      <c r="B90" s="15" t="str">
        <f>CONCATENATE("     ","Travel                                            ")</f>
        <v xml:space="preserve">     Travel                                            </v>
      </c>
      <c r="C90" s="15"/>
      <c r="D90" s="2">
        <f>SUM(OSRRefD21_21x_0)</f>
        <v>495</v>
      </c>
      <c r="E90" s="2">
        <f>SUM(OSRRefD21_21x_1)</f>
        <v>0</v>
      </c>
      <c r="F90" s="2">
        <f>SUM(OSRRefD21_21x_2)</f>
        <v>0</v>
      </c>
      <c r="G90" s="2">
        <f>SUM(OSRRefD21_21x_3)</f>
        <v>50</v>
      </c>
      <c r="H90" s="2">
        <f>SUM(OSRRefD21_21x_4)</f>
        <v>97.08</v>
      </c>
      <c r="I90" s="2">
        <f>SUM(OSRRefD21_21x_5)</f>
        <v>0</v>
      </c>
      <c r="J90" s="2">
        <f>SUM(OSRRefD21_21x_6)</f>
        <v>0</v>
      </c>
      <c r="K90" s="2">
        <f>SUM(OSRRefD21_21x_7)</f>
        <v>90.01</v>
      </c>
      <c r="L90" s="2">
        <f>SUM(OSRRefD21_21x_8)</f>
        <v>0</v>
      </c>
      <c r="M90" s="2">
        <f>SUM(OSRRefD21_21x_9)</f>
        <v>149.41</v>
      </c>
      <c r="N90" s="2">
        <f>SUM(OSRRefE21_21x_0)</f>
        <v>125</v>
      </c>
      <c r="O90" s="2">
        <f>SUM(OSRRefE21_21x_1)</f>
        <v>125</v>
      </c>
      <c r="Q90" s="3">
        <f>SUM(OSRRefD20_21x)+IFERROR(SUM(OSRRefE20_21x),0)</f>
        <v>1131.5</v>
      </c>
    </row>
    <row r="91" spans="1:17" s="42" customFormat="1" ht="15" hidden="1" customHeight="1" outlineLevel="1" x14ac:dyDescent="0.3">
      <c r="A91" s="34"/>
      <c r="B91" s="11" t="str">
        <f>CONCATENATE("          ","6292"," - ","TRAVEL/CONFERENCE")</f>
        <v xml:space="preserve">          6292 - TRAVEL/CONFERENCE</v>
      </c>
      <c r="C91" s="15"/>
      <c r="D91" s="3">
        <v>495</v>
      </c>
      <c r="E91" s="3"/>
      <c r="F91" s="3"/>
      <c r="G91" s="3"/>
      <c r="H91" s="3"/>
      <c r="I91" s="3"/>
      <c r="J91" s="3"/>
      <c r="K91" s="3"/>
      <c r="L91" s="3"/>
      <c r="M91" s="3"/>
      <c r="N91" s="3">
        <v>125</v>
      </c>
      <c r="O91" s="3">
        <v>125</v>
      </c>
      <c r="P91" s="10"/>
      <c r="Q91" s="3">
        <f>SUM(OSRRefD21_21_0x)+IFERROR(SUM(OSRRefE21_21_0x),0)</f>
        <v>745</v>
      </c>
    </row>
    <row r="92" spans="1:17" s="42" customFormat="1" ht="15" hidden="1" customHeight="1" outlineLevel="1" x14ac:dyDescent="0.3">
      <c r="A92" s="34"/>
      <c r="B92" s="11" t="str">
        <f>CONCATENATE("          ","6298"," - ","VEHICLE MILEAGE")</f>
        <v xml:space="preserve">          6298 - VEHICLE MILEAGE</v>
      </c>
      <c r="C92" s="15"/>
      <c r="D92" s="3"/>
      <c r="E92" s="3"/>
      <c r="F92" s="3"/>
      <c r="G92" s="3">
        <v>50</v>
      </c>
      <c r="H92" s="3">
        <v>97.08</v>
      </c>
      <c r="I92" s="3"/>
      <c r="J92" s="3"/>
      <c r="K92" s="3">
        <v>90.01</v>
      </c>
      <c r="L92" s="3"/>
      <c r="M92" s="3">
        <v>149.41</v>
      </c>
      <c r="N92" s="3"/>
      <c r="O92" s="3"/>
      <c r="P92" s="10"/>
      <c r="Q92" s="3">
        <f>SUM(OSRRefD21_21_1x)+IFERROR(SUM(OSRRefE21_21_1x),0)</f>
        <v>386.5</v>
      </c>
    </row>
    <row r="93" spans="1:17" s="42" customFormat="1" ht="15" customHeight="1" collapsed="1" x14ac:dyDescent="0.3">
      <c r="A93" s="34"/>
      <c r="B93" s="15" t="str">
        <f>CONCATENATE("     ","Utilities                                         ")</f>
        <v xml:space="preserve">     Utilities                                         </v>
      </c>
      <c r="C93" s="15"/>
      <c r="D93" s="2">
        <f>SUM(OSRRefD21_22x_0)</f>
        <v>6000</v>
      </c>
      <c r="E93" s="2">
        <f>SUM(OSRRefD21_22x_1)</f>
        <v>6000</v>
      </c>
      <c r="F93" s="2">
        <f>SUM(OSRRefD21_22x_2)</f>
        <v>6000</v>
      </c>
      <c r="G93" s="2">
        <f>SUM(OSRRefD21_22x_3)</f>
        <v>6000</v>
      </c>
      <c r="H93" s="2">
        <f>SUM(OSRRefD21_22x_4)</f>
        <v>6000</v>
      </c>
      <c r="I93" s="2">
        <f>SUM(OSRRefD21_22x_5)</f>
        <v>0</v>
      </c>
      <c r="J93" s="2">
        <f>SUM(OSRRefD21_22x_6)</f>
        <v>6000</v>
      </c>
      <c r="K93" s="2">
        <f>SUM(OSRRefD21_22x_7)</f>
        <v>6000</v>
      </c>
      <c r="L93" s="2">
        <f>SUM(OSRRefD21_22x_8)</f>
        <v>6000</v>
      </c>
      <c r="M93" s="2">
        <f>SUM(OSRRefD21_22x_9)</f>
        <v>6000</v>
      </c>
      <c r="N93" s="2">
        <f>SUM(OSRRefE21_22x_0)</f>
        <v>6000</v>
      </c>
      <c r="O93" s="2">
        <f>SUM(OSRRefE21_22x_1)</f>
        <v>6000</v>
      </c>
      <c r="Q93" s="3">
        <f>SUM(OSRRefD20_22x)+IFERROR(SUM(OSRRefE20_22x),0)</f>
        <v>66000</v>
      </c>
    </row>
    <row r="94" spans="1:17" s="42" customFormat="1" ht="15" hidden="1" customHeight="1" outlineLevel="1" x14ac:dyDescent="0.3">
      <c r="A94" s="34"/>
      <c r="B94" s="11" t="str">
        <f>CONCATENATE("          ","6274"," - ","UTILITIES")</f>
        <v xml:space="preserve">          6274 - UTILITIES</v>
      </c>
      <c r="C94" s="15"/>
      <c r="D94" s="3">
        <v>6000</v>
      </c>
      <c r="E94" s="3">
        <v>6000</v>
      </c>
      <c r="F94" s="3">
        <v>6000</v>
      </c>
      <c r="G94" s="3">
        <v>6000</v>
      </c>
      <c r="H94" s="3">
        <v>6000</v>
      </c>
      <c r="I94" s="3"/>
      <c r="J94" s="3">
        <v>6000</v>
      </c>
      <c r="K94" s="3">
        <v>6000</v>
      </c>
      <c r="L94" s="3">
        <v>6000</v>
      </c>
      <c r="M94" s="3">
        <v>6000</v>
      </c>
      <c r="N94" s="3">
        <v>6000</v>
      </c>
      <c r="O94" s="3">
        <v>6000</v>
      </c>
      <c r="P94" s="10"/>
      <c r="Q94" s="3">
        <f>SUM(OSRRefD21_22_0x)+IFERROR(SUM(OSRRefE21_22_0x),0)</f>
        <v>66000</v>
      </c>
    </row>
    <row r="95" spans="1:17" s="40" customFormat="1" ht="15" customHeight="1" x14ac:dyDescent="0.3">
      <c r="A95" s="22"/>
      <c r="B95" s="22"/>
      <c r="C95" s="2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Q95" s="2"/>
    </row>
    <row r="96" spans="1:17" s="39" customFormat="1" ht="15" customHeight="1" x14ac:dyDescent="0.3">
      <c r="A96" s="24"/>
      <c r="B96" s="17" t="s">
        <v>287</v>
      </c>
      <c r="C96" s="23"/>
      <c r="D96" s="4">
        <f>--3926.89</f>
        <v>3926.89</v>
      </c>
      <c r="E96" s="4">
        <f>--59022</f>
        <v>59022</v>
      </c>
      <c r="F96" s="4">
        <f>--5282.59</f>
        <v>5282.59</v>
      </c>
      <c r="G96" s="4">
        <f>--9773.49</f>
        <v>9773.49</v>
      </c>
      <c r="H96" s="4">
        <f>--54298.67</f>
        <v>54298.67</v>
      </c>
      <c r="I96" s="4">
        <f>--12449.24</f>
        <v>12449.24</v>
      </c>
      <c r="J96" s="4">
        <f>--3278.81</f>
        <v>3278.81</v>
      </c>
      <c r="K96" s="4">
        <f>--56336.75</f>
        <v>56336.75</v>
      </c>
      <c r="L96" s="4">
        <f>--7296.65</f>
        <v>7296.65</v>
      </c>
      <c r="M96" s="4">
        <f>--11255.17</f>
        <v>11255.17</v>
      </c>
      <c r="N96" s="4">
        <v>46300</v>
      </c>
      <c r="O96" s="4">
        <v>3300</v>
      </c>
      <c r="Q96" s="3">
        <f>SUM(OSRRefD23_0x)+IFERROR(SUM(OSRRefE23_0x),0)</f>
        <v>272520.26</v>
      </c>
    </row>
    <row r="97" spans="1:17" ht="15" customHeight="1" x14ac:dyDescent="0.3">
      <c r="A97" s="6"/>
      <c r="B97" s="7"/>
      <c r="C97" s="7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Q97" s="4"/>
    </row>
    <row r="98" spans="1:17" s="37" customFormat="1" ht="15" customHeight="1" x14ac:dyDescent="0.3">
      <c r="A98" s="7"/>
      <c r="B98" s="18" t="s">
        <v>288</v>
      </c>
      <c r="C98" s="18"/>
      <c r="D98" s="9">
        <f t="shared" ref="D98:O98" si="3">IFERROR(+D15-D18+D96,0)</f>
        <v>-175748.03</v>
      </c>
      <c r="E98" s="9">
        <f t="shared" si="3"/>
        <v>-107631.48999999996</v>
      </c>
      <c r="F98" s="9">
        <f t="shared" si="3"/>
        <v>-122773.22</v>
      </c>
      <c r="G98" s="9">
        <f t="shared" si="3"/>
        <v>-136502.21</v>
      </c>
      <c r="H98" s="9">
        <f t="shared" si="3"/>
        <v>-70380.360000000015</v>
      </c>
      <c r="I98" s="9">
        <f t="shared" si="3"/>
        <v>-104580.87000000001</v>
      </c>
      <c r="J98" s="9">
        <f t="shared" si="3"/>
        <v>-147304.95000000001</v>
      </c>
      <c r="K98" s="9">
        <f t="shared" si="3"/>
        <v>-88663.270000000019</v>
      </c>
      <c r="L98" s="9">
        <f t="shared" si="3"/>
        <v>-127695.67999999999</v>
      </c>
      <c r="M98" s="9">
        <f t="shared" si="3"/>
        <v>-115323.16999999998</v>
      </c>
      <c r="N98" s="9">
        <f t="shared" si="3"/>
        <v>-49874.098725757678</v>
      </c>
      <c r="O98" s="9">
        <f t="shared" si="3"/>
        <v>-81263.498496557688</v>
      </c>
      <c r="Q98" s="9">
        <f>IFERROR(+Q15-Q18+Q96,0)</f>
        <v>-1327740.8472223151</v>
      </c>
    </row>
    <row r="99" spans="1:17" s="38" customFormat="1" ht="15" customHeight="1" x14ac:dyDescent="0.3">
      <c r="B99" s="17"/>
      <c r="C99" s="17"/>
      <c r="D99" s="5">
        <f t="shared" ref="D99:O99" si="4">IFERROR(D98/D10,0)</f>
        <v>0</v>
      </c>
      <c r="E99" s="5">
        <f t="shared" si="4"/>
        <v>0</v>
      </c>
      <c r="F99" s="5">
        <f t="shared" si="4"/>
        <v>0</v>
      </c>
      <c r="G99" s="5">
        <f t="shared" si="4"/>
        <v>0</v>
      </c>
      <c r="H99" s="5">
        <f t="shared" si="4"/>
        <v>0</v>
      </c>
      <c r="I99" s="5">
        <f t="shared" si="4"/>
        <v>0</v>
      </c>
      <c r="J99" s="5">
        <f t="shared" si="4"/>
        <v>0</v>
      </c>
      <c r="K99" s="5">
        <f t="shared" si="4"/>
        <v>0</v>
      </c>
      <c r="L99" s="5">
        <f t="shared" si="4"/>
        <v>0</v>
      </c>
      <c r="M99" s="5">
        <f t="shared" si="4"/>
        <v>0</v>
      </c>
      <c r="N99" s="5">
        <f t="shared" si="4"/>
        <v>0</v>
      </c>
      <c r="O99" s="5">
        <f t="shared" si="4"/>
        <v>0</v>
      </c>
      <c r="P99" s="19"/>
      <c r="Q99" s="5">
        <f>IFERROR(Q98/Q10,0)</f>
        <v>0</v>
      </c>
    </row>
    <row r="100" spans="1:17" ht="15" customHeight="1" x14ac:dyDescent="0.3">
      <c r="A100" s="6"/>
      <c r="B100" s="7"/>
      <c r="C100" s="6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Q100" s="4"/>
    </row>
    <row r="101" spans="1:17" s="37" customFormat="1" ht="15" customHeight="1" x14ac:dyDescent="0.3">
      <c r="A101" s="26"/>
      <c r="B101" s="7" t="s">
        <v>289</v>
      </c>
      <c r="C101" s="7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Q101" s="3">
        <f>SUM(OSRRefD28_0x)+IFERROR(SUM(OSRRefE28_0x),0)</f>
        <v>0</v>
      </c>
    </row>
    <row r="102" spans="1:17" ht="15" customHeight="1" x14ac:dyDescent="0.3">
      <c r="A102" s="6"/>
      <c r="B102" s="7"/>
      <c r="C102" s="7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Q102" s="4"/>
    </row>
    <row r="103" spans="1:17" s="37" customFormat="1" ht="15.75" customHeight="1" x14ac:dyDescent="0.3">
      <c r="A103" s="7"/>
      <c r="B103" s="18" t="s">
        <v>290</v>
      </c>
      <c r="C103" s="18"/>
      <c r="D103" s="8">
        <f t="shared" ref="D103:O103" si="5">IFERROR(+D98-D101,0)</f>
        <v>-175748.03</v>
      </c>
      <c r="E103" s="8">
        <f t="shared" si="5"/>
        <v>-107631.48999999996</v>
      </c>
      <c r="F103" s="8">
        <f t="shared" si="5"/>
        <v>-122773.22</v>
      </c>
      <c r="G103" s="8">
        <f t="shared" si="5"/>
        <v>-136502.21</v>
      </c>
      <c r="H103" s="8">
        <f t="shared" si="5"/>
        <v>-70380.360000000015</v>
      </c>
      <c r="I103" s="8">
        <f t="shared" si="5"/>
        <v>-104580.87000000001</v>
      </c>
      <c r="J103" s="8">
        <f t="shared" si="5"/>
        <v>-147304.95000000001</v>
      </c>
      <c r="K103" s="8">
        <f t="shared" si="5"/>
        <v>-88663.270000000019</v>
      </c>
      <c r="L103" s="8">
        <f t="shared" si="5"/>
        <v>-127695.67999999999</v>
      </c>
      <c r="M103" s="8">
        <f t="shared" si="5"/>
        <v>-115323.16999999998</v>
      </c>
      <c r="N103" s="8">
        <f t="shared" si="5"/>
        <v>-49874.098725757678</v>
      </c>
      <c r="O103" s="8">
        <f t="shared" si="5"/>
        <v>-81263.498496557688</v>
      </c>
      <c r="Q103" s="8">
        <f>IFERROR(+Q98-Q101,0)</f>
        <v>-1327740.8472223151</v>
      </c>
    </row>
    <row r="104" spans="1:17" ht="15.75" customHeight="1" x14ac:dyDescent="0.3">
      <c r="A104" s="6"/>
      <c r="B104" s="6"/>
      <c r="C104" s="6"/>
      <c r="D104" s="5">
        <f t="shared" ref="D104:O104" si="6">IFERROR(D103/D10,0)</f>
        <v>0</v>
      </c>
      <c r="E104" s="5">
        <f t="shared" si="6"/>
        <v>0</v>
      </c>
      <c r="F104" s="5">
        <f t="shared" si="6"/>
        <v>0</v>
      </c>
      <c r="G104" s="5">
        <f t="shared" si="6"/>
        <v>0</v>
      </c>
      <c r="H104" s="5">
        <f t="shared" si="6"/>
        <v>0</v>
      </c>
      <c r="I104" s="5">
        <f t="shared" si="6"/>
        <v>0</v>
      </c>
      <c r="J104" s="5">
        <f t="shared" si="6"/>
        <v>0</v>
      </c>
      <c r="K104" s="5">
        <f t="shared" si="6"/>
        <v>0</v>
      </c>
      <c r="L104" s="5">
        <f t="shared" si="6"/>
        <v>0</v>
      </c>
      <c r="M104" s="5">
        <f t="shared" si="6"/>
        <v>0</v>
      </c>
      <c r="N104" s="5">
        <f t="shared" si="6"/>
        <v>0</v>
      </c>
      <c r="O104" s="5">
        <f t="shared" si="6"/>
        <v>0</v>
      </c>
      <c r="P104" s="19"/>
      <c r="Q104" s="5">
        <f>IFERROR(Q103/Q10,0)</f>
        <v>0</v>
      </c>
    </row>
    <row r="105" spans="1:17" ht="15" customHeight="1" x14ac:dyDescent="0.3">
      <c r="A105" s="6"/>
      <c r="B105" s="6"/>
      <c r="C105" s="6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Q105" s="4"/>
    </row>
    <row r="106" spans="1:17" ht="15" customHeight="1" x14ac:dyDescent="0.3">
      <c r="A106" s="6"/>
      <c r="B106" s="6"/>
      <c r="C106" s="6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Q106" s="4"/>
    </row>
    <row r="107" spans="1:17" s="37" customFormat="1" ht="15.75" customHeight="1" x14ac:dyDescent="0.3">
      <c r="A107" s="7"/>
      <c r="B107" s="18" t="s">
        <v>293</v>
      </c>
      <c r="C107" s="18"/>
      <c r="D107" s="8">
        <f t="shared" ref="D107:O107" si="7">IFERROR(SUM(D103:D106),0)</f>
        <v>-175748.03</v>
      </c>
      <c r="E107" s="8">
        <f t="shared" si="7"/>
        <v>-107631.48999999996</v>
      </c>
      <c r="F107" s="8">
        <f t="shared" si="7"/>
        <v>-122773.22</v>
      </c>
      <c r="G107" s="8">
        <f t="shared" si="7"/>
        <v>-136502.21</v>
      </c>
      <c r="H107" s="8">
        <f t="shared" si="7"/>
        <v>-70380.360000000015</v>
      </c>
      <c r="I107" s="8">
        <f t="shared" si="7"/>
        <v>-104580.87000000001</v>
      </c>
      <c r="J107" s="8">
        <f t="shared" si="7"/>
        <v>-147304.95000000001</v>
      </c>
      <c r="K107" s="8">
        <f t="shared" si="7"/>
        <v>-88663.270000000019</v>
      </c>
      <c r="L107" s="8">
        <f t="shared" si="7"/>
        <v>-127695.67999999999</v>
      </c>
      <c r="M107" s="8">
        <f t="shared" si="7"/>
        <v>-115323.16999999998</v>
      </c>
      <c r="N107" s="8">
        <f t="shared" si="7"/>
        <v>-49874.098725757678</v>
      </c>
      <c r="O107" s="8">
        <f t="shared" si="7"/>
        <v>-81263.498496557688</v>
      </c>
      <c r="Q107" s="8">
        <f>IFERROR(SUM(Q103:Q106),0)</f>
        <v>-1327740.8472223151</v>
      </c>
    </row>
    <row r="108" spans="1:17" ht="15.75" customHeight="1" x14ac:dyDescent="0.3">
      <c r="A108" s="6"/>
      <c r="C108" s="6"/>
      <c r="D108" s="5">
        <f t="shared" ref="D108:O108" si="8">IFERROR(D107/D10,0)</f>
        <v>0</v>
      </c>
      <c r="E108" s="5">
        <f t="shared" si="8"/>
        <v>0</v>
      </c>
      <c r="F108" s="5">
        <f t="shared" si="8"/>
        <v>0</v>
      </c>
      <c r="G108" s="5">
        <f t="shared" si="8"/>
        <v>0</v>
      </c>
      <c r="H108" s="5">
        <f t="shared" si="8"/>
        <v>0</v>
      </c>
      <c r="I108" s="5">
        <f t="shared" si="8"/>
        <v>0</v>
      </c>
      <c r="J108" s="5">
        <f t="shared" si="8"/>
        <v>0</v>
      </c>
      <c r="K108" s="5">
        <f t="shared" si="8"/>
        <v>0</v>
      </c>
      <c r="L108" s="5">
        <f t="shared" si="8"/>
        <v>0</v>
      </c>
      <c r="M108" s="5">
        <f t="shared" si="8"/>
        <v>0</v>
      </c>
      <c r="N108" s="5">
        <f t="shared" si="8"/>
        <v>0</v>
      </c>
      <c r="O108" s="5">
        <f t="shared" si="8"/>
        <v>0</v>
      </c>
      <c r="P108" s="19"/>
      <c r="Q108" s="5">
        <f>IFERROR(Q107/Q10,0)</f>
        <v>0</v>
      </c>
    </row>
    <row r="109" spans="1:17" ht="15" customHeight="1" x14ac:dyDescent="0.3">
      <c r="A109" s="6"/>
      <c r="B109" s="33">
        <v>44694.892891863426</v>
      </c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Q109" s="14"/>
    </row>
    <row r="110" spans="1:17" ht="15" customHeight="1" x14ac:dyDescent="0.3">
      <c r="A110" s="6"/>
      <c r="B110" s="31" t="s">
        <v>294</v>
      </c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Q110" s="14"/>
    </row>
    <row r="111" spans="1:17" ht="15" customHeight="1" x14ac:dyDescent="0.3">
      <c r="A111" s="6"/>
      <c r="B111" s="27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Q111" s="14"/>
    </row>
    <row r="112" spans="1:17" ht="15" customHeight="1" x14ac:dyDescent="0.3"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Q112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AE753-4E71-9526-623E-5BAAABD0B5BB}">
  <sheetPr>
    <tabColor rgb="FFFFFF00"/>
    <outlinePr summaryBelow="0" summaryRight="0"/>
    <pageSetUpPr fitToPage="1"/>
  </sheetPr>
  <dimension ref="A2:R102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">
        <v>305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62114.82</v>
      </c>
      <c r="E10" s="4">
        <f>SUM(OSRRefD11x_1)</f>
        <v>1009670.64</v>
      </c>
      <c r="F10" s="4">
        <f>SUM(OSRRefD11x_2)</f>
        <v>234356.63999999998</v>
      </c>
      <c r="G10" s="4">
        <f>SUM(OSRRefD11x_3)</f>
        <v>37617.599999999991</v>
      </c>
      <c r="H10" s="4">
        <f>SUM(OSRRefD11x_4)</f>
        <v>7877.45</v>
      </c>
      <c r="I10" s="4">
        <f>SUM(OSRRefD11x_5)</f>
        <v>47972.719999999994</v>
      </c>
      <c r="J10" s="4">
        <f>SUM(OSRRefD11x_6)</f>
        <v>550348.06999999995</v>
      </c>
      <c r="K10" s="4">
        <f>SUM(OSRRefD11x_7)</f>
        <v>178511.89</v>
      </c>
      <c r="L10" s="4">
        <f>SUM(OSRRefD11x_8)</f>
        <v>22895.32</v>
      </c>
      <c r="M10" s="4">
        <f>SUM(OSRRefD11x_9)</f>
        <v>50855.24</v>
      </c>
      <c r="N10" s="4">
        <f>SUM(OSRRefE11x_0)</f>
        <v>55767</v>
      </c>
      <c r="O10" s="4">
        <f>SUM(OSRRefE11x_1)</f>
        <v>22192</v>
      </c>
      <c r="P10" s="25"/>
      <c r="Q10" s="4">
        <f>SUM(OSRRefG11x)</f>
        <v>2280179.3899999997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--34833.91</f>
        <v>34833.910000000003</v>
      </c>
      <c r="E11" s="3">
        <f>--738389.15</f>
        <v>738389.15</v>
      </c>
      <c r="F11" s="3">
        <f>--181793.09</f>
        <v>181793.09</v>
      </c>
      <c r="G11" s="3">
        <f>--26031.35</f>
        <v>26031.35</v>
      </c>
      <c r="H11" s="3">
        <f>--6339.97</f>
        <v>6339.97</v>
      </c>
      <c r="I11" s="3">
        <f>--17446.59</f>
        <v>17446.59</v>
      </c>
      <c r="J11" s="3">
        <f>--459128.6</f>
        <v>459128.6</v>
      </c>
      <c r="K11" s="3">
        <f>--136556.17</f>
        <v>136556.17000000001</v>
      </c>
      <c r="L11" s="3">
        <f>--26193.43</f>
        <v>26193.43</v>
      </c>
      <c r="M11" s="3">
        <f>--38819.11</f>
        <v>38819.11</v>
      </c>
      <c r="N11" s="3">
        <v>55767</v>
      </c>
      <c r="O11" s="3">
        <v>22192</v>
      </c>
      <c r="Q11" s="3">
        <f>SUM(OSRRefD11_0x)+IFERROR(SUM(OSRRefE11_0x),0)</f>
        <v>1743490.3699999999</v>
      </c>
    </row>
    <row r="12" spans="1:18" s="39" customFormat="1" ht="15" hidden="1" customHeight="1" outlineLevel="1" x14ac:dyDescent="0.3">
      <c r="A12" s="24"/>
      <c r="B12" s="11" t="str">
        <f>CONCATENATE("          ","4100"," - ","NON-TAXABLE SALES")</f>
        <v xml:space="preserve">          4100 - NON-TAXABLE SALES</v>
      </c>
      <c r="C12" s="23"/>
      <c r="D12" s="3">
        <f>--29184.3</f>
        <v>29184.3</v>
      </c>
      <c r="E12" s="3">
        <f>--298959.6</f>
        <v>298959.59999999998</v>
      </c>
      <c r="F12" s="3">
        <f>--66434.39</f>
        <v>66434.39</v>
      </c>
      <c r="G12" s="3">
        <f>--21904.93</f>
        <v>21904.93</v>
      </c>
      <c r="H12" s="3">
        <f>--2768.92</f>
        <v>2768.92</v>
      </c>
      <c r="I12" s="3">
        <f>--32055.36</f>
        <v>32055.360000000001</v>
      </c>
      <c r="J12" s="3">
        <f>--110754.22</f>
        <v>110754.22</v>
      </c>
      <c r="K12" s="3">
        <f>--53283.48</f>
        <v>53283.48</v>
      </c>
      <c r="L12" s="3">
        <f>--1597.61</f>
        <v>1597.61</v>
      </c>
      <c r="M12" s="3">
        <f>--18061.35</f>
        <v>18061.349999999999</v>
      </c>
      <c r="N12" s="3"/>
      <c r="O12" s="3"/>
      <c r="Q12" s="3">
        <f>SUM(OSRRefD11_1x)+IFERROR(SUM(OSRRefE11_1x),0)</f>
        <v>635004.15999999992</v>
      </c>
    </row>
    <row r="13" spans="1:18" s="39" customFormat="1" ht="15" hidden="1" customHeight="1" outlineLevel="1" x14ac:dyDescent="0.3">
      <c r="A13" s="24"/>
      <c r="B13" s="11" t="str">
        <f>CONCATENATE("          ","4200"," - ","TAXABLE RETURNS")</f>
        <v xml:space="preserve">          4200 - TAXABLE RETURNS</v>
      </c>
      <c r="C13" s="23"/>
      <c r="D13" s="3">
        <f>-920.66</f>
        <v>-920.66</v>
      </c>
      <c r="E13" s="3">
        <f>-11488.38</f>
        <v>-11488.38</v>
      </c>
      <c r="F13" s="3">
        <f>-11496.04</f>
        <v>-11496.04</v>
      </c>
      <c r="G13" s="3">
        <f>-4428.05</f>
        <v>-4428.05</v>
      </c>
      <c r="H13" s="3">
        <f>-652.65</f>
        <v>-652.65</v>
      </c>
      <c r="I13" s="3">
        <f>-407.24</f>
        <v>-407.24</v>
      </c>
      <c r="J13" s="3">
        <f>-17245.44</f>
        <v>-17245.439999999999</v>
      </c>
      <c r="K13" s="3">
        <f>-4194.35</f>
        <v>-4194.3500000000004</v>
      </c>
      <c r="L13" s="3">
        <f>-4679.48</f>
        <v>-4679.4799999999996</v>
      </c>
      <c r="M13" s="3">
        <f>--2760.42</f>
        <v>2760.42</v>
      </c>
      <c r="N13" s="3"/>
      <c r="O13" s="3"/>
      <c r="Q13" s="3">
        <f>SUM(OSRRefD11_2x)+IFERROR(SUM(OSRRefE11_2x),0)</f>
        <v>-52751.87000000001</v>
      </c>
    </row>
    <row r="14" spans="1:18" s="39" customFormat="1" ht="15" hidden="1" customHeight="1" outlineLevel="1" x14ac:dyDescent="0.3">
      <c r="A14" s="24"/>
      <c r="B14" s="11" t="str">
        <f>CONCATENATE("          ","4300"," - ","NON-TAX RETURNS")</f>
        <v xml:space="preserve">          4300 - NON-TAX RETURNS</v>
      </c>
      <c r="C14" s="23"/>
      <c r="D14" s="3">
        <f>-982.73</f>
        <v>-982.73</v>
      </c>
      <c r="E14" s="3">
        <f>-16189.73</f>
        <v>-16189.73</v>
      </c>
      <c r="F14" s="3">
        <f>-2374.8</f>
        <v>-2374.8000000000002</v>
      </c>
      <c r="G14" s="3">
        <f>-5357.9</f>
        <v>-5357.9</v>
      </c>
      <c r="H14" s="3">
        <f>-487.82</f>
        <v>-487.82</v>
      </c>
      <c r="I14" s="3">
        <f>-510.16</f>
        <v>-510.16</v>
      </c>
      <c r="J14" s="3">
        <f>-498.15</f>
        <v>-498.15</v>
      </c>
      <c r="K14" s="3">
        <f>-2947.38</f>
        <v>-2947.38</v>
      </c>
      <c r="L14" s="3">
        <f>0</f>
        <v>0</v>
      </c>
      <c r="M14" s="3">
        <f>-8718.04</f>
        <v>-8718.0400000000009</v>
      </c>
      <c r="N14" s="3"/>
      <c r="O14" s="3"/>
      <c r="Q14" s="3">
        <f>SUM(OSRRefD11_3x)+IFERROR(SUM(OSRRefE11_3x),0)</f>
        <v>-38066.71</v>
      </c>
    </row>
    <row r="15" spans="1:18" s="39" customFormat="1" ht="15" hidden="1" customHeight="1" outlineLevel="1" x14ac:dyDescent="0.3">
      <c r="A15" s="24"/>
      <c r="B15" s="11" t="str">
        <f>CONCATENATE("          ","4500"," - ","SALES DISCOUNT")</f>
        <v xml:space="preserve">          4500 - SALES DISCOUNT</v>
      </c>
      <c r="C15" s="23"/>
      <c r="D15" s="3">
        <f>0</f>
        <v>0</v>
      </c>
      <c r="E15" s="3">
        <f>0</f>
        <v>0</v>
      </c>
      <c r="F15" s="3">
        <f>0</f>
        <v>0</v>
      </c>
      <c r="G15" s="3">
        <f>-532.73</f>
        <v>-532.73</v>
      </c>
      <c r="H15" s="3">
        <f>-90.97</f>
        <v>-90.97</v>
      </c>
      <c r="I15" s="3">
        <f>-611.83</f>
        <v>-611.83000000000004</v>
      </c>
      <c r="J15" s="3">
        <f>-1791.16</f>
        <v>-1791.16</v>
      </c>
      <c r="K15" s="3">
        <f>-4186.03</f>
        <v>-4186.03</v>
      </c>
      <c r="L15" s="3">
        <f>-216.24</f>
        <v>-216.24</v>
      </c>
      <c r="M15" s="3">
        <f>-67.6</f>
        <v>-67.599999999999994</v>
      </c>
      <c r="N15" s="3"/>
      <c r="O15" s="3"/>
      <c r="Q15" s="3">
        <f>SUM(OSRRefD11_4x)+IFERROR(SUM(OSRRefE11_4x),0)</f>
        <v>-7496.56</v>
      </c>
    </row>
    <row r="16" spans="1:18" ht="15" customHeight="1" x14ac:dyDescent="0.3">
      <c r="A16" s="6"/>
      <c r="B16" s="7"/>
      <c r="C16" s="6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Q16" s="4"/>
    </row>
    <row r="17" spans="1:17" s="39" customFormat="1" ht="15" customHeight="1" collapsed="1" x14ac:dyDescent="0.3">
      <c r="A17" s="24"/>
      <c r="B17" s="17" t="s">
        <v>284</v>
      </c>
      <c r="C17" s="23"/>
      <c r="D17" s="4">
        <f>SUM(OSRRefD14x_0)</f>
        <v>44701.750000000007</v>
      </c>
      <c r="E17" s="4">
        <f>SUM(OSRRefD14x_1)</f>
        <v>802451.48</v>
      </c>
      <c r="F17" s="4">
        <f>SUM(OSRRefD14x_2)</f>
        <v>225360.76000000004</v>
      </c>
      <c r="G17" s="4">
        <f>SUM(OSRRefD14x_3)</f>
        <v>24321.970000000027</v>
      </c>
      <c r="H17" s="4">
        <f>SUM(OSRRefD14x_4)</f>
        <v>5436.6200000000063</v>
      </c>
      <c r="I17" s="4">
        <f>SUM(OSRRefD14x_5)</f>
        <v>38599.1</v>
      </c>
      <c r="J17" s="4">
        <f>SUM(OSRRefD14x_6)</f>
        <v>365470.27</v>
      </c>
      <c r="K17" s="4">
        <f>SUM(OSRRefD14x_7)</f>
        <v>131634.45000000001</v>
      </c>
      <c r="L17" s="4">
        <f>SUM(OSRRefD14x_8)</f>
        <v>16422.619999999984</v>
      </c>
      <c r="M17" s="4">
        <f>SUM(OSRRefD14x_9)</f>
        <v>26384.179999999993</v>
      </c>
      <c r="N17" s="4">
        <f>SUM(OSRRefE14x_0)</f>
        <v>40308</v>
      </c>
      <c r="O17" s="4">
        <f>SUM(OSRRefE14x_1)</f>
        <v>16024</v>
      </c>
      <c r="Q17" s="4">
        <f>SUM(OSRRefG14x)</f>
        <v>1737115.1999999997</v>
      </c>
    </row>
    <row r="18" spans="1:17" s="39" customFormat="1" ht="15" hidden="1" customHeight="1" outlineLevel="1" x14ac:dyDescent="0.3">
      <c r="A18" s="24"/>
      <c r="B18" s="11" t="str">
        <f>CONCATENATE("          ","5000"," - ","PURCHASES @ COST")</f>
        <v xml:space="preserve">          5000 - PURCHASES @ COST</v>
      </c>
      <c r="C18" s="23"/>
      <c r="D18" s="3">
        <v>264218.03999999998</v>
      </c>
      <c r="E18" s="3">
        <v>422783.67</v>
      </c>
      <c r="F18" s="3">
        <v>580518.88</v>
      </c>
      <c r="G18" s="3">
        <v>276289.31</v>
      </c>
      <c r="H18" s="3">
        <v>-202187.1</v>
      </c>
      <c r="I18" s="3">
        <v>62818.239999999998</v>
      </c>
      <c r="J18" s="3">
        <v>297701.7</v>
      </c>
      <c r="K18" s="3">
        <v>179806.3</v>
      </c>
      <c r="L18" s="3">
        <v>-271424.32</v>
      </c>
      <c r="M18" s="3">
        <v>-186211.17</v>
      </c>
      <c r="N18" s="3">
        <v>40308</v>
      </c>
      <c r="O18" s="3">
        <v>16024</v>
      </c>
      <c r="Q18" s="3">
        <f>SUM(OSRRefD14_0x)+IFERROR(SUM(OSRRefE14_0x),0)</f>
        <v>1480645.5499999998</v>
      </c>
    </row>
    <row r="19" spans="1:17" s="39" customFormat="1" ht="15" hidden="1" customHeight="1" outlineLevel="1" x14ac:dyDescent="0.3">
      <c r="A19" s="24"/>
      <c r="B19" s="11" t="str">
        <f>CONCATENATE("          ","5001"," - ","PURCHASES @ COST-NEW TEXT")</f>
        <v xml:space="preserve">          5001 - PURCHASES @ COST-NEW TEXT</v>
      </c>
      <c r="C19" s="23"/>
      <c r="D19" s="3">
        <v>0</v>
      </c>
      <c r="E19" s="3">
        <v>0</v>
      </c>
      <c r="F19" s="3">
        <v>0</v>
      </c>
      <c r="G19" s="3">
        <v>0</v>
      </c>
      <c r="H19" s="3"/>
      <c r="I19" s="3"/>
      <c r="J19" s="3"/>
      <c r="K19" s="3"/>
      <c r="L19" s="3"/>
      <c r="M19" s="3"/>
      <c r="N19" s="3"/>
      <c r="O19" s="3"/>
      <c r="Q19" s="3">
        <f>SUM(OSRRefD14_1x)+IFERROR(SUM(OSRRefE14_1x),0)</f>
        <v>0</v>
      </c>
    </row>
    <row r="20" spans="1:17" s="39" customFormat="1" ht="15" hidden="1" customHeight="1" outlineLevel="1" x14ac:dyDescent="0.3">
      <c r="A20" s="24"/>
      <c r="B20" s="11" t="str">
        <f>CONCATENATE("          ","5002"," - ","PURCHASES @ COST-USED TEXT")</f>
        <v xml:space="preserve">          5002 - PURCHASES @ COST-USED TEXT</v>
      </c>
      <c r="C20" s="23"/>
      <c r="D20" s="3">
        <v>0</v>
      </c>
      <c r="E20" s="3">
        <v>0</v>
      </c>
      <c r="F20" s="3">
        <v>0</v>
      </c>
      <c r="G20" s="3"/>
      <c r="H20" s="3"/>
      <c r="I20" s="3"/>
      <c r="J20" s="3"/>
      <c r="K20" s="3"/>
      <c r="L20" s="3"/>
      <c r="M20" s="3"/>
      <c r="N20" s="3"/>
      <c r="O20" s="3"/>
      <c r="Q20" s="3">
        <f>SUM(OSRRefD14_2x)+IFERROR(SUM(OSRRefE14_2x),0)</f>
        <v>0</v>
      </c>
    </row>
    <row r="21" spans="1:17" s="39" customFormat="1" ht="15" hidden="1" customHeight="1" outlineLevel="1" x14ac:dyDescent="0.3">
      <c r="A21" s="24"/>
      <c r="B21" s="11" t="str">
        <f>CONCATENATE("          ","5004"," - ","PURCHASES @ COST-DIGITAL TEXT")</f>
        <v xml:space="preserve">          5004 - PURCHASES @ COST-DIGITAL TEXT</v>
      </c>
      <c r="C21" s="23"/>
      <c r="D21" s="3">
        <v>0</v>
      </c>
      <c r="E21" s="3">
        <v>0</v>
      </c>
      <c r="F21" s="3">
        <v>0</v>
      </c>
      <c r="G21" s="3"/>
      <c r="H21" s="3"/>
      <c r="I21" s="3"/>
      <c r="J21" s="3"/>
      <c r="K21" s="3"/>
      <c r="L21" s="3"/>
      <c r="M21" s="3"/>
      <c r="N21" s="3"/>
      <c r="O21" s="3"/>
      <c r="Q21" s="3">
        <f>SUM(OSRRefD14_3x)+IFERROR(SUM(OSRRefE14_3x),0)</f>
        <v>0</v>
      </c>
    </row>
    <row r="22" spans="1:17" s="39" customFormat="1" ht="15" hidden="1" customHeight="1" outlineLevel="1" x14ac:dyDescent="0.3">
      <c r="A22" s="24"/>
      <c r="B22" s="11" t="str">
        <f>CONCATENATE("          ","5200"," - ","PURCHASES OFFSET")</f>
        <v xml:space="preserve">          5200 - PURCHASES OFFSET</v>
      </c>
      <c r="C22" s="23"/>
      <c r="D22" s="3">
        <v>-264391.71999999997</v>
      </c>
      <c r="E22" s="3">
        <v>-223271.06</v>
      </c>
      <c r="F22" s="3">
        <v>-548708.86</v>
      </c>
      <c r="G22" s="3">
        <v>-290158.21999999997</v>
      </c>
      <c r="H22" s="3">
        <v>202125.45</v>
      </c>
      <c r="I22" s="3">
        <v>-66175.399999999994</v>
      </c>
      <c r="J22" s="3">
        <v>-271779.8</v>
      </c>
      <c r="K22" s="3">
        <v>-166938.59</v>
      </c>
      <c r="L22" s="3">
        <v>267392.68</v>
      </c>
      <c r="M22" s="3">
        <v>160822.91</v>
      </c>
      <c r="N22" s="3"/>
      <c r="O22" s="3"/>
      <c r="Q22" s="3">
        <f>SUM(OSRRefD14_4x)+IFERROR(SUM(OSRRefE14_4x),0)</f>
        <v>-1201082.6100000001</v>
      </c>
    </row>
    <row r="23" spans="1:17" s="39" customFormat="1" ht="15" hidden="1" customHeight="1" outlineLevel="1" x14ac:dyDescent="0.3">
      <c r="A23" s="24"/>
      <c r="B23" s="11" t="str">
        <f>CONCATENATE("          ","5300"," - ","COG$ OFFSET")</f>
        <v xml:space="preserve">          5300 - COG$ OFFSET</v>
      </c>
      <c r="C23" s="23"/>
      <c r="D23" s="3">
        <v>42691.72</v>
      </c>
      <c r="E23" s="3">
        <v>599500.85</v>
      </c>
      <c r="F23" s="3">
        <v>179347.67</v>
      </c>
      <c r="G23" s="3">
        <v>21877.63</v>
      </c>
      <c r="H23" s="3">
        <v>5116.34</v>
      </c>
      <c r="I23" s="3">
        <v>41134.559999999998</v>
      </c>
      <c r="J23" s="3">
        <v>328221.40000000002</v>
      </c>
      <c r="K23" s="3">
        <v>96980.38</v>
      </c>
      <c r="L23" s="3">
        <v>14415.48</v>
      </c>
      <c r="M23" s="3">
        <v>49207.61</v>
      </c>
      <c r="N23" s="3"/>
      <c r="O23" s="3"/>
      <c r="Q23" s="3">
        <f>SUM(OSRRefD14_5x)+IFERROR(SUM(OSRRefE14_5x),0)</f>
        <v>1378493.64</v>
      </c>
    </row>
    <row r="24" spans="1:17" s="39" customFormat="1" ht="15" hidden="1" customHeight="1" outlineLevel="1" x14ac:dyDescent="0.3">
      <c r="A24" s="24"/>
      <c r="B24" s="11" t="str">
        <f>CONCATENATE("          ","5500"," - ","FREIGHT-IN")</f>
        <v xml:space="preserve">          5500 - FREIGHT-IN</v>
      </c>
      <c r="C24" s="23"/>
      <c r="D24" s="3">
        <v>2183.71</v>
      </c>
      <c r="E24" s="3">
        <v>3438.02</v>
      </c>
      <c r="F24" s="3">
        <v>14203.07</v>
      </c>
      <c r="G24" s="3">
        <v>16313.25</v>
      </c>
      <c r="H24" s="3">
        <v>381.93</v>
      </c>
      <c r="I24" s="3">
        <v>821.7</v>
      </c>
      <c r="J24" s="3">
        <v>11326.97</v>
      </c>
      <c r="K24" s="3">
        <v>21786.36</v>
      </c>
      <c r="L24" s="3">
        <v>6038.78</v>
      </c>
      <c r="M24" s="3">
        <v>2564.83</v>
      </c>
      <c r="N24" s="3"/>
      <c r="O24" s="3"/>
      <c r="Q24" s="3">
        <f>SUM(OSRRefD14_6x)+IFERROR(SUM(OSRRefE14_6x),0)</f>
        <v>79058.62000000001</v>
      </c>
    </row>
    <row r="25" spans="1:17" s="39" customFormat="1" ht="15" hidden="1" customHeight="1" outlineLevel="1" x14ac:dyDescent="0.3">
      <c r="A25" s="24"/>
      <c r="B25" s="11" t="str">
        <f>CONCATENATE("          ","5501"," - ","FREIGHT-IN-NEW TEXT")</f>
        <v xml:space="preserve">          5501 - FREIGHT-IN-NEW TEXT</v>
      </c>
      <c r="C25" s="23"/>
      <c r="D25" s="3">
        <v>0</v>
      </c>
      <c r="E25" s="3">
        <v>0</v>
      </c>
      <c r="F25" s="3">
        <v>0</v>
      </c>
      <c r="G25" s="3">
        <v>0</v>
      </c>
      <c r="H25" s="3"/>
      <c r="I25" s="3"/>
      <c r="J25" s="3"/>
      <c r="K25" s="3"/>
      <c r="L25" s="3"/>
      <c r="M25" s="3"/>
      <c r="N25" s="3"/>
      <c r="O25" s="3"/>
      <c r="Q25" s="3">
        <f>SUM(OSRRefD14_7x)+IFERROR(SUM(OSRRefE14_7x),0)</f>
        <v>0</v>
      </c>
    </row>
    <row r="26" spans="1:17" s="39" customFormat="1" ht="15" hidden="1" customHeight="1" outlineLevel="1" x14ac:dyDescent="0.3">
      <c r="A26" s="24"/>
      <c r="B26" s="11" t="str">
        <f>CONCATENATE("          ","5502"," - ","FREIGHT-IN-USED TEXT")</f>
        <v xml:space="preserve">          5502 - FREIGHT-IN-USED TEXT</v>
      </c>
      <c r="C26" s="23"/>
      <c r="D26" s="3">
        <v>0</v>
      </c>
      <c r="E26" s="3">
        <v>0</v>
      </c>
      <c r="F26" s="3">
        <v>0</v>
      </c>
      <c r="G26" s="3"/>
      <c r="H26" s="3"/>
      <c r="I26" s="3"/>
      <c r="J26" s="3"/>
      <c r="K26" s="3"/>
      <c r="L26" s="3"/>
      <c r="M26" s="3"/>
      <c r="N26" s="3"/>
      <c r="O26" s="3"/>
      <c r="Q26" s="3">
        <f>SUM(OSRRefD14_8x)+IFERROR(SUM(OSRRefE14_8x),0)</f>
        <v>0</v>
      </c>
    </row>
    <row r="27" spans="1:17" s="39" customFormat="1" ht="15" hidden="1" customHeight="1" outlineLevel="1" x14ac:dyDescent="0.3">
      <c r="A27" s="24"/>
      <c r="B27" s="11" t="str">
        <f>CONCATENATE("          ","5518"," - ","FREIGHT-IN-STUDY GUIDES")</f>
        <v xml:space="preserve">          5518 - FREIGHT-IN-STUDY GUIDES</v>
      </c>
      <c r="C27" s="23"/>
      <c r="D27" s="3">
        <v>0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>
        <f>SUM(OSRRefD14_9x)+IFERROR(SUM(OSRRefE14_9x),0)</f>
        <v>0</v>
      </c>
    </row>
    <row r="28" spans="1:17" ht="15" customHeight="1" x14ac:dyDescent="0.3">
      <c r="A28" s="6"/>
      <c r="B28" s="7"/>
      <c r="C28" s="7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Q28" s="4"/>
    </row>
    <row r="29" spans="1:17" s="37" customFormat="1" ht="15" customHeight="1" x14ac:dyDescent="0.3">
      <c r="A29" s="7"/>
      <c r="B29" s="18" t="s">
        <v>285</v>
      </c>
      <c r="C29" s="18"/>
      <c r="D29" s="9">
        <f t="shared" ref="D29:O29" si="0">IFERROR(+D10-D17,0)</f>
        <v>17413.069999999992</v>
      </c>
      <c r="E29" s="9">
        <f t="shared" si="0"/>
        <v>207219.16000000003</v>
      </c>
      <c r="F29" s="9">
        <f t="shared" si="0"/>
        <v>8995.8799999999464</v>
      </c>
      <c r="G29" s="9">
        <f t="shared" si="0"/>
        <v>13295.629999999965</v>
      </c>
      <c r="H29" s="9">
        <f t="shared" si="0"/>
        <v>2440.8299999999936</v>
      </c>
      <c r="I29" s="9">
        <f t="shared" si="0"/>
        <v>9373.6199999999953</v>
      </c>
      <c r="J29" s="9">
        <f t="shared" si="0"/>
        <v>184877.79999999993</v>
      </c>
      <c r="K29" s="9">
        <f t="shared" si="0"/>
        <v>46877.440000000002</v>
      </c>
      <c r="L29" s="9">
        <f t="shared" si="0"/>
        <v>6472.7000000000153</v>
      </c>
      <c r="M29" s="9">
        <f t="shared" si="0"/>
        <v>24471.060000000005</v>
      </c>
      <c r="N29" s="9">
        <f t="shared" si="0"/>
        <v>15459</v>
      </c>
      <c r="O29" s="9">
        <f t="shared" si="0"/>
        <v>6168</v>
      </c>
      <c r="Q29" s="9">
        <f>IFERROR(+Q10-Q17,0)</f>
        <v>543064.18999999994</v>
      </c>
    </row>
    <row r="30" spans="1:17" s="38" customFormat="1" ht="15" customHeight="1" x14ac:dyDescent="0.3">
      <c r="B30" s="17"/>
      <c r="C30" s="17"/>
      <c r="D30" s="5">
        <f t="shared" ref="D30:O30" si="1">IFERROR(D29/D10,0)</f>
        <v>0.28033680207074563</v>
      </c>
      <c r="E30" s="5">
        <f t="shared" si="1"/>
        <v>0.20523441188702884</v>
      </c>
      <c r="F30" s="5">
        <f t="shared" si="1"/>
        <v>3.8385428294243969E-2</v>
      </c>
      <c r="G30" s="5">
        <f t="shared" si="1"/>
        <v>0.35344174003657775</v>
      </c>
      <c r="H30" s="5">
        <f t="shared" si="1"/>
        <v>0.30985026880525979</v>
      </c>
      <c r="I30" s="5">
        <f t="shared" si="1"/>
        <v>0.19539479937764623</v>
      </c>
      <c r="J30" s="5">
        <f t="shared" si="1"/>
        <v>0.33592886043917614</v>
      </c>
      <c r="K30" s="5">
        <f t="shared" si="1"/>
        <v>0.26260121944818354</v>
      </c>
      <c r="L30" s="5">
        <f t="shared" si="1"/>
        <v>0.28270843124271755</v>
      </c>
      <c r="M30" s="5">
        <f t="shared" si="1"/>
        <v>0.48119053218508073</v>
      </c>
      <c r="N30" s="5">
        <f t="shared" si="1"/>
        <v>0.2772069503469794</v>
      </c>
      <c r="O30" s="5">
        <f t="shared" si="1"/>
        <v>0.27793799567411681</v>
      </c>
      <c r="P30" s="19"/>
      <c r="Q30" s="5">
        <f>IFERROR(Q29/Q10,0)</f>
        <v>0.23816730928350335</v>
      </c>
    </row>
    <row r="31" spans="1:17" ht="15" customHeight="1" x14ac:dyDescent="0.3">
      <c r="A31" s="6"/>
      <c r="B31" s="7"/>
      <c r="C31" s="6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Q31" s="2"/>
    </row>
    <row r="32" spans="1:17" s="37" customFormat="1" ht="15" customHeight="1" x14ac:dyDescent="0.3">
      <c r="A32" s="7"/>
      <c r="B32" s="17" t="s">
        <v>286</v>
      </c>
      <c r="C32" s="7"/>
      <c r="D32" s="12" cm="1">
        <f t="array" ref="D32">SUM(OSRRefD20x_0)</f>
        <v>49140.74</v>
      </c>
      <c r="E32" s="12" cm="1">
        <f t="array" ref="E32">SUM(OSRRefD20x_1)</f>
        <v>53160.81</v>
      </c>
      <c r="F32" s="12" cm="1">
        <f t="array" ref="F32">SUM(OSRRefD20x_2)</f>
        <v>42592.3</v>
      </c>
      <c r="G32" s="12" cm="1">
        <f t="array" ref="G32">SUM(OSRRefD20x_3)</f>
        <v>47453.490000000005</v>
      </c>
      <c r="H32" s="12" cm="1">
        <f t="array" ref="H32">SUM(OSRRefD20x_4)</f>
        <v>40561.770000000011</v>
      </c>
      <c r="I32" s="12" cm="1">
        <f t="array" ref="I32">SUM(OSRRefD20x_5)</f>
        <v>46608.87000000001</v>
      </c>
      <c r="J32" s="12" cm="1">
        <f t="array" ref="J32">SUM(OSRRefD20x_6)</f>
        <v>52742.58</v>
      </c>
      <c r="K32" s="12" cm="1">
        <f t="array" ref="K32">SUM(OSRRefD20x_7)</f>
        <v>29171.58</v>
      </c>
      <c r="L32" s="12" cm="1">
        <f t="array" ref="L32">SUM(OSRRefD20x_8)</f>
        <v>36411.790000000008</v>
      </c>
      <c r="M32" s="12" cm="1">
        <f t="array" ref="M32">SUM(OSRRefD20x_9)</f>
        <v>50638.140000000007</v>
      </c>
      <c r="N32" s="12" cm="1">
        <f t="array" ref="N32">SUM(OSRRefE20x_0)</f>
        <v>45175.145897489718</v>
      </c>
      <c r="O32" s="12" cm="1">
        <f t="array" ref="O32">SUM(OSRRefE20x_1)</f>
        <v>58386.963591039719</v>
      </c>
      <c r="Q32" s="12" cm="1">
        <f t="array" ref="Q32">SUM(OSRRefG20x)</f>
        <v>552044.17948852945</v>
      </c>
    </row>
    <row r="33" spans="1:17" s="42" customFormat="1" ht="15" customHeight="1" collapsed="1" x14ac:dyDescent="0.3">
      <c r="A33" s="34"/>
      <c r="B33" s="15" t="str">
        <f>CONCATENATE("     ","*Benefits                                         ")</f>
        <v xml:space="preserve">     *Benefits                                         </v>
      </c>
      <c r="C33" s="15"/>
      <c r="D33" s="2">
        <f>SUM(OSRRefD21_0x_0)</f>
        <v>11803.07</v>
      </c>
      <c r="E33" s="2">
        <f>SUM(OSRRefD21_0x_1)</f>
        <v>12699.169999999998</v>
      </c>
      <c r="F33" s="2">
        <f>SUM(OSRRefD21_0x_2)</f>
        <v>11720.22</v>
      </c>
      <c r="G33" s="2">
        <f>SUM(OSRRefD21_0x_3)</f>
        <v>15715.130000000001</v>
      </c>
      <c r="H33" s="2">
        <f>SUM(OSRRefD21_0x_4)</f>
        <v>12540.8</v>
      </c>
      <c r="I33" s="2">
        <f>SUM(OSRRefD21_0x_5)</f>
        <v>12486.67</v>
      </c>
      <c r="J33" s="2">
        <f>SUM(OSRRefD21_0x_6)</f>
        <v>16187.02</v>
      </c>
      <c r="K33" s="2">
        <f>SUM(OSRRefD21_0x_7)</f>
        <v>-12457.830000000002</v>
      </c>
      <c r="L33" s="2">
        <f>SUM(OSRRefD21_0x_8)</f>
        <v>12084.51</v>
      </c>
      <c r="M33" s="2">
        <f>SUM(OSRRefD21_0x_9)</f>
        <v>14153.779999999999</v>
      </c>
      <c r="N33" s="2">
        <f>SUM(OSRRefE21_0x_0)</f>
        <v>13510.257352235916</v>
      </c>
      <c r="O33" s="2">
        <f>SUM(OSRRefE21_0x_1)</f>
        <v>13686.585045785916</v>
      </c>
      <c r="Q33" s="3">
        <f>SUM(OSRRefD20_0x)+IFERROR(SUM(OSRRefE20_0x),0)</f>
        <v>134129.38239802181</v>
      </c>
    </row>
    <row r="34" spans="1:17" s="42" customFormat="1" ht="15" hidden="1" customHeight="1" outlineLevel="1" x14ac:dyDescent="0.3">
      <c r="A34" s="34"/>
      <c r="B34" s="11" t="str">
        <f>CONCATENATE("          ","6111"," - ","F.I.C.A.")</f>
        <v xml:space="preserve">          6111 - F.I.C.A.</v>
      </c>
      <c r="C34" s="15"/>
      <c r="D34" s="3">
        <v>2103.61</v>
      </c>
      <c r="E34" s="3">
        <v>2560.6999999999998</v>
      </c>
      <c r="F34" s="3">
        <v>1747.21</v>
      </c>
      <c r="G34" s="3">
        <v>2647.68</v>
      </c>
      <c r="H34" s="3">
        <v>1887.94</v>
      </c>
      <c r="I34" s="3">
        <v>1933.15</v>
      </c>
      <c r="J34" s="3">
        <v>1970.39</v>
      </c>
      <c r="K34" s="3">
        <v>2953.98</v>
      </c>
      <c r="L34" s="3">
        <v>1676.61</v>
      </c>
      <c r="M34" s="3">
        <v>2400.81</v>
      </c>
      <c r="N34" s="3">
        <v>1967.82450197977</v>
      </c>
      <c r="O34" s="3">
        <v>2120.9943225297702</v>
      </c>
      <c r="P34" s="10"/>
      <c r="Q34" s="3">
        <f>SUM(OSRRefD21_0_0x)+IFERROR(SUM(OSRRefE21_0_0x),0)</f>
        <v>25970.898824509542</v>
      </c>
    </row>
    <row r="35" spans="1:17" s="42" customFormat="1" ht="15" hidden="1" customHeight="1" outlineLevel="1" x14ac:dyDescent="0.3">
      <c r="A35" s="34"/>
      <c r="B35" s="11" t="str">
        <f>CONCATENATE("          ","6112"," - ","COMPENSATION INSURANCE")</f>
        <v xml:space="preserve">          6112 - COMPENSATION INSURANCE</v>
      </c>
      <c r="C35" s="15"/>
      <c r="D35" s="3">
        <v>382.51</v>
      </c>
      <c r="E35" s="3">
        <v>471.05</v>
      </c>
      <c r="F35" s="3">
        <v>465.54</v>
      </c>
      <c r="G35" s="3">
        <v>519.37</v>
      </c>
      <c r="H35" s="3">
        <v>355.51</v>
      </c>
      <c r="I35" s="3">
        <v>354.74</v>
      </c>
      <c r="J35" s="3">
        <v>363.33</v>
      </c>
      <c r="K35" s="3">
        <v>533.20000000000005</v>
      </c>
      <c r="L35" s="3">
        <v>320.72000000000003</v>
      </c>
      <c r="M35" s="3">
        <v>295.63</v>
      </c>
      <c r="N35" s="3">
        <v>462.16119348000001</v>
      </c>
      <c r="O35" s="3">
        <v>469.73483748000001</v>
      </c>
      <c r="P35" s="10"/>
      <c r="Q35" s="3">
        <f>SUM(OSRRefD21_0_1x)+IFERROR(SUM(OSRRefE21_0_1x),0)</f>
        <v>4993.4960309599992</v>
      </c>
    </row>
    <row r="36" spans="1:17" s="42" customFormat="1" ht="15" hidden="1" customHeight="1" outlineLevel="1" x14ac:dyDescent="0.3">
      <c r="A36" s="34"/>
      <c r="B36" s="11" t="str">
        <f>CONCATENATE("          ","6113"," - ","GROUP INSURANCE")</f>
        <v xml:space="preserve">          6113 - GROUP INSURANCE</v>
      </c>
      <c r="C36" s="15"/>
      <c r="D36" s="3">
        <v>4593.8599999999997</v>
      </c>
      <c r="E36" s="3">
        <v>4593.8599999999997</v>
      </c>
      <c r="F36" s="3">
        <v>4650.1099999999997</v>
      </c>
      <c r="G36" s="3">
        <v>4593.8599999999997</v>
      </c>
      <c r="H36" s="3">
        <v>4593.8599999999997</v>
      </c>
      <c r="I36" s="3">
        <v>4593.8599999999997</v>
      </c>
      <c r="J36" s="3">
        <v>4452.97</v>
      </c>
      <c r="K36" s="3">
        <v>3017.37</v>
      </c>
      <c r="L36" s="3">
        <v>4253.97</v>
      </c>
      <c r="M36" s="3">
        <v>4253.97</v>
      </c>
      <c r="N36" s="3">
        <v>5314</v>
      </c>
      <c r="O36" s="3">
        <v>5314</v>
      </c>
      <c r="P36" s="10"/>
      <c r="Q36" s="3">
        <f>SUM(OSRRefD21_0_2x)+IFERROR(SUM(OSRRefE21_0_2x),0)</f>
        <v>54225.69</v>
      </c>
    </row>
    <row r="37" spans="1:17" s="42" customFormat="1" ht="15" hidden="1" customHeight="1" outlineLevel="1" x14ac:dyDescent="0.3">
      <c r="A37" s="34"/>
      <c r="B37" s="11" t="str">
        <f>CONCATENATE("          ","6114"," - ","STATE UNEMPLOYMENT INSURANCE")</f>
        <v xml:space="preserve">          6114 - STATE UNEMPLOYMENT INSURANCE</v>
      </c>
      <c r="C37" s="15"/>
      <c r="D37" s="3">
        <v>74.709999999999994</v>
      </c>
      <c r="E37" s="3">
        <v>93.92</v>
      </c>
      <c r="F37" s="3">
        <v>92.82</v>
      </c>
      <c r="G37" s="3">
        <v>103.04</v>
      </c>
      <c r="H37" s="3">
        <v>70.599999999999994</v>
      </c>
      <c r="I37" s="3">
        <v>70.459999999999994</v>
      </c>
      <c r="J37" s="3">
        <v>72.17</v>
      </c>
      <c r="K37" s="3">
        <v>106.2</v>
      </c>
      <c r="L37" s="3">
        <v>63.38</v>
      </c>
      <c r="M37" s="3">
        <v>58.32</v>
      </c>
      <c r="N37" s="3">
        <v>62.214006814615402</v>
      </c>
      <c r="O37" s="3">
        <v>63.233535814615401</v>
      </c>
      <c r="P37" s="10"/>
      <c r="Q37" s="3">
        <f>SUM(OSRRefD21_0_3x)+IFERROR(SUM(OSRRefE21_0_3x),0)</f>
        <v>931.06754262923096</v>
      </c>
    </row>
    <row r="38" spans="1:17" s="42" customFormat="1" ht="15" hidden="1" customHeight="1" outlineLevel="1" x14ac:dyDescent="0.3">
      <c r="A38" s="34"/>
      <c r="B38" s="11" t="str">
        <f>CONCATENATE("          ","6115"," - ","P.E.R.S.")</f>
        <v xml:space="preserve">          6115 - P.E.R.S.</v>
      </c>
      <c r="C38" s="15"/>
      <c r="D38" s="3">
        <v>1607.1</v>
      </c>
      <c r="E38" s="3">
        <v>1607.1</v>
      </c>
      <c r="F38" s="3">
        <v>1607.1</v>
      </c>
      <c r="G38" s="3">
        <v>2410.65</v>
      </c>
      <c r="H38" s="3">
        <v>1671.39</v>
      </c>
      <c r="I38" s="3">
        <v>1671.39</v>
      </c>
      <c r="J38" s="3">
        <v>1671.39</v>
      </c>
      <c r="K38" s="3">
        <v>3125.36</v>
      </c>
      <c r="L38" s="3">
        <v>1474.56</v>
      </c>
      <c r="M38" s="3">
        <v>2109.5500000000002</v>
      </c>
      <c r="N38" s="3">
        <v>1664.68278164615</v>
      </c>
      <c r="O38" s="3">
        <v>1664.68278164615</v>
      </c>
      <c r="P38" s="10"/>
      <c r="Q38" s="3">
        <f>SUM(OSRRefD21_0_4x)+IFERROR(SUM(OSRRefE21_0_4x),0)</f>
        <v>22284.955563292297</v>
      </c>
    </row>
    <row r="39" spans="1:17" s="42" customFormat="1" ht="15" hidden="1" customHeight="1" outlineLevel="1" x14ac:dyDescent="0.3">
      <c r="A39" s="34"/>
      <c r="B39" s="11" t="str">
        <f>CONCATENATE("          ","6116"," - ","EDUCATIONAL BENEFITS")</f>
        <v xml:space="preserve">          6116 - EDUCATIONAL BENEFITS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/>
      <c r="N39" s="3">
        <v>0</v>
      </c>
      <c r="O39" s="3">
        <v>0</v>
      </c>
      <c r="P39" s="10"/>
      <c r="Q39" s="3">
        <f>SUM(OSRRefD21_0_5x)+IFERROR(SUM(OSRRefE21_0_5x),0)</f>
        <v>0</v>
      </c>
    </row>
    <row r="40" spans="1:17" s="42" customFormat="1" ht="15" hidden="1" customHeight="1" outlineLevel="1" x14ac:dyDescent="0.3">
      <c r="A40" s="34"/>
      <c r="B40" s="11" t="str">
        <f>CONCATENATE("          ","6117"," - ","RETIREMENT STAFF HOURLY")</f>
        <v xml:space="preserve">          6117 - RETIREMENT STAFF HOURLY</v>
      </c>
      <c r="C40" s="15"/>
      <c r="D40" s="3">
        <v>253.61</v>
      </c>
      <c r="E40" s="3">
        <v>532.32000000000005</v>
      </c>
      <c r="F40" s="3">
        <v>190.96</v>
      </c>
      <c r="G40" s="3">
        <v>271.36</v>
      </c>
      <c r="H40" s="3">
        <v>274.61</v>
      </c>
      <c r="I40" s="3">
        <v>285.08999999999997</v>
      </c>
      <c r="J40" s="3">
        <v>459.29</v>
      </c>
      <c r="K40" s="3">
        <v>327.02</v>
      </c>
      <c r="L40" s="3">
        <v>362.45</v>
      </c>
      <c r="M40" s="3">
        <v>258.64999999999998</v>
      </c>
      <c r="N40" s="3"/>
      <c r="O40" s="3"/>
      <c r="P40" s="10"/>
      <c r="Q40" s="3">
        <f>SUM(OSRRefD21_0_6x)+IFERROR(SUM(OSRRefE21_0_6x),0)</f>
        <v>3215.36</v>
      </c>
    </row>
    <row r="41" spans="1:17" s="42" customFormat="1" ht="15" hidden="1" customHeight="1" outlineLevel="1" x14ac:dyDescent="0.3">
      <c r="A41" s="34"/>
      <c r="B41" s="11" t="str">
        <f>CONCATENATE("          ","6118"," - ","VACATION")</f>
        <v xml:space="preserve">          6118 - VACATION</v>
      </c>
      <c r="C41" s="15"/>
      <c r="D41" s="3">
        <v>1357.34</v>
      </c>
      <c r="E41" s="3">
        <v>1307.55</v>
      </c>
      <c r="F41" s="3">
        <v>1143.8800000000001</v>
      </c>
      <c r="G41" s="3">
        <v>2292.4699999999998</v>
      </c>
      <c r="H41" s="3">
        <v>1600</v>
      </c>
      <c r="I41" s="3">
        <v>1532.44</v>
      </c>
      <c r="J41" s="3">
        <v>2447.1999999999998</v>
      </c>
      <c r="K41" s="3">
        <v>3634.12</v>
      </c>
      <c r="L41" s="3">
        <v>1691.08</v>
      </c>
      <c r="M41" s="3">
        <v>2277.9</v>
      </c>
      <c r="N41" s="3">
        <v>1689.1935418999999</v>
      </c>
      <c r="O41" s="3">
        <v>1689.1935418999999</v>
      </c>
      <c r="P41" s="10"/>
      <c r="Q41" s="3">
        <f>SUM(OSRRefD21_0_7x)+IFERROR(SUM(OSRRefE21_0_7x),0)</f>
        <v>22662.367083800003</v>
      </c>
    </row>
    <row r="42" spans="1:17" s="42" customFormat="1" ht="15" hidden="1" customHeight="1" outlineLevel="1" x14ac:dyDescent="0.3">
      <c r="A42" s="34"/>
      <c r="B42" s="11" t="str">
        <f>CONCATENATE("          ","6119"," - ","SICK LEAVE")</f>
        <v xml:space="preserve">          6119 - SICK LEAVE</v>
      </c>
      <c r="C42" s="15"/>
      <c r="D42" s="3">
        <v>1071.9000000000001</v>
      </c>
      <c r="E42" s="3">
        <v>1071.9000000000001</v>
      </c>
      <c r="F42" s="3">
        <v>1071.9000000000001</v>
      </c>
      <c r="G42" s="3">
        <v>1607.84</v>
      </c>
      <c r="H42" s="3">
        <v>1114.74</v>
      </c>
      <c r="I42" s="3">
        <v>1114.74</v>
      </c>
      <c r="J42" s="3">
        <v>3712.89</v>
      </c>
      <c r="K42" s="3">
        <v>-27254.15</v>
      </c>
      <c r="L42" s="3">
        <v>1158.1500000000001</v>
      </c>
      <c r="M42" s="3">
        <v>1427.27</v>
      </c>
      <c r="N42" s="3">
        <v>1300.18132641538</v>
      </c>
      <c r="O42" s="3">
        <v>1314.7460264153799</v>
      </c>
      <c r="P42" s="10"/>
      <c r="Q42" s="3">
        <f>SUM(OSRRefD21_0_8x)+IFERROR(SUM(OSRRefE21_0_8x),0)</f>
        <v>-11287.892647169241</v>
      </c>
    </row>
    <row r="43" spans="1:17" s="42" customFormat="1" ht="15" hidden="1" customHeight="1" outlineLevel="1" x14ac:dyDescent="0.3">
      <c r="A43" s="34"/>
      <c r="B43" s="11" t="str">
        <f>CONCATENATE("          ","6156"," - ","EMPLOYEE MEALS")</f>
        <v xml:space="preserve">          6156 - EMPLOYEE MEALS</v>
      </c>
      <c r="C43" s="15"/>
      <c r="D43" s="3">
        <v>358.43</v>
      </c>
      <c r="E43" s="3">
        <v>460.77</v>
      </c>
      <c r="F43" s="3">
        <v>750.7</v>
      </c>
      <c r="G43" s="3">
        <v>1268.8599999999999</v>
      </c>
      <c r="H43" s="3">
        <v>972.15</v>
      </c>
      <c r="I43" s="3">
        <v>930.8</v>
      </c>
      <c r="J43" s="3">
        <v>1037.3900000000001</v>
      </c>
      <c r="K43" s="3">
        <v>1099.07</v>
      </c>
      <c r="L43" s="3">
        <v>1083.5899999999999</v>
      </c>
      <c r="M43" s="3">
        <v>1071.68</v>
      </c>
      <c r="N43" s="3">
        <v>1050</v>
      </c>
      <c r="O43" s="3">
        <v>1050</v>
      </c>
      <c r="P43" s="10"/>
      <c r="Q43" s="3">
        <f>SUM(OSRRefD21_0_9x)+IFERROR(SUM(OSRRefE21_0_9x),0)</f>
        <v>11133.44</v>
      </c>
    </row>
    <row r="44" spans="1:17" s="42" customFormat="1" ht="15" customHeight="1" collapsed="1" x14ac:dyDescent="0.3">
      <c r="A44" s="34"/>
      <c r="B44" s="15" t="str">
        <f>CONCATENATE("     ","*Payroll                                          ")</f>
        <v xml:space="preserve">     *Payroll                                          </v>
      </c>
      <c r="C44" s="15"/>
      <c r="D44" s="2">
        <f>SUM(OSRRefD21_1x_0)</f>
        <v>32421.75</v>
      </c>
      <c r="E44" s="2">
        <f>SUM(OSRRefD21_1x_1)</f>
        <v>37759.429999999993</v>
      </c>
      <c r="F44" s="2">
        <f>SUM(OSRRefD21_1x_2)</f>
        <v>29190.14</v>
      </c>
      <c r="G44" s="2">
        <f>SUM(OSRRefD21_1x_3)</f>
        <v>25944.329999999998</v>
      </c>
      <c r="H44" s="2">
        <f>SUM(OSRRefD21_1x_4)</f>
        <v>23870.59</v>
      </c>
      <c r="I44" s="2">
        <f>SUM(OSRRefD21_1x_5)</f>
        <v>25995.670000000002</v>
      </c>
      <c r="J44" s="2">
        <f>SUM(OSRRefD21_1x_6)</f>
        <v>32963.040000000001</v>
      </c>
      <c r="K44" s="2">
        <f>SUM(OSRRefD21_1x_7)</f>
        <v>39884.450000000004</v>
      </c>
      <c r="L44" s="2">
        <f>SUM(OSRRefD21_1x_8)</f>
        <v>21854.46</v>
      </c>
      <c r="M44" s="2">
        <f>SUM(OSRRefD21_1x_9)</f>
        <v>25386.38</v>
      </c>
      <c r="N44" s="2">
        <f>SUM(OSRRefE21_1x_0)</f>
        <v>27134.888545253802</v>
      </c>
      <c r="O44" s="2">
        <f>SUM(OSRRefE21_1x_1)</f>
        <v>27620.378545253803</v>
      </c>
      <c r="Q44" s="3">
        <f>SUM(OSRRefD20_1x)+IFERROR(SUM(OSRRefE20_1x),0)</f>
        <v>350025.50709050766</v>
      </c>
    </row>
    <row r="45" spans="1:17" s="42" customFormat="1" ht="15" hidden="1" customHeight="1" outlineLevel="1" x14ac:dyDescent="0.3">
      <c r="A45" s="34"/>
      <c r="B45" s="11" t="str">
        <f>CONCATENATE("          ","6001"," - ","ADMINISTRATIVE SALARIES")</f>
        <v xml:space="preserve">          6001 - ADMINISTRATIVE SALARIES</v>
      </c>
      <c r="C45" s="15"/>
      <c r="D45" s="3"/>
      <c r="E45" s="3"/>
      <c r="F45" s="3"/>
      <c r="G45" s="3"/>
      <c r="H45" s="3"/>
      <c r="I45" s="3"/>
      <c r="J45" s="3"/>
      <c r="K45" s="3"/>
      <c r="L45" s="3"/>
      <c r="M45" s="3"/>
      <c r="N45" s="3">
        <v>0</v>
      </c>
      <c r="O45" s="3">
        <v>0</v>
      </c>
      <c r="P45" s="10"/>
      <c r="Q45" s="3">
        <f>SUM(OSRRefD21_1_0x)+IFERROR(SUM(OSRRefE21_1_0x),0)</f>
        <v>0</v>
      </c>
    </row>
    <row r="46" spans="1:17" s="42" customFormat="1" ht="15" hidden="1" customHeight="1" outlineLevel="1" x14ac:dyDescent="0.3">
      <c r="A46" s="34"/>
      <c r="B46" s="11" t="str">
        <f>CONCATENATE("          ","6002"," - ","STAFF SALARIES")</f>
        <v xml:space="preserve">          6002 - STAFF SALARIES</v>
      </c>
      <c r="C46" s="15"/>
      <c r="D46" s="3">
        <v>19061.23</v>
      </c>
      <c r="E46" s="3">
        <v>17688.78</v>
      </c>
      <c r="F46" s="3">
        <v>16350.77</v>
      </c>
      <c r="G46" s="3">
        <v>16567.12</v>
      </c>
      <c r="H46" s="3">
        <v>15611.26</v>
      </c>
      <c r="I46" s="3">
        <v>16929.34</v>
      </c>
      <c r="J46" s="3">
        <v>20995.06</v>
      </c>
      <c r="K46" s="3">
        <v>31965.37</v>
      </c>
      <c r="L46" s="3">
        <v>14828.41</v>
      </c>
      <c r="M46" s="3">
        <v>19061.86</v>
      </c>
      <c r="N46" s="3">
        <v>17293.700777253802</v>
      </c>
      <c r="O46" s="3">
        <v>17293.700777253802</v>
      </c>
      <c r="P46" s="10"/>
      <c r="Q46" s="3">
        <f>SUM(OSRRefD21_1_1x)+IFERROR(SUM(OSRRefE21_1_1x),0)</f>
        <v>223646.60155450762</v>
      </c>
    </row>
    <row r="47" spans="1:17" s="42" customFormat="1" ht="15" hidden="1" customHeight="1" outlineLevel="1" x14ac:dyDescent="0.3">
      <c r="A47" s="34"/>
      <c r="B47" s="11" t="str">
        <f>CONCATENATE("          ","6003"," - ","STAFF HOURLY-9 MONTH")</f>
        <v xml:space="preserve">          6003 - STAFF HOURLY-9 MONTH</v>
      </c>
      <c r="C47" s="15"/>
      <c r="D47" s="3"/>
      <c r="E47" s="3"/>
      <c r="F47" s="3"/>
      <c r="G47" s="3"/>
      <c r="H47" s="3"/>
      <c r="I47" s="3"/>
      <c r="J47" s="3"/>
      <c r="K47" s="3"/>
      <c r="L47" s="3"/>
      <c r="M47" s="3"/>
      <c r="N47" s="3">
        <v>0</v>
      </c>
      <c r="O47" s="3">
        <v>0</v>
      </c>
      <c r="P47" s="10"/>
      <c r="Q47" s="3">
        <f>SUM(OSRRefD21_1_2x)+IFERROR(SUM(OSRRefE21_1_2x),0)</f>
        <v>0</v>
      </c>
    </row>
    <row r="48" spans="1:17" s="42" customFormat="1" ht="15" hidden="1" customHeight="1" outlineLevel="1" x14ac:dyDescent="0.3">
      <c r="A48" s="34"/>
      <c r="B48" s="11" t="str">
        <f>CONCATENATE("          ","6004"," - ","STAFF HOURLY")</f>
        <v xml:space="preserve">          6004 - STAFF HOURLY</v>
      </c>
      <c r="C48" s="15"/>
      <c r="D48" s="3">
        <v>6184.05</v>
      </c>
      <c r="E48" s="3">
        <v>6640.82</v>
      </c>
      <c r="F48" s="3">
        <v>4924.04</v>
      </c>
      <c r="G48" s="3">
        <v>7047.55</v>
      </c>
      <c r="H48" s="3">
        <v>4911.74</v>
      </c>
      <c r="I48" s="3">
        <v>5854.93</v>
      </c>
      <c r="J48" s="3">
        <v>6871.75</v>
      </c>
      <c r="K48" s="3">
        <v>8190.43</v>
      </c>
      <c r="L48" s="3">
        <v>4726.37</v>
      </c>
      <c r="M48" s="3">
        <v>6483.84</v>
      </c>
      <c r="N48" s="3">
        <v>5928.5827680000002</v>
      </c>
      <c r="O48" s="3">
        <v>5928.5827680000002</v>
      </c>
      <c r="P48" s="10"/>
      <c r="Q48" s="3">
        <f>SUM(OSRRefD21_1_3x)+IFERROR(SUM(OSRRefE21_1_3x),0)</f>
        <v>73692.685536000005</v>
      </c>
    </row>
    <row r="49" spans="1:17" s="42" customFormat="1" ht="15" hidden="1" customHeight="1" outlineLevel="1" x14ac:dyDescent="0.3">
      <c r="A49" s="34"/>
      <c r="B49" s="11" t="str">
        <f>CONCATENATE("          ","6005"," - ","TEMPORARY WAGES-HOURLY")</f>
        <v xml:space="preserve">          6005 - TEMPORARY WAGES-HOURLY</v>
      </c>
      <c r="C49" s="15"/>
      <c r="D49" s="3">
        <v>3877.79</v>
      </c>
      <c r="E49" s="3">
        <v>3203.48</v>
      </c>
      <c r="F49" s="3">
        <v>1055.96</v>
      </c>
      <c r="G49" s="3">
        <v>2403.63</v>
      </c>
      <c r="H49" s="3">
        <v>2066.79</v>
      </c>
      <c r="I49" s="3">
        <v>2090.66</v>
      </c>
      <c r="J49" s="3"/>
      <c r="K49" s="3"/>
      <c r="L49" s="3"/>
      <c r="M49" s="3"/>
      <c r="N49" s="3">
        <v>2252.5</v>
      </c>
      <c r="O49" s="3">
        <v>2396.66</v>
      </c>
      <c r="P49" s="10"/>
      <c r="Q49" s="3">
        <f>SUM(OSRRefD21_1_4x)+IFERROR(SUM(OSRRefE21_1_4x),0)</f>
        <v>19347.47</v>
      </c>
    </row>
    <row r="50" spans="1:17" s="42" customFormat="1" ht="15" hidden="1" customHeight="1" outlineLevel="1" x14ac:dyDescent="0.3">
      <c r="A50" s="34"/>
      <c r="B50" s="11" t="str">
        <f>CONCATENATE("          ","6006"," - ","TEMPORARY PART TIME")</f>
        <v xml:space="preserve">          6006 - TEMPORARY PART TIME</v>
      </c>
      <c r="C50" s="15"/>
      <c r="D50" s="3"/>
      <c r="E50" s="3"/>
      <c r="F50" s="3"/>
      <c r="G50" s="3"/>
      <c r="H50" s="3"/>
      <c r="I50" s="3"/>
      <c r="J50" s="3"/>
      <c r="K50" s="3"/>
      <c r="L50" s="3"/>
      <c r="M50" s="3"/>
      <c r="N50" s="3">
        <v>0</v>
      </c>
      <c r="O50" s="3">
        <v>0</v>
      </c>
      <c r="P50" s="10"/>
      <c r="Q50" s="3">
        <f>SUM(OSRRefD21_1_5x)+IFERROR(SUM(OSRRefE21_1_5x),0)</f>
        <v>0</v>
      </c>
    </row>
    <row r="51" spans="1:17" s="42" customFormat="1" ht="15" hidden="1" customHeight="1" outlineLevel="1" x14ac:dyDescent="0.3">
      <c r="A51" s="34"/>
      <c r="B51" s="11" t="str">
        <f>CONCATENATE("          ","6007"," - ","STUDENT HOURLY")</f>
        <v xml:space="preserve">          6007 - STUDENT HOURLY</v>
      </c>
      <c r="C51" s="15"/>
      <c r="D51" s="3">
        <v>3298.68</v>
      </c>
      <c r="E51" s="3">
        <v>8687.33</v>
      </c>
      <c r="F51" s="3">
        <v>4598.51</v>
      </c>
      <c r="G51" s="3">
        <v>-240.57</v>
      </c>
      <c r="H51" s="3">
        <v>1280.8</v>
      </c>
      <c r="I51" s="3">
        <v>1120.74</v>
      </c>
      <c r="J51" s="3">
        <v>5096.2299999999996</v>
      </c>
      <c r="K51" s="3">
        <v>-271.35000000000002</v>
      </c>
      <c r="L51" s="3">
        <v>2299.6799999999998</v>
      </c>
      <c r="M51" s="3">
        <v>-159.32</v>
      </c>
      <c r="N51" s="3">
        <v>0</v>
      </c>
      <c r="O51" s="3">
        <v>2001.4349999999999</v>
      </c>
      <c r="P51" s="10"/>
      <c r="Q51" s="3">
        <f>SUM(OSRRefD21_1_6x)+IFERROR(SUM(OSRRefE21_1_6x),0)</f>
        <v>27712.165000000005</v>
      </c>
    </row>
    <row r="52" spans="1:17" s="42" customFormat="1" ht="15" hidden="1" customHeight="1" outlineLevel="1" x14ac:dyDescent="0.3">
      <c r="A52" s="34"/>
      <c r="B52" s="11" t="str">
        <f>CONCATENATE("          ","6008"," - ","STUDENT HOURLY-FICA EXEMPT")</f>
        <v xml:space="preserve">          6008 - STUDENT HOURLY-FICA EXEMPT</v>
      </c>
      <c r="C52" s="15"/>
      <c r="D52" s="3"/>
      <c r="E52" s="3">
        <v>1539.02</v>
      </c>
      <c r="F52" s="3">
        <v>2260.86</v>
      </c>
      <c r="G52" s="3">
        <v>166.6</v>
      </c>
      <c r="H52" s="3"/>
      <c r="I52" s="3"/>
      <c r="J52" s="3"/>
      <c r="K52" s="3"/>
      <c r="L52" s="3"/>
      <c r="M52" s="3"/>
      <c r="N52" s="3">
        <v>1660.105</v>
      </c>
      <c r="O52" s="3">
        <v>0</v>
      </c>
      <c r="P52" s="10"/>
      <c r="Q52" s="3">
        <f>SUM(OSRRefD21_1_7x)+IFERROR(SUM(OSRRefE21_1_7x),0)</f>
        <v>5626.585</v>
      </c>
    </row>
    <row r="53" spans="1:17" s="42" customFormat="1" ht="15" hidden="1" customHeight="1" outlineLevel="1" x14ac:dyDescent="0.3">
      <c r="A53" s="34"/>
      <c r="B53" s="11" t="str">
        <f>CONCATENATE("          ","6009"," - ","TEMPORARY-SEASONAL")</f>
        <v xml:space="preserve">          6009 - TEMPORARY-SEASONAL</v>
      </c>
      <c r="C53" s="15"/>
      <c r="D53" s="3"/>
      <c r="E53" s="3"/>
      <c r="F53" s="3"/>
      <c r="G53" s="3"/>
      <c r="H53" s="3"/>
      <c r="I53" s="3"/>
      <c r="J53" s="3"/>
      <c r="K53" s="3"/>
      <c r="L53" s="3"/>
      <c r="M53" s="3"/>
      <c r="N53" s="3">
        <v>0</v>
      </c>
      <c r="O53" s="3">
        <v>0</v>
      </c>
      <c r="P53" s="10"/>
      <c r="Q53" s="3">
        <f>SUM(OSRRefD21_1_8x)+IFERROR(SUM(OSRRefE21_1_8x),0)</f>
        <v>0</v>
      </c>
    </row>
    <row r="54" spans="1:17" s="42" customFormat="1" ht="15" hidden="1" customHeight="1" outlineLevel="1" x14ac:dyDescent="0.3">
      <c r="A54" s="34"/>
      <c r="B54" s="11" t="str">
        <f>CONCATENATE("          ","6010"," - ","GRATUITY")</f>
        <v xml:space="preserve">          6010 - GRATUITY</v>
      </c>
      <c r="C54" s="15"/>
      <c r="D54" s="3"/>
      <c r="E54" s="3"/>
      <c r="F54" s="3"/>
      <c r="G54" s="3"/>
      <c r="H54" s="3"/>
      <c r="I54" s="3"/>
      <c r="J54" s="3"/>
      <c r="K54" s="3"/>
      <c r="L54" s="3"/>
      <c r="M54" s="3"/>
      <c r="N54" s="3">
        <v>0</v>
      </c>
      <c r="O54" s="3">
        <v>0</v>
      </c>
      <c r="P54" s="10"/>
      <c r="Q54" s="3">
        <f>SUM(OSRRefD21_1_9x)+IFERROR(SUM(OSRRefE21_1_9x),0)</f>
        <v>0</v>
      </c>
    </row>
    <row r="55" spans="1:17" s="42" customFormat="1" ht="15" customHeight="1" collapsed="1" x14ac:dyDescent="0.3">
      <c r="A55" s="34"/>
      <c r="B55" s="15" t="str">
        <f>CONCATENATE("     ","Advertising/Promo                                 ")</f>
        <v xml:space="preserve">     Advertising/Promo                                 </v>
      </c>
      <c r="C55" s="15"/>
      <c r="D55" s="2">
        <f>SUM(OSRRefD21_2x_0)</f>
        <v>0</v>
      </c>
      <c r="E55" s="2">
        <f>SUM(OSRRefD21_2x_1)</f>
        <v>84.14</v>
      </c>
      <c r="F55" s="2">
        <f>SUM(OSRRefD21_2x_2)</f>
        <v>35.28</v>
      </c>
      <c r="G55" s="2">
        <f>SUM(OSRRefD21_2x_3)</f>
        <v>113.63</v>
      </c>
      <c r="H55" s="2">
        <f>SUM(OSRRefD21_2x_4)</f>
        <v>0.66</v>
      </c>
      <c r="I55" s="2">
        <f>SUM(OSRRefD21_2x_5)</f>
        <v>563.54</v>
      </c>
      <c r="J55" s="2">
        <f>SUM(OSRRefD21_2x_6)</f>
        <v>0</v>
      </c>
      <c r="K55" s="2">
        <f>SUM(OSRRefD21_2x_7)</f>
        <v>40.54</v>
      </c>
      <c r="L55" s="2">
        <f>SUM(OSRRefD21_2x_8)</f>
        <v>0</v>
      </c>
      <c r="M55" s="2">
        <f>SUM(OSRRefD21_2x_9)</f>
        <v>97.81</v>
      </c>
      <c r="N55" s="2">
        <f>SUM(OSRRefE21_2x_0)</f>
        <v>200</v>
      </c>
      <c r="O55" s="2">
        <f>SUM(OSRRefE21_2x_1)</f>
        <v>100</v>
      </c>
      <c r="Q55" s="3">
        <f>SUM(OSRRefD20_2x)+IFERROR(SUM(OSRRefE20_2x),0)</f>
        <v>1235.5999999999999</v>
      </c>
    </row>
    <row r="56" spans="1:17" s="42" customFormat="1" ht="15" hidden="1" customHeight="1" outlineLevel="1" x14ac:dyDescent="0.3">
      <c r="A56" s="34"/>
      <c r="B56" s="11" t="str">
        <f>CONCATENATE("          ","6362"," - ","ADVERTISING EXPENSE")</f>
        <v xml:space="preserve">          6362 - ADVERTISING EXPENSE</v>
      </c>
      <c r="C56" s="15"/>
      <c r="D56" s="3"/>
      <c r="E56" s="3">
        <v>84.14</v>
      </c>
      <c r="F56" s="3">
        <v>35.28</v>
      </c>
      <c r="G56" s="3">
        <v>113.63</v>
      </c>
      <c r="H56" s="3">
        <v>0.66</v>
      </c>
      <c r="I56" s="3">
        <v>563.54</v>
      </c>
      <c r="J56" s="3"/>
      <c r="K56" s="3">
        <v>40.54</v>
      </c>
      <c r="L56" s="3"/>
      <c r="M56" s="3">
        <v>97.81</v>
      </c>
      <c r="N56" s="3">
        <v>200</v>
      </c>
      <c r="O56" s="3">
        <v>100</v>
      </c>
      <c r="P56" s="10"/>
      <c r="Q56" s="3">
        <f>SUM(OSRRefD21_2_0x)+IFERROR(SUM(OSRRefE21_2_0x),0)</f>
        <v>1235.5999999999999</v>
      </c>
    </row>
    <row r="57" spans="1:17" s="42" customFormat="1" ht="15" customHeight="1" collapsed="1" x14ac:dyDescent="0.3">
      <c r="A57" s="34"/>
      <c r="B57" s="15" t="str">
        <f>CONCATENATE("     ","Discounts and Markdowns                           ")</f>
        <v xml:space="preserve">     Discounts and Markdowns                           </v>
      </c>
      <c r="C57" s="15"/>
      <c r="D57" s="2">
        <f>SUM(OSRRefD21_3x_0)</f>
        <v>0</v>
      </c>
      <c r="E57" s="2">
        <f>SUM(OSRRefD21_3x_1)</f>
        <v>0</v>
      </c>
      <c r="F57" s="2">
        <f>SUM(OSRRefD21_3x_2)</f>
        <v>0</v>
      </c>
      <c r="G57" s="2">
        <f>SUM(OSRRefD21_3x_3)</f>
        <v>0</v>
      </c>
      <c r="H57" s="2">
        <f>SUM(OSRRefD21_3x_4)</f>
        <v>0</v>
      </c>
      <c r="I57" s="2">
        <f>SUM(OSRRefD21_3x_5)</f>
        <v>0</v>
      </c>
      <c r="J57" s="2">
        <f>SUM(OSRRefD21_3x_6)</f>
        <v>1.35</v>
      </c>
      <c r="K57" s="2">
        <f>SUM(OSRRefD21_3x_7)</f>
        <v>0</v>
      </c>
      <c r="L57" s="2">
        <f>SUM(OSRRefD21_3x_8)</f>
        <v>0</v>
      </c>
      <c r="M57" s="2">
        <f>SUM(OSRRefD21_3x_9)</f>
        <v>0</v>
      </c>
      <c r="N57" s="2">
        <f>SUM(OSRRefE21_3x_0)</f>
        <v>0</v>
      </c>
      <c r="O57" s="2">
        <f>SUM(OSRRefE21_3x_1)</f>
        <v>0</v>
      </c>
      <c r="Q57" s="3">
        <f>SUM(OSRRefD20_3x)+IFERROR(SUM(OSRRefE20_3x),0)</f>
        <v>1.35</v>
      </c>
    </row>
    <row r="58" spans="1:17" s="42" customFormat="1" ht="15" hidden="1" customHeight="1" outlineLevel="1" x14ac:dyDescent="0.3">
      <c r="A58" s="34"/>
      <c r="B58" s="11" t="str">
        <f>CONCATENATE("          ","6382"," - ","DISCOUNTS/MARK DOWNS")</f>
        <v xml:space="preserve">          6382 - DISCOUNTS/MARK DOWNS</v>
      </c>
      <c r="C58" s="15"/>
      <c r="D58" s="3"/>
      <c r="E58" s="3"/>
      <c r="F58" s="3"/>
      <c r="G58" s="3"/>
      <c r="H58" s="3"/>
      <c r="I58" s="3"/>
      <c r="J58" s="3">
        <v>1.35</v>
      </c>
      <c r="K58" s="3"/>
      <c r="L58" s="3"/>
      <c r="M58" s="3"/>
      <c r="N58" s="3"/>
      <c r="O58" s="3"/>
      <c r="P58" s="10"/>
      <c r="Q58" s="3">
        <f>SUM(OSRRefD21_3_0x)+IFERROR(SUM(OSRRefE21_3_0x),0)</f>
        <v>1.35</v>
      </c>
    </row>
    <row r="59" spans="1:17" s="42" customFormat="1" ht="15" customHeight="1" collapsed="1" x14ac:dyDescent="0.3">
      <c r="A59" s="34"/>
      <c r="B59" s="15" t="str">
        <f>CONCATENATE("     ","Employees' Appreciation                           ")</f>
        <v xml:space="preserve">     Employees' Appreciation                           </v>
      </c>
      <c r="C59" s="15"/>
      <c r="D59" s="2">
        <f>SUM(OSRRefD21_4x_0)</f>
        <v>0</v>
      </c>
      <c r="E59" s="2">
        <f>SUM(OSRRefD21_4x_1)</f>
        <v>0</v>
      </c>
      <c r="F59" s="2">
        <f>SUM(OSRRefD21_4x_2)</f>
        <v>0</v>
      </c>
      <c r="G59" s="2">
        <f>SUM(OSRRefD21_4x_3)</f>
        <v>0</v>
      </c>
      <c r="H59" s="2">
        <f>SUM(OSRRefD21_4x_4)</f>
        <v>0</v>
      </c>
      <c r="I59" s="2">
        <f>SUM(OSRRefD21_4x_5)</f>
        <v>0</v>
      </c>
      <c r="J59" s="2">
        <f>SUM(OSRRefD21_4x_6)</f>
        <v>0</v>
      </c>
      <c r="K59" s="2">
        <f>SUM(OSRRefD21_4x_7)</f>
        <v>0</v>
      </c>
      <c r="L59" s="2">
        <f>SUM(OSRRefD21_4x_8)</f>
        <v>0</v>
      </c>
      <c r="M59" s="2">
        <f>SUM(OSRRefD21_4x_9)</f>
        <v>0</v>
      </c>
      <c r="N59" s="2">
        <f>SUM(OSRRefE21_4x_0)</f>
        <v>50</v>
      </c>
      <c r="O59" s="2">
        <f>SUM(OSRRefE21_4x_1)</f>
        <v>50</v>
      </c>
      <c r="Q59" s="3">
        <f>SUM(OSRRefD20_4x)+IFERROR(SUM(OSRRefE20_4x),0)</f>
        <v>100</v>
      </c>
    </row>
    <row r="60" spans="1:17" s="42" customFormat="1" ht="15" hidden="1" customHeight="1" outlineLevel="1" x14ac:dyDescent="0.3">
      <c r="A60" s="34"/>
      <c r="B60" s="11" t="str">
        <f>CONCATENATE("          ","6277"," - ","EMPLOYEE APPRECIATION")</f>
        <v xml:space="preserve">          6277 - EMPLOYEE APPRECIATION</v>
      </c>
      <c r="C60" s="15"/>
      <c r="D60" s="3"/>
      <c r="E60" s="3"/>
      <c r="F60" s="3"/>
      <c r="G60" s="3"/>
      <c r="H60" s="3"/>
      <c r="I60" s="3"/>
      <c r="J60" s="3"/>
      <c r="K60" s="3"/>
      <c r="L60" s="3"/>
      <c r="M60" s="3"/>
      <c r="N60" s="3">
        <v>50</v>
      </c>
      <c r="O60" s="3">
        <v>50</v>
      </c>
      <c r="P60" s="10"/>
      <c r="Q60" s="3">
        <f>SUM(OSRRefD21_4_0x)+IFERROR(SUM(OSRRefE21_4_0x),0)</f>
        <v>100</v>
      </c>
    </row>
    <row r="61" spans="1:17" s="42" customFormat="1" ht="15" customHeight="1" collapsed="1" x14ac:dyDescent="0.3">
      <c r="A61" s="34"/>
      <c r="B61" s="15" t="str">
        <f>CONCATENATE("     ","Equipment Rental                                  ")</f>
        <v xml:space="preserve">     Equipment Rental                                  </v>
      </c>
      <c r="C61" s="15"/>
      <c r="D61" s="2">
        <f>SUM(OSRRefD21_5x_0)</f>
        <v>91.26</v>
      </c>
      <c r="E61" s="2">
        <f>SUM(OSRRefD21_5x_1)</f>
        <v>91.26</v>
      </c>
      <c r="F61" s="2">
        <f>SUM(OSRRefD21_5x_2)</f>
        <v>91.26</v>
      </c>
      <c r="G61" s="2">
        <f>SUM(OSRRefD21_5x_3)</f>
        <v>91.26</v>
      </c>
      <c r="H61" s="2">
        <f>SUM(OSRRefD21_5x_4)</f>
        <v>91.26</v>
      </c>
      <c r="I61" s="2">
        <f>SUM(OSRRefD21_5x_5)</f>
        <v>91.26</v>
      </c>
      <c r="J61" s="2">
        <f>SUM(OSRRefD21_5x_6)</f>
        <v>91.26</v>
      </c>
      <c r="K61" s="2">
        <f>SUM(OSRRefD21_5x_7)</f>
        <v>91.26</v>
      </c>
      <c r="L61" s="2">
        <f>SUM(OSRRefD21_5x_8)</f>
        <v>91.26</v>
      </c>
      <c r="M61" s="2">
        <f>SUM(OSRRefD21_5x_9)</f>
        <v>91.26</v>
      </c>
      <c r="N61" s="2">
        <f>SUM(OSRRefE21_5x_0)</f>
        <v>100</v>
      </c>
      <c r="O61" s="2">
        <f>SUM(OSRRefE21_5x_1)</f>
        <v>100</v>
      </c>
      <c r="Q61" s="3">
        <f>SUM(OSRRefD20_5x)+IFERROR(SUM(OSRRefE20_5x),0)</f>
        <v>1112.5999999999999</v>
      </c>
    </row>
    <row r="62" spans="1:17" s="42" customFormat="1" ht="15" hidden="1" customHeight="1" outlineLevel="1" x14ac:dyDescent="0.3">
      <c r="A62" s="34"/>
      <c r="B62" s="11" t="str">
        <f>CONCATENATE("          ","6351"," - ","EQUIPMENT RENTAL")</f>
        <v xml:space="preserve">          6351 - EQUIPMENT RENTAL</v>
      </c>
      <c r="C62" s="15"/>
      <c r="D62" s="3">
        <v>91.26</v>
      </c>
      <c r="E62" s="3">
        <v>91.26</v>
      </c>
      <c r="F62" s="3">
        <v>91.26</v>
      </c>
      <c r="G62" s="3">
        <v>91.26</v>
      </c>
      <c r="H62" s="3">
        <v>91.26</v>
      </c>
      <c r="I62" s="3">
        <v>91.26</v>
      </c>
      <c r="J62" s="3">
        <v>91.26</v>
      </c>
      <c r="K62" s="3">
        <v>91.26</v>
      </c>
      <c r="L62" s="3">
        <v>91.26</v>
      </c>
      <c r="M62" s="3">
        <v>91.26</v>
      </c>
      <c r="N62" s="3">
        <v>100</v>
      </c>
      <c r="O62" s="3">
        <v>100</v>
      </c>
      <c r="P62" s="10"/>
      <c r="Q62" s="3">
        <f>SUM(OSRRefD21_5_0x)+IFERROR(SUM(OSRRefE21_5_0x),0)</f>
        <v>1112.5999999999999</v>
      </c>
    </row>
    <row r="63" spans="1:17" s="42" customFormat="1" ht="15" customHeight="1" collapsed="1" x14ac:dyDescent="0.3">
      <c r="A63" s="34"/>
      <c r="B63" s="15" t="str">
        <f>CONCATENATE("     ","Freight out/Postage                               ")</f>
        <v xml:space="preserve">     Freight out/Postage                               </v>
      </c>
      <c r="C63" s="15"/>
      <c r="D63" s="2">
        <f>SUM(OSRRefD21_6x_0)</f>
        <v>132.66999999999999</v>
      </c>
      <c r="E63" s="2">
        <f>SUM(OSRRefD21_6x_1)</f>
        <v>163.30000000000001</v>
      </c>
      <c r="F63" s="2">
        <f>SUM(OSRRefD21_6x_2)</f>
        <v>84.57</v>
      </c>
      <c r="G63" s="2">
        <f>SUM(OSRRefD21_6x_3)</f>
        <v>13.21</v>
      </c>
      <c r="H63" s="2">
        <f>SUM(OSRRefD21_6x_4)</f>
        <v>2119.1</v>
      </c>
      <c r="I63" s="2">
        <f>SUM(OSRRefD21_6x_5)</f>
        <v>1977.93</v>
      </c>
      <c r="J63" s="2">
        <f>SUM(OSRRefD21_6x_6)</f>
        <v>1131.33</v>
      </c>
      <c r="K63" s="2">
        <f>SUM(OSRRefD21_6x_7)</f>
        <v>1.06</v>
      </c>
      <c r="L63" s="2">
        <f>SUM(OSRRefD21_6x_8)</f>
        <v>0</v>
      </c>
      <c r="M63" s="2">
        <f>SUM(OSRRefD21_6x_9)</f>
        <v>6768.61</v>
      </c>
      <c r="N63" s="2">
        <f>SUM(OSRRefE21_6x_0)</f>
        <v>1000</v>
      </c>
      <c r="O63" s="2">
        <f>SUM(OSRRefE21_6x_1)</f>
        <v>500</v>
      </c>
      <c r="Q63" s="3">
        <f>SUM(OSRRefD20_6x)+IFERROR(SUM(OSRRefE20_6x),0)</f>
        <v>13891.779999999999</v>
      </c>
    </row>
    <row r="64" spans="1:17" s="42" customFormat="1" ht="15" hidden="1" customHeight="1" outlineLevel="1" x14ac:dyDescent="0.3">
      <c r="A64" s="34"/>
      <c r="B64" s="11" t="str">
        <f>CONCATENATE("          ","6305"," - ","FREIGHT OUT")</f>
        <v xml:space="preserve">          6305 - FREIGHT OUT</v>
      </c>
      <c r="C64" s="15"/>
      <c r="D64" s="3">
        <v>132.66999999999999</v>
      </c>
      <c r="E64" s="3">
        <v>163.30000000000001</v>
      </c>
      <c r="F64" s="3">
        <v>84.57</v>
      </c>
      <c r="G64" s="3">
        <v>13.21</v>
      </c>
      <c r="H64" s="3">
        <v>2119.1</v>
      </c>
      <c r="I64" s="3">
        <v>1977.93</v>
      </c>
      <c r="J64" s="3">
        <v>1130.8</v>
      </c>
      <c r="K64" s="3"/>
      <c r="L64" s="3">
        <v>0</v>
      </c>
      <c r="M64" s="3">
        <v>6768.61</v>
      </c>
      <c r="N64" s="3">
        <v>1000</v>
      </c>
      <c r="O64" s="3">
        <v>500</v>
      </c>
      <c r="P64" s="10"/>
      <c r="Q64" s="3">
        <f>SUM(OSRRefD21_6_0x)+IFERROR(SUM(OSRRefE21_6_0x),0)</f>
        <v>13890.189999999999</v>
      </c>
    </row>
    <row r="65" spans="1:17" s="42" customFormat="1" ht="15" hidden="1" customHeight="1" outlineLevel="1" x14ac:dyDescent="0.3">
      <c r="A65" s="34"/>
      <c r="B65" s="11" t="str">
        <f>CONCATENATE("          ","6307"," - ","POSTAGE")</f>
        <v xml:space="preserve">          6307 - POSTAGE</v>
      </c>
      <c r="C65" s="15"/>
      <c r="D65" s="3"/>
      <c r="E65" s="3"/>
      <c r="F65" s="3"/>
      <c r="G65" s="3"/>
      <c r="H65" s="3"/>
      <c r="I65" s="3"/>
      <c r="J65" s="3">
        <v>0.53</v>
      </c>
      <c r="K65" s="3">
        <v>1.06</v>
      </c>
      <c r="L65" s="3"/>
      <c r="M65" s="3"/>
      <c r="N65" s="3"/>
      <c r="O65" s="3"/>
      <c r="P65" s="10"/>
      <c r="Q65" s="3">
        <f>SUM(OSRRefD21_6_1x)+IFERROR(SUM(OSRRefE21_6_1x),0)</f>
        <v>1.59</v>
      </c>
    </row>
    <row r="66" spans="1:17" s="42" customFormat="1" ht="15" customHeight="1" collapsed="1" x14ac:dyDescent="0.3">
      <c r="A66" s="34"/>
      <c r="B66" s="15" t="str">
        <f>CONCATENATE("     ","General                                           ")</f>
        <v xml:space="preserve">     General                                           </v>
      </c>
      <c r="C66" s="15"/>
      <c r="D66" s="2">
        <f>SUM(OSRRefD21_7x_0)</f>
        <v>0</v>
      </c>
      <c r="E66" s="2">
        <f>SUM(OSRRefD21_7x_1)</f>
        <v>0</v>
      </c>
      <c r="F66" s="2">
        <f>SUM(OSRRefD21_7x_2)</f>
        <v>0</v>
      </c>
      <c r="G66" s="2">
        <f>SUM(OSRRefD21_7x_3)</f>
        <v>0</v>
      </c>
      <c r="H66" s="2">
        <f>SUM(OSRRefD21_7x_4)</f>
        <v>0</v>
      </c>
      <c r="I66" s="2">
        <f>SUM(OSRRefD21_7x_5)</f>
        <v>0</v>
      </c>
      <c r="J66" s="2">
        <f>SUM(OSRRefD21_7x_6)</f>
        <v>0</v>
      </c>
      <c r="K66" s="2">
        <f>SUM(OSRRefD21_7x_7)</f>
        <v>0</v>
      </c>
      <c r="L66" s="2">
        <f>SUM(OSRRefD21_7x_8)</f>
        <v>0</v>
      </c>
      <c r="M66" s="2">
        <f>SUM(OSRRefD21_7x_9)</f>
        <v>0</v>
      </c>
      <c r="N66" s="2">
        <f>SUM(OSRRefE21_7x_0)</f>
        <v>750</v>
      </c>
      <c r="O66" s="2">
        <f>SUM(OSRRefE21_7x_1)</f>
        <v>0</v>
      </c>
      <c r="Q66" s="3">
        <f>SUM(OSRRefD20_7x)+IFERROR(SUM(OSRRefE20_7x),0)</f>
        <v>750</v>
      </c>
    </row>
    <row r="67" spans="1:17" s="42" customFormat="1" ht="15" hidden="1" customHeight="1" outlineLevel="1" x14ac:dyDescent="0.3">
      <c r="A67" s="34"/>
      <c r="B67" s="11" t="str">
        <f>CONCATENATE("          ","6279"," - ","GENERAL EXPENSE")</f>
        <v xml:space="preserve">          6279 - GENERAL EXPENSE</v>
      </c>
      <c r="C67" s="15"/>
      <c r="D67" s="3"/>
      <c r="E67" s="3"/>
      <c r="F67" s="3"/>
      <c r="G67" s="3"/>
      <c r="H67" s="3"/>
      <c r="I67" s="3"/>
      <c r="J67" s="3"/>
      <c r="K67" s="3"/>
      <c r="L67" s="3"/>
      <c r="M67" s="3"/>
      <c r="N67" s="3">
        <v>750</v>
      </c>
      <c r="O67" s="3">
        <v>0</v>
      </c>
      <c r="P67" s="10"/>
      <c r="Q67" s="3">
        <f>SUM(OSRRefD21_7_0x)+IFERROR(SUM(OSRRefE21_7_0x),0)</f>
        <v>750</v>
      </c>
    </row>
    <row r="68" spans="1:17" s="42" customFormat="1" ht="15" customHeight="1" collapsed="1" x14ac:dyDescent="0.3">
      <c r="A68" s="34"/>
      <c r="B68" s="15" t="str">
        <f>CONCATENATE("     ","Inventory Adjustment                              ")</f>
        <v xml:space="preserve">     Inventory Adjustment                              </v>
      </c>
      <c r="C68" s="15"/>
      <c r="D68" s="2">
        <f>SUM(OSRRefD21_8x_0)</f>
        <v>1000</v>
      </c>
      <c r="E68" s="2">
        <f>SUM(OSRRefD21_8x_1)</f>
        <v>1000</v>
      </c>
      <c r="F68" s="2">
        <f>SUM(OSRRefD21_8x_2)</f>
        <v>1000</v>
      </c>
      <c r="G68" s="2">
        <f>SUM(OSRRefD21_8x_3)</f>
        <v>1000</v>
      </c>
      <c r="H68" s="2">
        <f>SUM(OSRRefD21_8x_4)</f>
        <v>1000</v>
      </c>
      <c r="I68" s="2">
        <f>SUM(OSRRefD21_8x_5)</f>
        <v>5000</v>
      </c>
      <c r="J68" s="2">
        <f>SUM(OSRRefD21_8x_6)</f>
        <v>1000</v>
      </c>
      <c r="K68" s="2">
        <f>SUM(OSRRefD21_8x_7)</f>
        <v>1000</v>
      </c>
      <c r="L68" s="2">
        <f>SUM(OSRRefD21_8x_8)</f>
        <v>1000</v>
      </c>
      <c r="M68" s="2">
        <f>SUM(OSRRefD21_8x_9)</f>
        <v>1000</v>
      </c>
      <c r="N68" s="2">
        <f>SUM(OSRRefE21_8x_0)</f>
        <v>1000</v>
      </c>
      <c r="O68" s="2">
        <f>SUM(OSRRefE21_8x_1)</f>
        <v>15000</v>
      </c>
      <c r="Q68" s="3">
        <f>SUM(OSRRefD20_8x)+IFERROR(SUM(OSRRefE20_8x),0)</f>
        <v>30000</v>
      </c>
    </row>
    <row r="69" spans="1:17" s="42" customFormat="1" ht="15" hidden="1" customHeight="1" outlineLevel="1" x14ac:dyDescent="0.3">
      <c r="A69" s="34"/>
      <c r="B69" s="11" t="str">
        <f>CONCATENATE("          ","6408"," - ","INVENTORY ADJUSTMENT")</f>
        <v xml:space="preserve">          6408 - INVENTORY ADJUSTMENT</v>
      </c>
      <c r="C69" s="15"/>
      <c r="D69" s="3">
        <v>1000</v>
      </c>
      <c r="E69" s="3">
        <v>1000</v>
      </c>
      <c r="F69" s="3">
        <v>1000</v>
      </c>
      <c r="G69" s="3">
        <v>1000</v>
      </c>
      <c r="H69" s="3">
        <v>1000</v>
      </c>
      <c r="I69" s="3">
        <v>5000</v>
      </c>
      <c r="J69" s="3">
        <v>1000</v>
      </c>
      <c r="K69" s="3">
        <v>1000</v>
      </c>
      <c r="L69" s="3">
        <v>1000</v>
      </c>
      <c r="M69" s="3">
        <v>1000</v>
      </c>
      <c r="N69" s="3">
        <v>1000</v>
      </c>
      <c r="O69" s="3">
        <v>15000</v>
      </c>
      <c r="P69" s="10"/>
      <c r="Q69" s="3">
        <f>SUM(OSRRefD21_8_0x)+IFERROR(SUM(OSRRefE21_8_0x),0)</f>
        <v>30000</v>
      </c>
    </row>
    <row r="70" spans="1:17" s="42" customFormat="1" ht="15" customHeight="1" collapsed="1" x14ac:dyDescent="0.3">
      <c r="A70" s="34"/>
      <c r="B70" s="15" t="str">
        <f>CONCATENATE("     ","Repair and Maintenance                            ")</f>
        <v xml:space="preserve">     Repair and Maintenance                            </v>
      </c>
      <c r="C70" s="15"/>
      <c r="D70" s="2">
        <f>SUM(OSRRefD21_9x_0)</f>
        <v>2900.53</v>
      </c>
      <c r="E70" s="2">
        <f>SUM(OSRRefD21_9x_1)</f>
        <v>0</v>
      </c>
      <c r="F70" s="2">
        <f>SUM(OSRRefD21_9x_2)</f>
        <v>0</v>
      </c>
      <c r="G70" s="2">
        <f>SUM(OSRRefD21_9x_3)</f>
        <v>2932.91</v>
      </c>
      <c r="H70" s="2">
        <f>SUM(OSRRefD21_9x_4)</f>
        <v>21</v>
      </c>
      <c r="I70" s="2">
        <f>SUM(OSRRefD21_9x_5)</f>
        <v>14.62</v>
      </c>
      <c r="J70" s="2">
        <f>SUM(OSRRefD21_9x_6)</f>
        <v>9.94</v>
      </c>
      <c r="K70" s="2">
        <f>SUM(OSRRefD21_9x_7)</f>
        <v>16.850000000000001</v>
      </c>
      <c r="L70" s="2">
        <f>SUM(OSRRefD21_9x_8)</f>
        <v>149.29999999999998</v>
      </c>
      <c r="M70" s="2">
        <f>SUM(OSRRefD21_9x_9)</f>
        <v>17.25</v>
      </c>
      <c r="N70" s="2">
        <f>SUM(OSRRefE21_9x_0)</f>
        <v>80</v>
      </c>
      <c r="O70" s="2">
        <f>SUM(OSRRefE21_9x_1)</f>
        <v>80</v>
      </c>
      <c r="Q70" s="3">
        <f>SUM(OSRRefD20_9x)+IFERROR(SUM(OSRRefE20_9x),0)</f>
        <v>6222.4000000000005</v>
      </c>
    </row>
    <row r="71" spans="1:17" s="42" customFormat="1" ht="15" hidden="1" customHeight="1" outlineLevel="1" x14ac:dyDescent="0.3">
      <c r="A71" s="34"/>
      <c r="B71" s="11" t="str">
        <f>CONCATENATE("          ","6371"," - ","COMPUTER SOFTWARE MAINTENANCE")</f>
        <v xml:space="preserve">          6371 - COMPUTER SOFTWARE MAINTENANCE</v>
      </c>
      <c r="C71" s="15"/>
      <c r="D71" s="3">
        <v>2887.5</v>
      </c>
      <c r="E71" s="3">
        <v>0</v>
      </c>
      <c r="F71" s="3"/>
      <c r="G71" s="3">
        <v>2887.5</v>
      </c>
      <c r="H71" s="3"/>
      <c r="I71" s="3"/>
      <c r="J71" s="3"/>
      <c r="K71" s="3"/>
      <c r="L71" s="3"/>
      <c r="M71" s="3"/>
      <c r="N71" s="3">
        <v>0</v>
      </c>
      <c r="O71" s="3"/>
      <c r="P71" s="10"/>
      <c r="Q71" s="3">
        <f>SUM(OSRRefD21_9_0x)+IFERROR(SUM(OSRRefE21_9_0x),0)</f>
        <v>5775</v>
      </c>
    </row>
    <row r="72" spans="1:17" s="42" customFormat="1" ht="15" hidden="1" customHeight="1" outlineLevel="1" x14ac:dyDescent="0.3">
      <c r="A72" s="34"/>
      <c r="B72" s="11" t="str">
        <f>CONCATENATE("          ","6373"," - ","MAINTENANCE CONTRACTS")</f>
        <v xml:space="preserve">          6373 - MAINTENANCE CONTRACTS</v>
      </c>
      <c r="C72" s="15"/>
      <c r="D72" s="3">
        <v>13.03</v>
      </c>
      <c r="E72" s="3"/>
      <c r="F72" s="3"/>
      <c r="G72" s="3">
        <v>45.41</v>
      </c>
      <c r="H72" s="3">
        <v>21</v>
      </c>
      <c r="I72" s="3">
        <v>14.62</v>
      </c>
      <c r="J72" s="3">
        <v>9.94</v>
      </c>
      <c r="K72" s="3">
        <v>16.850000000000001</v>
      </c>
      <c r="L72" s="3">
        <v>11.88</v>
      </c>
      <c r="M72" s="3">
        <v>17.25</v>
      </c>
      <c r="N72" s="3">
        <v>40</v>
      </c>
      <c r="O72" s="3">
        <v>40</v>
      </c>
      <c r="P72" s="10"/>
      <c r="Q72" s="3">
        <f>SUM(OSRRefD21_9_1x)+IFERROR(SUM(OSRRefE21_9_1x),0)</f>
        <v>229.98</v>
      </c>
    </row>
    <row r="73" spans="1:17" s="42" customFormat="1" ht="15" hidden="1" customHeight="1" outlineLevel="1" x14ac:dyDescent="0.3">
      <c r="A73" s="34"/>
      <c r="B73" s="11" t="str">
        <f>CONCATENATE("          ","6375"," - ","OUTSIDE REPAIRS &amp; MAINTENANCE")</f>
        <v xml:space="preserve">          6375 - OUTSIDE REPAIRS &amp; MAINTENANCE</v>
      </c>
      <c r="C73" s="15"/>
      <c r="D73" s="3"/>
      <c r="E73" s="3"/>
      <c r="F73" s="3"/>
      <c r="G73" s="3"/>
      <c r="H73" s="3"/>
      <c r="I73" s="3"/>
      <c r="J73" s="3"/>
      <c r="K73" s="3"/>
      <c r="L73" s="3">
        <v>137.41999999999999</v>
      </c>
      <c r="M73" s="3"/>
      <c r="N73" s="3">
        <v>40</v>
      </c>
      <c r="O73" s="3">
        <v>40</v>
      </c>
      <c r="P73" s="10"/>
      <c r="Q73" s="3">
        <f>SUM(OSRRefD21_9_2x)+IFERROR(SUM(OSRRefE21_9_2x),0)</f>
        <v>217.42</v>
      </c>
    </row>
    <row r="74" spans="1:17" s="42" customFormat="1" ht="15" customHeight="1" collapsed="1" x14ac:dyDescent="0.3">
      <c r="A74" s="34"/>
      <c r="B74" s="15" t="str">
        <f>CONCATENATE("     ","Subscriptions &amp; Dues                              ")</f>
        <v xml:space="preserve">     Subscriptions &amp; Dues                              </v>
      </c>
      <c r="C74" s="15"/>
      <c r="D74" s="2">
        <f>SUM(OSRRefD21_10x_0)</f>
        <v>68.319999999999993</v>
      </c>
      <c r="E74" s="2">
        <f>SUM(OSRRefD21_10x_1)</f>
        <v>57</v>
      </c>
      <c r="F74" s="2">
        <f>SUM(OSRRefD21_10x_2)</f>
        <v>47.44</v>
      </c>
      <c r="G74" s="2">
        <f>SUM(OSRRefD21_10x_3)</f>
        <v>904.08</v>
      </c>
      <c r="H74" s="2">
        <f>SUM(OSRRefD21_10x_4)</f>
        <v>148.66</v>
      </c>
      <c r="I74" s="2">
        <f>SUM(OSRRefD21_10x_5)</f>
        <v>286.24</v>
      </c>
      <c r="J74" s="2">
        <f>SUM(OSRRefD21_10x_6)</f>
        <v>301.99</v>
      </c>
      <c r="K74" s="2">
        <f>SUM(OSRRefD21_10x_7)</f>
        <v>131.72</v>
      </c>
      <c r="L74" s="2">
        <f>SUM(OSRRefD21_10x_8)</f>
        <v>476.65</v>
      </c>
      <c r="M74" s="2">
        <f>SUM(OSRRefD21_10x_9)</f>
        <v>2418.29</v>
      </c>
      <c r="N74" s="2">
        <f>SUM(OSRRefE21_10x_0)</f>
        <v>300</v>
      </c>
      <c r="O74" s="2">
        <f>SUM(OSRRefE21_10x_1)</f>
        <v>300</v>
      </c>
      <c r="Q74" s="3">
        <f>SUM(OSRRefD20_10x)+IFERROR(SUM(OSRRefE20_10x),0)</f>
        <v>5440.39</v>
      </c>
    </row>
    <row r="75" spans="1:17" s="42" customFormat="1" ht="15" hidden="1" customHeight="1" outlineLevel="1" x14ac:dyDescent="0.3">
      <c r="A75" s="34"/>
      <c r="B75" s="11" t="str">
        <f>CONCATENATE("          ","6258"," - ","MEMBERSHIP DUES")</f>
        <v xml:space="preserve">          6258 - MEMBERSHIP DUES</v>
      </c>
      <c r="C75" s="15"/>
      <c r="D75" s="3">
        <v>68.319999999999993</v>
      </c>
      <c r="E75" s="3">
        <v>57</v>
      </c>
      <c r="F75" s="3">
        <v>47.44</v>
      </c>
      <c r="G75" s="3">
        <v>904.08</v>
      </c>
      <c r="H75" s="3">
        <v>148.66</v>
      </c>
      <c r="I75" s="3">
        <v>286.24</v>
      </c>
      <c r="J75" s="3">
        <v>301.99</v>
      </c>
      <c r="K75" s="3">
        <v>131.72</v>
      </c>
      <c r="L75" s="3">
        <v>476.65</v>
      </c>
      <c r="M75" s="3">
        <v>510.65</v>
      </c>
      <c r="N75" s="3">
        <v>300</v>
      </c>
      <c r="O75" s="3">
        <v>300</v>
      </c>
      <c r="P75" s="10"/>
      <c r="Q75" s="3">
        <f>SUM(OSRRefD21_10_0x)+IFERROR(SUM(OSRRefE21_10_0x),0)</f>
        <v>3532.7500000000005</v>
      </c>
    </row>
    <row r="76" spans="1:17" s="42" customFormat="1" ht="15" hidden="1" customHeight="1" outlineLevel="1" x14ac:dyDescent="0.3">
      <c r="A76" s="34"/>
      <c r="B76" s="11" t="str">
        <f>CONCATENATE("          ","6275"," - ","SUBSCRIPTIONS")</f>
        <v xml:space="preserve">          6275 - SUBSCRIPTIONS</v>
      </c>
      <c r="C76" s="15"/>
      <c r="D76" s="3"/>
      <c r="E76" s="3"/>
      <c r="F76" s="3"/>
      <c r="G76" s="3"/>
      <c r="H76" s="3"/>
      <c r="I76" s="3"/>
      <c r="J76" s="3"/>
      <c r="K76" s="3"/>
      <c r="L76" s="3"/>
      <c r="M76" s="3">
        <v>1907.64</v>
      </c>
      <c r="N76" s="3"/>
      <c r="O76" s="3"/>
      <c r="P76" s="10"/>
      <c r="Q76" s="3">
        <f>SUM(OSRRefD21_10_1x)+IFERROR(SUM(OSRRefE21_10_1x),0)</f>
        <v>1907.64</v>
      </c>
    </row>
    <row r="77" spans="1:17" s="42" customFormat="1" ht="15" customHeight="1" collapsed="1" x14ac:dyDescent="0.3">
      <c r="A77" s="34"/>
      <c r="B77" s="15" t="str">
        <f>CONCATENATE("     ","Supplies                                          ")</f>
        <v xml:space="preserve">     Supplies                                          </v>
      </c>
      <c r="C77" s="15"/>
      <c r="D77" s="2">
        <f>SUM(OSRRefD21_11x_0)</f>
        <v>115.74</v>
      </c>
      <c r="E77" s="2">
        <f>SUM(OSRRefD21_11x_1)</f>
        <v>485.61</v>
      </c>
      <c r="F77" s="2">
        <f>SUM(OSRRefD21_11x_2)</f>
        <v>8.5399999999999991</v>
      </c>
      <c r="G77" s="2">
        <f>SUM(OSRRefD21_11x_3)</f>
        <v>127.04</v>
      </c>
      <c r="H77" s="2">
        <f>SUM(OSRRefD21_11x_4)</f>
        <v>207.4</v>
      </c>
      <c r="I77" s="2">
        <f>SUM(OSRRefD21_11x_5)</f>
        <v>131.44</v>
      </c>
      <c r="J77" s="2">
        <f>SUM(OSRRefD21_11x_6)</f>
        <v>45</v>
      </c>
      <c r="K77" s="2">
        <f>SUM(OSRRefD21_11x_7)</f>
        <v>77.47999999999999</v>
      </c>
      <c r="L77" s="2">
        <f>SUM(OSRRefD21_11x_8)</f>
        <v>282.11</v>
      </c>
      <c r="M77" s="2">
        <f>SUM(OSRRefD21_11x_9)</f>
        <v>53.26</v>
      </c>
      <c r="N77" s="2">
        <f>SUM(OSRRefE21_11x_0)</f>
        <v>700</v>
      </c>
      <c r="O77" s="2">
        <f>SUM(OSRRefE21_11x_1)</f>
        <v>600</v>
      </c>
      <c r="Q77" s="3">
        <f>SUM(OSRRefD20_11x)+IFERROR(SUM(OSRRefE20_11x),0)</f>
        <v>2833.62</v>
      </c>
    </row>
    <row r="78" spans="1:17" s="42" customFormat="1" ht="15" hidden="1" customHeight="1" outlineLevel="1" x14ac:dyDescent="0.3">
      <c r="A78" s="34"/>
      <c r="B78" s="11" t="str">
        <f>CONCATENATE("          ","6241"," - ","OFFICE EXPENSE")</f>
        <v xml:space="preserve">          6241 - OFFICE EXPENSE</v>
      </c>
      <c r="C78" s="15"/>
      <c r="D78" s="3">
        <v>115.74</v>
      </c>
      <c r="E78" s="3">
        <v>485.61</v>
      </c>
      <c r="F78" s="3">
        <v>8.5399999999999991</v>
      </c>
      <c r="G78" s="3">
        <v>127.04</v>
      </c>
      <c r="H78" s="3">
        <v>207.4</v>
      </c>
      <c r="I78" s="3">
        <v>131.44</v>
      </c>
      <c r="J78" s="3">
        <v>45</v>
      </c>
      <c r="K78" s="3">
        <v>70.989999999999995</v>
      </c>
      <c r="L78" s="3">
        <v>93.57</v>
      </c>
      <c r="M78" s="3">
        <v>53.26</v>
      </c>
      <c r="N78" s="3">
        <v>300</v>
      </c>
      <c r="O78" s="3">
        <v>200</v>
      </c>
      <c r="P78" s="10"/>
      <c r="Q78" s="3">
        <f>SUM(OSRRefD21_11_0x)+IFERROR(SUM(OSRRefE21_11_0x),0)</f>
        <v>1838.59</v>
      </c>
    </row>
    <row r="79" spans="1:17" s="42" customFormat="1" ht="15" hidden="1" customHeight="1" outlineLevel="1" x14ac:dyDescent="0.3">
      <c r="A79" s="34"/>
      <c r="B79" s="11" t="str">
        <f>CONCATENATE("          ","6247"," - ","STORE SUPPLIES")</f>
        <v xml:space="preserve">          6247 - STORE SUPPLIES</v>
      </c>
      <c r="C79" s="15"/>
      <c r="D79" s="3"/>
      <c r="E79" s="3"/>
      <c r="F79" s="3"/>
      <c r="G79" s="3"/>
      <c r="H79" s="3"/>
      <c r="I79" s="3"/>
      <c r="J79" s="3"/>
      <c r="K79" s="3">
        <v>6.49</v>
      </c>
      <c r="L79" s="3">
        <v>188.54</v>
      </c>
      <c r="M79" s="3"/>
      <c r="N79" s="3">
        <v>400</v>
      </c>
      <c r="O79" s="3">
        <v>400</v>
      </c>
      <c r="P79" s="10"/>
      <c r="Q79" s="3">
        <f>SUM(OSRRefD21_11_1x)+IFERROR(SUM(OSRRefE21_11_1x),0)</f>
        <v>995.03</v>
      </c>
    </row>
    <row r="80" spans="1:17" s="42" customFormat="1" ht="15" customHeight="1" collapsed="1" x14ac:dyDescent="0.3">
      <c r="A80" s="34"/>
      <c r="B80" s="15" t="str">
        <f>CONCATENATE("     ","Telephone/Data Lines                              ")</f>
        <v xml:space="preserve">     Telephone/Data Lines                              </v>
      </c>
      <c r="C80" s="15"/>
      <c r="D80" s="2">
        <f>SUM(OSRRefD21_12x_0)</f>
        <v>607.4</v>
      </c>
      <c r="E80" s="2">
        <f>SUM(OSRRefD21_12x_1)</f>
        <v>820.9</v>
      </c>
      <c r="F80" s="2">
        <f>SUM(OSRRefD21_12x_2)</f>
        <v>414.85</v>
      </c>
      <c r="G80" s="2">
        <f>SUM(OSRRefD21_12x_3)</f>
        <v>611.9</v>
      </c>
      <c r="H80" s="2">
        <f>SUM(OSRRefD21_12x_4)</f>
        <v>562.29999999999995</v>
      </c>
      <c r="I80" s="2">
        <f>SUM(OSRRefD21_12x_5)</f>
        <v>61.5</v>
      </c>
      <c r="J80" s="2">
        <f>SUM(OSRRefD21_12x_6)</f>
        <v>1011.65</v>
      </c>
      <c r="K80" s="2">
        <f>SUM(OSRRefD21_12x_7)</f>
        <v>386.05</v>
      </c>
      <c r="L80" s="2">
        <f>SUM(OSRRefD21_12x_8)</f>
        <v>473.5</v>
      </c>
      <c r="M80" s="2">
        <f>SUM(OSRRefD21_12x_9)</f>
        <v>526.5</v>
      </c>
      <c r="N80" s="2">
        <f>SUM(OSRRefE21_12x_0)</f>
        <v>350</v>
      </c>
      <c r="O80" s="2">
        <f>SUM(OSRRefE21_12x_1)</f>
        <v>350</v>
      </c>
      <c r="Q80" s="3">
        <f>SUM(OSRRefD20_12x)+IFERROR(SUM(OSRRefE20_12x),0)</f>
        <v>6176.55</v>
      </c>
    </row>
    <row r="81" spans="1:17" s="42" customFormat="1" ht="15" hidden="1" customHeight="1" outlineLevel="1" x14ac:dyDescent="0.3">
      <c r="A81" s="34"/>
      <c r="B81" s="11" t="str">
        <f>CONCATENATE("          ","6303"," - ","DATA PHONE LINES")</f>
        <v xml:space="preserve">          6303 - DATA PHONE LINES</v>
      </c>
      <c r="C81" s="15"/>
      <c r="D81" s="3">
        <v>295</v>
      </c>
      <c r="E81" s="3"/>
      <c r="F81" s="3"/>
      <c r="G81" s="3"/>
      <c r="H81" s="3"/>
      <c r="I81" s="3"/>
      <c r="J81" s="3"/>
      <c r="K81" s="3"/>
      <c r="L81" s="3"/>
      <c r="M81" s="3"/>
      <c r="N81" s="3">
        <v>0</v>
      </c>
      <c r="O81" s="3">
        <v>0</v>
      </c>
      <c r="P81" s="10"/>
      <c r="Q81" s="3">
        <f>SUM(OSRRefD21_12_0x)+IFERROR(SUM(OSRRefE21_12_0x),0)</f>
        <v>295</v>
      </c>
    </row>
    <row r="82" spans="1:17" s="42" customFormat="1" ht="15" hidden="1" customHeight="1" outlineLevel="1" x14ac:dyDescent="0.3">
      <c r="A82" s="34"/>
      <c r="B82" s="11" t="str">
        <f>CONCATENATE("          ","6309"," - ","TELEPHONE")</f>
        <v xml:space="preserve">          6309 - TELEPHONE</v>
      </c>
      <c r="C82" s="15"/>
      <c r="D82" s="3">
        <v>312.39999999999998</v>
      </c>
      <c r="E82" s="3">
        <v>820.9</v>
      </c>
      <c r="F82" s="3">
        <v>414.85</v>
      </c>
      <c r="G82" s="3">
        <v>611.9</v>
      </c>
      <c r="H82" s="3">
        <v>562.29999999999995</v>
      </c>
      <c r="I82" s="3">
        <v>61.5</v>
      </c>
      <c r="J82" s="3">
        <v>1011.65</v>
      </c>
      <c r="K82" s="3">
        <v>386.05</v>
      </c>
      <c r="L82" s="3">
        <v>473.5</v>
      </c>
      <c r="M82" s="3">
        <v>526.5</v>
      </c>
      <c r="N82" s="3">
        <v>350</v>
      </c>
      <c r="O82" s="3">
        <v>350</v>
      </c>
      <c r="P82" s="10"/>
      <c r="Q82" s="3">
        <f>SUM(OSRRefD21_12_1x)+IFERROR(SUM(OSRRefE21_12_1x),0)</f>
        <v>5881.55</v>
      </c>
    </row>
    <row r="83" spans="1:17" s="42" customFormat="1" ht="15" customHeight="1" collapsed="1" x14ac:dyDescent="0.3">
      <c r="A83" s="34"/>
      <c r="B83" s="15" t="str">
        <f>CONCATENATE("     ","Training                                          ")</f>
        <v xml:space="preserve">     Training                                          </v>
      </c>
      <c r="C83" s="15"/>
      <c r="D83" s="2">
        <f>SUM(OSRRefD21_13x_0)</f>
        <v>0</v>
      </c>
      <c r="E83" s="2">
        <f>SUM(OSRRefD21_13x_1)</f>
        <v>0</v>
      </c>
      <c r="F83" s="2">
        <f>SUM(OSRRefD21_13x_2)</f>
        <v>0</v>
      </c>
      <c r="G83" s="2">
        <f>SUM(OSRRefD21_13x_3)</f>
        <v>0</v>
      </c>
      <c r="H83" s="2">
        <f>SUM(OSRRefD21_13x_4)</f>
        <v>0</v>
      </c>
      <c r="I83" s="2">
        <f>SUM(OSRRefD21_13x_5)</f>
        <v>0</v>
      </c>
      <c r="J83" s="2">
        <f>SUM(OSRRefD21_13x_6)</f>
        <v>0</v>
      </c>
      <c r="K83" s="2">
        <f>SUM(OSRRefD21_13x_7)</f>
        <v>0</v>
      </c>
      <c r="L83" s="2">
        <f>SUM(OSRRefD21_13x_8)</f>
        <v>0</v>
      </c>
      <c r="M83" s="2">
        <f>SUM(OSRRefD21_13x_9)</f>
        <v>125</v>
      </c>
      <c r="N83" s="2">
        <f>SUM(OSRRefE21_13x_0)</f>
        <v>0</v>
      </c>
      <c r="O83" s="2">
        <f>SUM(OSRRefE21_13x_1)</f>
        <v>0</v>
      </c>
      <c r="Q83" s="3">
        <f>SUM(OSRRefD20_13x)+IFERROR(SUM(OSRRefE20_13x),0)</f>
        <v>125</v>
      </c>
    </row>
    <row r="84" spans="1:17" s="42" customFormat="1" ht="15" hidden="1" customHeight="1" outlineLevel="1" x14ac:dyDescent="0.3">
      <c r="A84" s="34"/>
      <c r="B84" s="11" t="str">
        <f>CONCATENATE("          ","6376"," - ","TRAINING")</f>
        <v xml:space="preserve">          6376 - TRAINING</v>
      </c>
      <c r="C84" s="15"/>
      <c r="D84" s="3"/>
      <c r="E84" s="3"/>
      <c r="F84" s="3"/>
      <c r="G84" s="3"/>
      <c r="H84" s="3"/>
      <c r="I84" s="3"/>
      <c r="J84" s="3"/>
      <c r="K84" s="3"/>
      <c r="L84" s="3"/>
      <c r="M84" s="3">
        <v>125</v>
      </c>
      <c r="N84" s="3">
        <v>0</v>
      </c>
      <c r="O84" s="3"/>
      <c r="P84" s="10"/>
      <c r="Q84" s="3">
        <f>SUM(OSRRefD21_13_0x)+IFERROR(SUM(OSRRefE21_13_0x),0)</f>
        <v>125</v>
      </c>
    </row>
    <row r="85" spans="1:17" s="40" customFormat="1" ht="15" customHeight="1" x14ac:dyDescent="0.3">
      <c r="A85" s="22"/>
      <c r="B85" s="22"/>
      <c r="C85" s="2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Q85" s="2"/>
    </row>
    <row r="86" spans="1:17" s="39" customFormat="1" ht="15" customHeight="1" x14ac:dyDescent="0.3">
      <c r="A86" s="24"/>
      <c r="B86" s="17" t="s">
        <v>287</v>
      </c>
      <c r="C86" s="23"/>
      <c r="D86" s="4">
        <f>--631.94</f>
        <v>631.94000000000005</v>
      </c>
      <c r="E86" s="4">
        <f>--28343.09</f>
        <v>28343.09</v>
      </c>
      <c r="F86" s="4">
        <f>--158981.45</f>
        <v>158981.45000000001</v>
      </c>
      <c r="G86" s="4">
        <f>--1715.41</f>
        <v>1715.41</v>
      </c>
      <c r="H86" s="4">
        <f>--300.14</f>
        <v>300.14</v>
      </c>
      <c r="I86" s="4">
        <f>--931.69</f>
        <v>931.69</v>
      </c>
      <c r="J86" s="4">
        <f>--3325.2</f>
        <v>3325.2</v>
      </c>
      <c r="K86" s="4">
        <f>--155658.63</f>
        <v>155658.63</v>
      </c>
      <c r="L86" s="4">
        <f>--516.89</f>
        <v>516.89</v>
      </c>
      <c r="M86" s="4">
        <f>--6860.4</f>
        <v>6860.4</v>
      </c>
      <c r="N86" s="4">
        <v>6454</v>
      </c>
      <c r="O86" s="4">
        <v>8042</v>
      </c>
      <c r="Q86" s="3">
        <f>SUM(OSRRefD23_0x)+IFERROR(SUM(OSRRefE23_0x),0)</f>
        <v>371760.84000000008</v>
      </c>
    </row>
    <row r="87" spans="1:17" ht="15" customHeight="1" x14ac:dyDescent="0.3">
      <c r="A87" s="6"/>
      <c r="B87" s="7"/>
      <c r="C87" s="7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Q87" s="4"/>
    </row>
    <row r="88" spans="1:17" s="37" customFormat="1" ht="15" customHeight="1" x14ac:dyDescent="0.3">
      <c r="A88" s="7"/>
      <c r="B88" s="18" t="s">
        <v>288</v>
      </c>
      <c r="C88" s="18"/>
      <c r="D88" s="9">
        <f t="shared" ref="D88:O88" si="2">IFERROR(+D29-D32+D86,0)</f>
        <v>-31095.730000000007</v>
      </c>
      <c r="E88" s="9">
        <f t="shared" si="2"/>
        <v>182401.44000000003</v>
      </c>
      <c r="F88" s="9">
        <f t="shared" si="2"/>
        <v>125385.02999999996</v>
      </c>
      <c r="G88" s="9">
        <f t="shared" si="2"/>
        <v>-32442.450000000044</v>
      </c>
      <c r="H88" s="9">
        <f t="shared" si="2"/>
        <v>-37820.800000000017</v>
      </c>
      <c r="I88" s="9">
        <f t="shared" si="2"/>
        <v>-36303.560000000012</v>
      </c>
      <c r="J88" s="9">
        <f t="shared" si="2"/>
        <v>135460.41999999993</v>
      </c>
      <c r="K88" s="9">
        <f t="shared" si="2"/>
        <v>173364.49</v>
      </c>
      <c r="L88" s="9">
        <f t="shared" si="2"/>
        <v>-29422.199999999993</v>
      </c>
      <c r="M88" s="9">
        <f t="shared" si="2"/>
        <v>-19306.68</v>
      </c>
      <c r="N88" s="9">
        <f t="shared" si="2"/>
        <v>-23262.145897489718</v>
      </c>
      <c r="O88" s="9">
        <f t="shared" si="2"/>
        <v>-44176.963591039719</v>
      </c>
      <c r="Q88" s="9">
        <f>IFERROR(+Q29-Q32+Q86,0)</f>
        <v>362780.85051147058</v>
      </c>
    </row>
    <row r="89" spans="1:17" s="38" customFormat="1" ht="15" customHeight="1" x14ac:dyDescent="0.3">
      <c r="B89" s="17"/>
      <c r="C89" s="17"/>
      <c r="D89" s="5">
        <f t="shared" ref="D89:O89" si="3">IFERROR(D88/D10,0)</f>
        <v>-0.50061692201635632</v>
      </c>
      <c r="E89" s="5">
        <f t="shared" si="3"/>
        <v>0.18065439636830485</v>
      </c>
      <c r="F89" s="5">
        <f t="shared" si="3"/>
        <v>0.53501803917311652</v>
      </c>
      <c r="G89" s="5">
        <f t="shared" si="3"/>
        <v>-0.86242742758708824</v>
      </c>
      <c r="H89" s="5">
        <f t="shared" si="3"/>
        <v>-4.801147579483211</v>
      </c>
      <c r="I89" s="5">
        <f t="shared" si="3"/>
        <v>-0.75675425533511576</v>
      </c>
      <c r="J89" s="5">
        <f t="shared" si="3"/>
        <v>0.2461359045013094</v>
      </c>
      <c r="K89" s="5">
        <f t="shared" si="3"/>
        <v>0.97116494593161262</v>
      </c>
      <c r="L89" s="5">
        <f t="shared" si="3"/>
        <v>-1.2850748537255645</v>
      </c>
      <c r="M89" s="5">
        <f t="shared" si="3"/>
        <v>-0.37963993484250591</v>
      </c>
      <c r="N89" s="5">
        <f t="shared" si="3"/>
        <v>-0.41713102547186898</v>
      </c>
      <c r="O89" s="5">
        <f t="shared" si="3"/>
        <v>-1.9906706737130371</v>
      </c>
      <c r="P89" s="19"/>
      <c r="Q89" s="5">
        <f>IFERROR(Q88/Q10,0)</f>
        <v>0.15910189001027267</v>
      </c>
    </row>
    <row r="90" spans="1:17" ht="15" customHeight="1" x14ac:dyDescent="0.3">
      <c r="A90" s="6"/>
      <c r="B90" s="7"/>
      <c r="C90" s="6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Q90" s="4"/>
    </row>
    <row r="91" spans="1:17" s="37" customFormat="1" ht="15" customHeight="1" x14ac:dyDescent="0.3">
      <c r="A91" s="26"/>
      <c r="B91" s="7" t="s">
        <v>289</v>
      </c>
      <c r="C91" s="7"/>
      <c r="D91" s="4">
        <v>28696.79</v>
      </c>
      <c r="E91" s="4">
        <v>131463.37</v>
      </c>
      <c r="F91" s="4">
        <v>1508.39</v>
      </c>
      <c r="G91" s="4">
        <v>-6341.03</v>
      </c>
      <c r="H91" s="4">
        <v>5668.33</v>
      </c>
      <c r="I91" s="4">
        <v>7476.31</v>
      </c>
      <c r="J91" s="4">
        <v>89638.67</v>
      </c>
      <c r="K91" s="4">
        <v>7570.53</v>
      </c>
      <c r="L91" s="4">
        <v>-8921.2099999999991</v>
      </c>
      <c r="M91" s="4">
        <v>-7284.08</v>
      </c>
      <c r="N91" s="4">
        <v>11362</v>
      </c>
      <c r="O91" s="4">
        <v>-47676</v>
      </c>
      <c r="Q91" s="3">
        <f>SUM(OSRRefD28_0x)+IFERROR(SUM(OSRRefE28_0x),0)</f>
        <v>213162.07000000007</v>
      </c>
    </row>
    <row r="92" spans="1:17" ht="15" customHeight="1" x14ac:dyDescent="0.3">
      <c r="A92" s="6"/>
      <c r="B92" s="7"/>
      <c r="C92" s="7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Q92" s="4"/>
    </row>
    <row r="93" spans="1:17" s="37" customFormat="1" ht="15.75" customHeight="1" x14ac:dyDescent="0.3">
      <c r="A93" s="7"/>
      <c r="B93" s="18" t="s">
        <v>290</v>
      </c>
      <c r="C93" s="18"/>
      <c r="D93" s="8">
        <f t="shared" ref="D93:O93" si="4">IFERROR(+D88-D91,0)</f>
        <v>-59792.520000000004</v>
      </c>
      <c r="E93" s="8">
        <f t="shared" si="4"/>
        <v>50938.070000000036</v>
      </c>
      <c r="F93" s="8">
        <f t="shared" si="4"/>
        <v>123876.63999999996</v>
      </c>
      <c r="G93" s="8">
        <f t="shared" si="4"/>
        <v>-26101.420000000046</v>
      </c>
      <c r="H93" s="8">
        <f t="shared" si="4"/>
        <v>-43489.130000000019</v>
      </c>
      <c r="I93" s="8">
        <f t="shared" si="4"/>
        <v>-43779.87000000001</v>
      </c>
      <c r="J93" s="8">
        <f t="shared" si="4"/>
        <v>45821.749999999927</v>
      </c>
      <c r="K93" s="8">
        <f t="shared" si="4"/>
        <v>165793.96</v>
      </c>
      <c r="L93" s="8">
        <f t="shared" si="4"/>
        <v>-20500.989999999994</v>
      </c>
      <c r="M93" s="8">
        <f t="shared" si="4"/>
        <v>-12022.6</v>
      </c>
      <c r="N93" s="8">
        <f t="shared" si="4"/>
        <v>-34624.145897489718</v>
      </c>
      <c r="O93" s="8">
        <f t="shared" si="4"/>
        <v>3499.0364089602808</v>
      </c>
      <c r="Q93" s="8">
        <f>IFERROR(+Q88-Q91,0)</f>
        <v>149618.78051147051</v>
      </c>
    </row>
    <row r="94" spans="1:17" ht="15.75" customHeight="1" x14ac:dyDescent="0.3">
      <c r="A94" s="6"/>
      <c r="B94" s="6"/>
      <c r="C94" s="6"/>
      <c r="D94" s="5">
        <f t="shared" ref="D94:O94" si="5">IFERROR(D93/D10,0)</f>
        <v>-0.96261278709332176</v>
      </c>
      <c r="E94" s="5">
        <f t="shared" si="5"/>
        <v>5.0450184428458805E-2</v>
      </c>
      <c r="F94" s="5">
        <f t="shared" si="5"/>
        <v>0.52858173764566674</v>
      </c>
      <c r="G94" s="5">
        <f t="shared" si="5"/>
        <v>-0.69386191569903588</v>
      </c>
      <c r="H94" s="5">
        <f t="shared" si="5"/>
        <v>-5.5207116516131514</v>
      </c>
      <c r="I94" s="5">
        <f t="shared" si="5"/>
        <v>-0.91259928559397951</v>
      </c>
      <c r="J94" s="5">
        <f t="shared" si="5"/>
        <v>8.325958152265335E-2</v>
      </c>
      <c r="K94" s="5">
        <f t="shared" si="5"/>
        <v>0.9287558380565013</v>
      </c>
      <c r="L94" s="5">
        <f t="shared" si="5"/>
        <v>-0.8954227326807398</v>
      </c>
      <c r="M94" s="5">
        <f t="shared" si="5"/>
        <v>-0.23640828359083549</v>
      </c>
      <c r="N94" s="5">
        <f t="shared" si="5"/>
        <v>-0.62087158888750904</v>
      </c>
      <c r="O94" s="5">
        <f t="shared" si="5"/>
        <v>0.15767107105985403</v>
      </c>
      <c r="P94" s="19"/>
      <c r="Q94" s="5">
        <f>IFERROR(Q93/Q10,0)</f>
        <v>6.5617109411497024E-2</v>
      </c>
    </row>
    <row r="95" spans="1:17" ht="15" customHeight="1" x14ac:dyDescent="0.3">
      <c r="A95" s="6"/>
      <c r="B95" s="6"/>
      <c r="C95" s="6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Q95" s="4"/>
    </row>
    <row r="96" spans="1:17" ht="15" customHeight="1" x14ac:dyDescent="0.3">
      <c r="A96" s="6"/>
      <c r="B96" s="6"/>
      <c r="C96" s="6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Q96" s="4"/>
    </row>
    <row r="97" spans="1:17" s="37" customFormat="1" ht="15.75" customHeight="1" x14ac:dyDescent="0.3">
      <c r="A97" s="7"/>
      <c r="B97" s="18" t="s">
        <v>293</v>
      </c>
      <c r="C97" s="18"/>
      <c r="D97" s="8">
        <f t="shared" ref="D97:O97" si="6">IFERROR(SUM(D93:D96),0)</f>
        <v>-59793.482612787098</v>
      </c>
      <c r="E97" s="8">
        <f t="shared" si="6"/>
        <v>50938.120450184462</v>
      </c>
      <c r="F97" s="8">
        <f t="shared" si="6"/>
        <v>123877.1685817376</v>
      </c>
      <c r="G97" s="8">
        <f t="shared" si="6"/>
        <v>-26102.113861915746</v>
      </c>
      <c r="H97" s="8">
        <f t="shared" si="6"/>
        <v>-43494.65071165163</v>
      </c>
      <c r="I97" s="8">
        <f t="shared" si="6"/>
        <v>-43780.782599285601</v>
      </c>
      <c r="J97" s="8">
        <f t="shared" si="6"/>
        <v>45821.83325958145</v>
      </c>
      <c r="K97" s="8">
        <f t="shared" si="6"/>
        <v>165794.88875583804</v>
      </c>
      <c r="L97" s="8">
        <f t="shared" si="6"/>
        <v>-20501.885422732674</v>
      </c>
      <c r="M97" s="8">
        <f t="shared" si="6"/>
        <v>-12022.836408283591</v>
      </c>
      <c r="N97" s="8">
        <f t="shared" si="6"/>
        <v>-34624.766769078604</v>
      </c>
      <c r="O97" s="8">
        <f t="shared" si="6"/>
        <v>3499.1940800313405</v>
      </c>
      <c r="Q97" s="8">
        <f>IFERROR(SUM(Q93:Q96),0)</f>
        <v>149618.84612857993</v>
      </c>
    </row>
    <row r="98" spans="1:17" ht="15.75" customHeight="1" x14ac:dyDescent="0.3">
      <c r="A98" s="6"/>
      <c r="C98" s="6"/>
      <c r="D98" s="5">
        <f t="shared" ref="D98:O98" si="7">IFERROR(D97/D10,0)</f>
        <v>-0.96262828440599357</v>
      </c>
      <c r="E98" s="5">
        <f t="shared" si="7"/>
        <v>5.0450234395430636E-2</v>
      </c>
      <c r="F98" s="5">
        <f t="shared" si="7"/>
        <v>0.52858399310443094</v>
      </c>
      <c r="G98" s="5">
        <f t="shared" si="7"/>
        <v>-0.69388036083949411</v>
      </c>
      <c r="H98" s="5">
        <f t="shared" si="7"/>
        <v>-5.5214124763282069</v>
      </c>
      <c r="I98" s="5">
        <f t="shared" si="7"/>
        <v>-0.91261830889066964</v>
      </c>
      <c r="J98" s="5">
        <f t="shared" si="7"/>
        <v>8.3259732807969056E-2</v>
      </c>
      <c r="K98" s="5">
        <f t="shared" si="7"/>
        <v>0.92876104082388022</v>
      </c>
      <c r="L98" s="5">
        <f t="shared" si="7"/>
        <v>-0.89546184210278235</v>
      </c>
      <c r="M98" s="5">
        <f t="shared" si="7"/>
        <v>-0.23641293224225451</v>
      </c>
      <c r="N98" s="5">
        <f t="shared" si="7"/>
        <v>-0.62088272220271135</v>
      </c>
      <c r="O98" s="5">
        <f t="shared" si="7"/>
        <v>0.15767817592066241</v>
      </c>
      <c r="P98" s="19"/>
      <c r="Q98" s="5">
        <f>IFERROR(Q97/Q10,0)</f>
        <v>6.5617138188666796E-2</v>
      </c>
    </row>
    <row r="99" spans="1:17" ht="15" customHeight="1" x14ac:dyDescent="0.3">
      <c r="A99" s="6"/>
      <c r="B99" s="33">
        <v>44694.892852812503</v>
      </c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Q99" s="14"/>
    </row>
    <row r="100" spans="1:17" ht="15" customHeight="1" x14ac:dyDescent="0.3">
      <c r="A100" s="6"/>
      <c r="B100" s="31" t="s">
        <v>294</v>
      </c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Q100" s="14"/>
    </row>
    <row r="101" spans="1:17" ht="15" customHeight="1" x14ac:dyDescent="0.3">
      <c r="A101" s="6"/>
      <c r="B101" s="27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Q101" s="14"/>
    </row>
    <row r="102" spans="1:17" ht="15" customHeight="1" x14ac:dyDescent="0.3"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Q102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E8C4B-6186-0A01-632F-BC4E9401092A}">
  <sheetPr>
    <tabColor rgb="FF92D050"/>
    <outlinePr summaryBelow="0" summaryRight="0"/>
    <pageSetUpPr fitToPage="1"/>
  </sheetPr>
  <dimension ref="A2:R102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","311"," - ","Textbooks")</f>
        <v>Department 311 - Textbooks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56201.599999999999</v>
      </c>
      <c r="E10" s="4">
        <f>SUM(OSRRefD11x_1)</f>
        <v>740429.29999999993</v>
      </c>
      <c r="F10" s="4">
        <f>SUM(OSRRefD11x_2)</f>
        <v>176741.79</v>
      </c>
      <c r="G10" s="4">
        <f>SUM(OSRRefD11x_3)</f>
        <v>34739.469999999994</v>
      </c>
      <c r="H10" s="4">
        <f>SUM(OSRRefD11x_4)</f>
        <v>7287.61</v>
      </c>
      <c r="I10" s="4">
        <f>SUM(OSRRefD11x_5)</f>
        <v>50312.259999999995</v>
      </c>
      <c r="J10" s="4">
        <f>SUM(OSRRefD11x_6)</f>
        <v>482806.89</v>
      </c>
      <c r="K10" s="4">
        <f>SUM(OSRRefD11x_7)</f>
        <v>143919.13</v>
      </c>
      <c r="L10" s="4">
        <f>SUM(OSRRefD11x_8)</f>
        <v>20115.46</v>
      </c>
      <c r="M10" s="4">
        <f>SUM(OSRRefD11x_9)</f>
        <v>54654.67</v>
      </c>
      <c r="N10" s="4">
        <f>SUM(OSRRefE11x_0)</f>
        <v>49167</v>
      </c>
      <c r="O10" s="4">
        <f>SUM(OSRRefE11x_1)</f>
        <v>25993</v>
      </c>
      <c r="P10" s="25"/>
      <c r="Q10" s="4">
        <f>SUM(OSRRefG11x)</f>
        <v>1842368.1799999997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--30924.86</f>
        <v>30924.86</v>
      </c>
      <c r="E11" s="3">
        <f>--571304.22</f>
        <v>571304.22</v>
      </c>
      <c r="F11" s="3">
        <f>--143706.17</f>
        <v>143706.17000000001</v>
      </c>
      <c r="G11" s="3">
        <f>--24053.59</f>
        <v>24053.59</v>
      </c>
      <c r="H11" s="3">
        <f>--6041.48</f>
        <v>6041.48</v>
      </c>
      <c r="I11" s="3">
        <f>--18673.17</f>
        <v>18673.169999999998</v>
      </c>
      <c r="J11" s="3">
        <f>--419997.89</f>
        <v>419997.89</v>
      </c>
      <c r="K11" s="3">
        <f>--116339.58</f>
        <v>116339.58</v>
      </c>
      <c r="L11" s="3">
        <f>--24567.88</f>
        <v>24567.88</v>
      </c>
      <c r="M11" s="3">
        <f>--38546.36</f>
        <v>38546.36</v>
      </c>
      <c r="N11" s="3">
        <v>49167</v>
      </c>
      <c r="O11" s="3">
        <v>25993</v>
      </c>
      <c r="Q11" s="3">
        <f>SUM(OSRRefD11_0x)+IFERROR(SUM(OSRRefE11_0x),0)</f>
        <v>1469315.2</v>
      </c>
    </row>
    <row r="12" spans="1:18" s="39" customFormat="1" ht="15" hidden="1" customHeight="1" outlineLevel="1" x14ac:dyDescent="0.3">
      <c r="A12" s="24"/>
      <c r="B12" s="11" t="str">
        <f>CONCATENATE("          ","4100"," - ","NON-TAXABLE SALES")</f>
        <v xml:space="preserve">          4100 - NON-TAXABLE SALES</v>
      </c>
      <c r="C12" s="23"/>
      <c r="D12" s="3">
        <f>--27180.13</f>
        <v>27180.13</v>
      </c>
      <c r="E12" s="3">
        <f>--196803.19</f>
        <v>196803.19</v>
      </c>
      <c r="F12" s="3">
        <f>--46906.46</f>
        <v>46906.46</v>
      </c>
      <c r="G12" s="3">
        <f>--21004.56</f>
        <v>21004.560000000001</v>
      </c>
      <c r="H12" s="3">
        <f>--2477.57</f>
        <v>2477.5700000000002</v>
      </c>
      <c r="I12" s="3">
        <f>--33168.32</f>
        <v>33168.32</v>
      </c>
      <c r="J12" s="3">
        <f>--82343.75</f>
        <v>82343.75</v>
      </c>
      <c r="K12" s="3">
        <f>--38907.31</f>
        <v>38907.31</v>
      </c>
      <c r="L12" s="3">
        <f>--443.3</f>
        <v>443.3</v>
      </c>
      <c r="M12" s="3">
        <f>--22133.53</f>
        <v>22133.53</v>
      </c>
      <c r="N12" s="3"/>
      <c r="O12" s="3"/>
      <c r="Q12" s="3">
        <f>SUM(OSRRefD11_1x)+IFERROR(SUM(OSRRefE11_1x),0)</f>
        <v>471368.12</v>
      </c>
    </row>
    <row r="13" spans="1:18" s="39" customFormat="1" ht="15" hidden="1" customHeight="1" outlineLevel="1" x14ac:dyDescent="0.3">
      <c r="A13" s="24"/>
      <c r="B13" s="11" t="str">
        <f>CONCATENATE("          ","4200"," - ","TAXABLE RETURNS")</f>
        <v xml:space="preserve">          4200 - TAXABLE RETURNS</v>
      </c>
      <c r="C13" s="23"/>
      <c r="D13" s="3">
        <f>-920.66</f>
        <v>-920.66</v>
      </c>
      <c r="E13" s="3">
        <f>-11488.38</f>
        <v>-11488.38</v>
      </c>
      <c r="F13" s="3">
        <f>-11496.04</f>
        <v>-11496.04</v>
      </c>
      <c r="G13" s="3">
        <f>-4428.05</f>
        <v>-4428.05</v>
      </c>
      <c r="H13" s="3">
        <f>-652.65</f>
        <v>-652.65</v>
      </c>
      <c r="I13" s="3">
        <f>-407.24</f>
        <v>-407.24</v>
      </c>
      <c r="J13" s="3">
        <f>-17245.44</f>
        <v>-17245.439999999999</v>
      </c>
      <c r="K13" s="3">
        <f>-4194.35</f>
        <v>-4194.3500000000004</v>
      </c>
      <c r="L13" s="3">
        <f>-4679.48</f>
        <v>-4679.4799999999996</v>
      </c>
      <c r="M13" s="3">
        <f>--2760.42</f>
        <v>2760.42</v>
      </c>
      <c r="N13" s="3"/>
      <c r="O13" s="3"/>
      <c r="Q13" s="3">
        <f>SUM(OSRRefD11_2x)+IFERROR(SUM(OSRRefE11_2x),0)</f>
        <v>-52751.87000000001</v>
      </c>
    </row>
    <row r="14" spans="1:18" s="39" customFormat="1" ht="15" hidden="1" customHeight="1" outlineLevel="1" x14ac:dyDescent="0.3">
      <c r="A14" s="24"/>
      <c r="B14" s="11" t="str">
        <f>CONCATENATE("          ","4300"," - ","NON-TAX RETURNS")</f>
        <v xml:space="preserve">          4300 - NON-TAX RETURNS</v>
      </c>
      <c r="C14" s="23"/>
      <c r="D14" s="3">
        <f>-982.73</f>
        <v>-982.73</v>
      </c>
      <c r="E14" s="3">
        <f>-16189.73</f>
        <v>-16189.73</v>
      </c>
      <c r="F14" s="3">
        <f>-2374.8</f>
        <v>-2374.8000000000002</v>
      </c>
      <c r="G14" s="3">
        <f>-5357.9</f>
        <v>-5357.9</v>
      </c>
      <c r="H14" s="3">
        <f>-487.82</f>
        <v>-487.82</v>
      </c>
      <c r="I14" s="3">
        <f>-510.16</f>
        <v>-510.16</v>
      </c>
      <c r="J14" s="3">
        <f>-498.15</f>
        <v>-498.15</v>
      </c>
      <c r="K14" s="3">
        <f>-2947.38</f>
        <v>-2947.38</v>
      </c>
      <c r="L14" s="3">
        <f>0</f>
        <v>0</v>
      </c>
      <c r="M14" s="3">
        <f>-8718.04</f>
        <v>-8718.0400000000009</v>
      </c>
      <c r="N14" s="3"/>
      <c r="O14" s="3"/>
      <c r="Q14" s="3">
        <f>SUM(OSRRefD11_3x)+IFERROR(SUM(OSRRefE11_3x),0)</f>
        <v>-38066.71</v>
      </c>
    </row>
    <row r="15" spans="1:18" s="39" customFormat="1" ht="15" hidden="1" customHeight="1" outlineLevel="1" x14ac:dyDescent="0.3">
      <c r="A15" s="24"/>
      <c r="B15" s="11" t="str">
        <f>CONCATENATE("          ","4500"," - ","SALES DISCOUNT")</f>
        <v xml:space="preserve">          4500 - SALES DISCOUNT</v>
      </c>
      <c r="C15" s="23"/>
      <c r="D15" s="3">
        <f>0</f>
        <v>0</v>
      </c>
      <c r="E15" s="3">
        <f>0</f>
        <v>0</v>
      </c>
      <c r="F15" s="3">
        <f>0</f>
        <v>0</v>
      </c>
      <c r="G15" s="3">
        <f>-532.73</f>
        <v>-532.73</v>
      </c>
      <c r="H15" s="3">
        <f>-90.97</f>
        <v>-90.97</v>
      </c>
      <c r="I15" s="3">
        <f>-611.83</f>
        <v>-611.83000000000004</v>
      </c>
      <c r="J15" s="3">
        <f>-1791.16</f>
        <v>-1791.16</v>
      </c>
      <c r="K15" s="3">
        <f>-4186.03</f>
        <v>-4186.03</v>
      </c>
      <c r="L15" s="3">
        <f>-216.24</f>
        <v>-216.24</v>
      </c>
      <c r="M15" s="3">
        <f>-67.6</f>
        <v>-67.599999999999994</v>
      </c>
      <c r="N15" s="3"/>
      <c r="O15" s="3"/>
      <c r="Q15" s="3">
        <f>SUM(OSRRefD11_4x)+IFERROR(SUM(OSRRefE11_4x),0)</f>
        <v>-7496.56</v>
      </c>
    </row>
    <row r="16" spans="1:18" ht="15" customHeight="1" x14ac:dyDescent="0.3">
      <c r="A16" s="6"/>
      <c r="B16" s="7"/>
      <c r="C16" s="6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Q16" s="4"/>
    </row>
    <row r="17" spans="1:17" s="39" customFormat="1" ht="15" customHeight="1" collapsed="1" x14ac:dyDescent="0.3">
      <c r="A17" s="24"/>
      <c r="B17" s="17" t="s">
        <v>284</v>
      </c>
      <c r="C17" s="23"/>
      <c r="D17" s="4">
        <f>SUM(OSRRefD14x_0)</f>
        <v>42691.720000000038</v>
      </c>
      <c r="E17" s="4">
        <f>SUM(OSRRefD14x_1)</f>
        <v>599500.85</v>
      </c>
      <c r="F17" s="4">
        <f>SUM(OSRRefD14x_2)</f>
        <v>179347.67000000007</v>
      </c>
      <c r="G17" s="4">
        <f>SUM(OSRRefD14x_3)</f>
        <v>21877.63</v>
      </c>
      <c r="H17" s="4">
        <f>SUM(OSRRefD14x_4)</f>
        <v>5116.3400000000074</v>
      </c>
      <c r="I17" s="4">
        <f>SUM(OSRRefD14x_5)</f>
        <v>41134.559999999998</v>
      </c>
      <c r="J17" s="4">
        <f>SUM(OSRRefD14x_6)</f>
        <v>328221.40000000002</v>
      </c>
      <c r="K17" s="4">
        <f>SUM(OSRRefD14x_7)</f>
        <v>96980.380000000019</v>
      </c>
      <c r="L17" s="4">
        <f>SUM(OSRRefD14x_8)</f>
        <v>14302.289999999968</v>
      </c>
      <c r="M17" s="4">
        <f>SUM(OSRRefD14x_9)</f>
        <v>49207.610000000015</v>
      </c>
      <c r="N17" s="4">
        <f>SUM(OSRRefE14x_0)</f>
        <v>35523</v>
      </c>
      <c r="O17" s="4">
        <f>SUM(OSRRefE14x_1)</f>
        <v>18780</v>
      </c>
      <c r="Q17" s="4">
        <f>SUM(OSRRefG14x)</f>
        <v>1432683.45</v>
      </c>
    </row>
    <row r="18" spans="1:17" s="39" customFormat="1" ht="15" hidden="1" customHeight="1" outlineLevel="1" x14ac:dyDescent="0.3">
      <c r="A18" s="24"/>
      <c r="B18" s="11" t="str">
        <f>CONCATENATE("          ","5000"," - ","PURCHASES @ COST")</f>
        <v xml:space="preserve">          5000 - PURCHASES @ COST</v>
      </c>
      <c r="C18" s="23"/>
      <c r="D18" s="3">
        <v>262208.01</v>
      </c>
      <c r="E18" s="3">
        <v>219833.04</v>
      </c>
      <c r="F18" s="3">
        <v>534505.79</v>
      </c>
      <c r="G18" s="3">
        <v>273844.96999999997</v>
      </c>
      <c r="H18" s="3">
        <v>-202507.38</v>
      </c>
      <c r="I18" s="3">
        <v>65353.7</v>
      </c>
      <c r="J18" s="3">
        <v>260452.83</v>
      </c>
      <c r="K18" s="3">
        <v>145152.23000000001</v>
      </c>
      <c r="L18" s="3">
        <v>-273544.65000000002</v>
      </c>
      <c r="M18" s="3">
        <v>-163387.74</v>
      </c>
      <c r="N18" s="3">
        <v>35523</v>
      </c>
      <c r="O18" s="3">
        <v>18780</v>
      </c>
      <c r="Q18" s="3">
        <f>SUM(OSRRefD14_0x)+IFERROR(SUM(OSRRefE14_0x),0)</f>
        <v>1176213.8</v>
      </c>
    </row>
    <row r="19" spans="1:17" s="39" customFormat="1" ht="15" hidden="1" customHeight="1" outlineLevel="1" x14ac:dyDescent="0.3">
      <c r="A19" s="24"/>
      <c r="B19" s="11" t="str">
        <f>CONCATENATE("          ","5001"," - ","PURCHASES @ COST-NEW TEXT")</f>
        <v xml:space="preserve">          5001 - PURCHASES @ COST-NEW TEXT</v>
      </c>
      <c r="C19" s="23"/>
      <c r="D19" s="3">
        <v>0</v>
      </c>
      <c r="E19" s="3">
        <v>0</v>
      </c>
      <c r="F19" s="3">
        <v>0</v>
      </c>
      <c r="G19" s="3">
        <v>0</v>
      </c>
      <c r="H19" s="3"/>
      <c r="I19" s="3"/>
      <c r="J19" s="3"/>
      <c r="K19" s="3"/>
      <c r="L19" s="3"/>
      <c r="M19" s="3"/>
      <c r="N19" s="3"/>
      <c r="O19" s="3"/>
      <c r="Q19" s="3">
        <f>SUM(OSRRefD14_1x)+IFERROR(SUM(OSRRefE14_1x),0)</f>
        <v>0</v>
      </c>
    </row>
    <row r="20" spans="1:17" s="39" customFormat="1" ht="15" hidden="1" customHeight="1" outlineLevel="1" x14ac:dyDescent="0.3">
      <c r="A20" s="24"/>
      <c r="B20" s="11" t="str">
        <f>CONCATENATE("          ","5002"," - ","PURCHASES @ COST-USED TEXT")</f>
        <v xml:space="preserve">          5002 - PURCHASES @ COST-USED TEXT</v>
      </c>
      <c r="C20" s="23"/>
      <c r="D20" s="3">
        <v>0</v>
      </c>
      <c r="E20" s="3">
        <v>0</v>
      </c>
      <c r="F20" s="3">
        <v>0</v>
      </c>
      <c r="G20" s="3"/>
      <c r="H20" s="3"/>
      <c r="I20" s="3"/>
      <c r="J20" s="3"/>
      <c r="K20" s="3"/>
      <c r="L20" s="3"/>
      <c r="M20" s="3"/>
      <c r="N20" s="3"/>
      <c r="O20" s="3"/>
      <c r="Q20" s="3">
        <f>SUM(OSRRefD14_2x)+IFERROR(SUM(OSRRefE14_2x),0)</f>
        <v>0</v>
      </c>
    </row>
    <row r="21" spans="1:17" s="39" customFormat="1" ht="15" hidden="1" customHeight="1" outlineLevel="1" x14ac:dyDescent="0.3">
      <c r="A21" s="24"/>
      <c r="B21" s="11" t="str">
        <f>CONCATENATE("          ","5004"," - ","PURCHASES @ COST-DIGITAL TEXT")</f>
        <v xml:space="preserve">          5004 - PURCHASES @ COST-DIGITAL TEXT</v>
      </c>
      <c r="C21" s="23"/>
      <c r="D21" s="3">
        <v>0</v>
      </c>
      <c r="E21" s="3">
        <v>0</v>
      </c>
      <c r="F21" s="3">
        <v>0</v>
      </c>
      <c r="G21" s="3"/>
      <c r="H21" s="3"/>
      <c r="I21" s="3"/>
      <c r="J21" s="3"/>
      <c r="K21" s="3"/>
      <c r="L21" s="3"/>
      <c r="M21" s="3"/>
      <c r="N21" s="3"/>
      <c r="O21" s="3"/>
      <c r="Q21" s="3">
        <f>SUM(OSRRefD14_3x)+IFERROR(SUM(OSRRefE14_3x),0)</f>
        <v>0</v>
      </c>
    </row>
    <row r="22" spans="1:17" s="39" customFormat="1" ht="15" hidden="1" customHeight="1" outlineLevel="1" x14ac:dyDescent="0.3">
      <c r="A22" s="24"/>
      <c r="B22" s="11" t="str">
        <f>CONCATENATE("          ","5200"," - ","PURCHASES OFFSET")</f>
        <v xml:space="preserve">          5200 - PURCHASES OFFSET</v>
      </c>
      <c r="C22" s="23"/>
      <c r="D22" s="3">
        <v>-264391.71999999997</v>
      </c>
      <c r="E22" s="3">
        <v>-223271.06</v>
      </c>
      <c r="F22" s="3">
        <v>-548708.86</v>
      </c>
      <c r="G22" s="3">
        <v>-290158.21999999997</v>
      </c>
      <c r="H22" s="3">
        <v>202125.45</v>
      </c>
      <c r="I22" s="3">
        <v>-66175.399999999994</v>
      </c>
      <c r="J22" s="3">
        <v>-271779.8</v>
      </c>
      <c r="K22" s="3">
        <v>-166938.59</v>
      </c>
      <c r="L22" s="3">
        <v>267392.68</v>
      </c>
      <c r="M22" s="3">
        <v>160822.91</v>
      </c>
      <c r="N22" s="3"/>
      <c r="O22" s="3"/>
      <c r="Q22" s="3">
        <f>SUM(OSRRefD14_4x)+IFERROR(SUM(OSRRefE14_4x),0)</f>
        <v>-1201082.6100000001</v>
      </c>
    </row>
    <row r="23" spans="1:17" s="39" customFormat="1" ht="15" hidden="1" customHeight="1" outlineLevel="1" x14ac:dyDescent="0.3">
      <c r="A23" s="24"/>
      <c r="B23" s="11" t="str">
        <f>CONCATENATE("          ","5300"," - ","COG$ OFFSET")</f>
        <v xml:space="preserve">          5300 - COG$ OFFSET</v>
      </c>
      <c r="C23" s="23"/>
      <c r="D23" s="3">
        <v>42691.72</v>
      </c>
      <c r="E23" s="3">
        <v>599500.85</v>
      </c>
      <c r="F23" s="3">
        <v>179347.67</v>
      </c>
      <c r="G23" s="3">
        <v>21877.63</v>
      </c>
      <c r="H23" s="3">
        <v>5116.34</v>
      </c>
      <c r="I23" s="3">
        <v>41134.559999999998</v>
      </c>
      <c r="J23" s="3">
        <v>328221.40000000002</v>
      </c>
      <c r="K23" s="3">
        <v>96980.38</v>
      </c>
      <c r="L23" s="3">
        <v>14415.48</v>
      </c>
      <c r="M23" s="3">
        <v>49207.61</v>
      </c>
      <c r="N23" s="3"/>
      <c r="O23" s="3"/>
      <c r="Q23" s="3">
        <f>SUM(OSRRefD14_5x)+IFERROR(SUM(OSRRefE14_5x),0)</f>
        <v>1378493.64</v>
      </c>
    </row>
    <row r="24" spans="1:17" s="39" customFormat="1" ht="15" hidden="1" customHeight="1" outlineLevel="1" x14ac:dyDescent="0.3">
      <c r="A24" s="24"/>
      <c r="B24" s="11" t="str">
        <f>CONCATENATE("          ","5500"," - ","FREIGHT-IN")</f>
        <v xml:space="preserve">          5500 - FREIGHT-IN</v>
      </c>
      <c r="C24" s="23"/>
      <c r="D24" s="3">
        <v>2183.71</v>
      </c>
      <c r="E24" s="3">
        <v>3438.02</v>
      </c>
      <c r="F24" s="3">
        <v>14203.07</v>
      </c>
      <c r="G24" s="3">
        <v>16313.25</v>
      </c>
      <c r="H24" s="3">
        <v>381.93</v>
      </c>
      <c r="I24" s="3">
        <v>821.7</v>
      </c>
      <c r="J24" s="3">
        <v>11326.97</v>
      </c>
      <c r="K24" s="3">
        <v>21786.36</v>
      </c>
      <c r="L24" s="3">
        <v>6038.78</v>
      </c>
      <c r="M24" s="3">
        <v>2564.83</v>
      </c>
      <c r="N24" s="3"/>
      <c r="O24" s="3"/>
      <c r="Q24" s="3">
        <f>SUM(OSRRefD14_6x)+IFERROR(SUM(OSRRefE14_6x),0)</f>
        <v>79058.62000000001</v>
      </c>
    </row>
    <row r="25" spans="1:17" s="39" customFormat="1" ht="15" hidden="1" customHeight="1" outlineLevel="1" x14ac:dyDescent="0.3">
      <c r="A25" s="24"/>
      <c r="B25" s="11" t="str">
        <f>CONCATENATE("          ","5501"," - ","FREIGHT-IN-NEW TEXT")</f>
        <v xml:space="preserve">          5501 - FREIGHT-IN-NEW TEXT</v>
      </c>
      <c r="C25" s="23"/>
      <c r="D25" s="3">
        <v>0</v>
      </c>
      <c r="E25" s="3">
        <v>0</v>
      </c>
      <c r="F25" s="3">
        <v>0</v>
      </c>
      <c r="G25" s="3">
        <v>0</v>
      </c>
      <c r="H25" s="3"/>
      <c r="I25" s="3"/>
      <c r="J25" s="3"/>
      <c r="K25" s="3"/>
      <c r="L25" s="3"/>
      <c r="M25" s="3"/>
      <c r="N25" s="3"/>
      <c r="O25" s="3"/>
      <c r="Q25" s="3">
        <f>SUM(OSRRefD14_7x)+IFERROR(SUM(OSRRefE14_7x),0)</f>
        <v>0</v>
      </c>
    </row>
    <row r="26" spans="1:17" s="39" customFormat="1" ht="15" hidden="1" customHeight="1" outlineLevel="1" x14ac:dyDescent="0.3">
      <c r="A26" s="24"/>
      <c r="B26" s="11" t="str">
        <f>CONCATENATE("          ","5502"," - ","FREIGHT-IN-USED TEXT")</f>
        <v xml:space="preserve">          5502 - FREIGHT-IN-USED TEXT</v>
      </c>
      <c r="C26" s="23"/>
      <c r="D26" s="3">
        <v>0</v>
      </c>
      <c r="E26" s="3">
        <v>0</v>
      </c>
      <c r="F26" s="3">
        <v>0</v>
      </c>
      <c r="G26" s="3"/>
      <c r="H26" s="3"/>
      <c r="I26" s="3"/>
      <c r="J26" s="3"/>
      <c r="K26" s="3"/>
      <c r="L26" s="3"/>
      <c r="M26" s="3"/>
      <c r="N26" s="3"/>
      <c r="O26" s="3"/>
      <c r="Q26" s="3">
        <f>SUM(OSRRefD14_8x)+IFERROR(SUM(OSRRefE14_8x),0)</f>
        <v>0</v>
      </c>
    </row>
    <row r="27" spans="1:17" s="39" customFormat="1" ht="15" hidden="1" customHeight="1" outlineLevel="1" x14ac:dyDescent="0.3">
      <c r="A27" s="24"/>
      <c r="B27" s="11" t="str">
        <f>CONCATENATE("          ","5518"," - ","FREIGHT-IN-STUDY GUIDES")</f>
        <v xml:space="preserve">          5518 - FREIGHT-IN-STUDY GUIDES</v>
      </c>
      <c r="C27" s="23"/>
      <c r="D27" s="3">
        <v>0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Q27" s="3">
        <f>SUM(OSRRefD14_9x)+IFERROR(SUM(OSRRefE14_9x),0)</f>
        <v>0</v>
      </c>
    </row>
    <row r="28" spans="1:17" ht="15" customHeight="1" x14ac:dyDescent="0.3">
      <c r="A28" s="6"/>
      <c r="B28" s="7"/>
      <c r="C28" s="7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Q28" s="4"/>
    </row>
    <row r="29" spans="1:17" s="37" customFormat="1" ht="15" customHeight="1" x14ac:dyDescent="0.3">
      <c r="A29" s="7"/>
      <c r="B29" s="18" t="s">
        <v>285</v>
      </c>
      <c r="C29" s="18"/>
      <c r="D29" s="9">
        <f t="shared" ref="D29:O29" si="0">IFERROR(+D10-D17,0)</f>
        <v>13509.879999999961</v>
      </c>
      <c r="E29" s="9">
        <f t="shared" si="0"/>
        <v>140928.44999999995</v>
      </c>
      <c r="F29" s="9">
        <f t="shared" si="0"/>
        <v>-2605.8800000000629</v>
      </c>
      <c r="G29" s="9">
        <f t="shared" si="0"/>
        <v>12861.839999999993</v>
      </c>
      <c r="H29" s="9">
        <f t="shared" si="0"/>
        <v>2171.2699999999923</v>
      </c>
      <c r="I29" s="9">
        <f t="shared" si="0"/>
        <v>9177.6999999999971</v>
      </c>
      <c r="J29" s="9">
        <f t="shared" si="0"/>
        <v>154585.49</v>
      </c>
      <c r="K29" s="9">
        <f t="shared" si="0"/>
        <v>46938.749999999985</v>
      </c>
      <c r="L29" s="9">
        <f t="shared" si="0"/>
        <v>5813.170000000031</v>
      </c>
      <c r="M29" s="9">
        <f t="shared" si="0"/>
        <v>5447.0599999999831</v>
      </c>
      <c r="N29" s="9">
        <f t="shared" si="0"/>
        <v>13644</v>
      </c>
      <c r="O29" s="9">
        <f t="shared" si="0"/>
        <v>7213</v>
      </c>
      <c r="Q29" s="9">
        <f>IFERROR(+Q10-Q17,0)</f>
        <v>409684.72999999975</v>
      </c>
    </row>
    <row r="30" spans="1:17" s="38" customFormat="1" ht="15" customHeight="1" x14ac:dyDescent="0.3">
      <c r="B30" s="17"/>
      <c r="C30" s="17"/>
      <c r="D30" s="5">
        <f t="shared" ref="D30:O30" si="1">IFERROR(D29/D10,0)</f>
        <v>0.24038248021408573</v>
      </c>
      <c r="E30" s="5">
        <f t="shared" si="1"/>
        <v>0.19033343223991805</v>
      </c>
      <c r="F30" s="5">
        <f t="shared" si="1"/>
        <v>-1.4743994614969457E-2</v>
      </c>
      <c r="G30" s="5">
        <f t="shared" si="1"/>
        <v>0.3702370819128788</v>
      </c>
      <c r="H30" s="5">
        <f t="shared" si="1"/>
        <v>0.29793992817947068</v>
      </c>
      <c r="I30" s="5">
        <f t="shared" si="1"/>
        <v>0.18241478319598439</v>
      </c>
      <c r="J30" s="5">
        <f t="shared" si="1"/>
        <v>0.3201807869808983</v>
      </c>
      <c r="K30" s="5">
        <f t="shared" si="1"/>
        <v>0.32614670475009111</v>
      </c>
      <c r="L30" s="5">
        <f t="shared" si="1"/>
        <v>0.28899015980743326</v>
      </c>
      <c r="M30" s="5">
        <f t="shared" si="1"/>
        <v>9.9663212676976795E-2</v>
      </c>
      <c r="N30" s="5">
        <f t="shared" si="1"/>
        <v>0.27750320336811274</v>
      </c>
      <c r="O30" s="5">
        <f t="shared" si="1"/>
        <v>0.27749778786596391</v>
      </c>
      <c r="P30" s="19"/>
      <c r="Q30" s="5">
        <f>IFERROR(Q29/Q10,0)</f>
        <v>0.22236854416363172</v>
      </c>
    </row>
    <row r="31" spans="1:17" ht="15" customHeight="1" x14ac:dyDescent="0.3">
      <c r="A31" s="6"/>
      <c r="B31" s="7"/>
      <c r="C31" s="6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Q31" s="2"/>
    </row>
    <row r="32" spans="1:17" s="37" customFormat="1" ht="15" customHeight="1" x14ac:dyDescent="0.3">
      <c r="A32" s="7"/>
      <c r="B32" s="17" t="s">
        <v>286</v>
      </c>
      <c r="C32" s="7"/>
      <c r="D32" s="12" cm="1">
        <f t="array" ref="D32">SUM(OSRRefD20x_0)</f>
        <v>49140.74</v>
      </c>
      <c r="E32" s="12" cm="1">
        <f t="array" ref="E32">SUM(OSRRefD20x_1)</f>
        <v>53160.81</v>
      </c>
      <c r="F32" s="12" cm="1">
        <f t="array" ref="F32">SUM(OSRRefD20x_2)</f>
        <v>42592.3</v>
      </c>
      <c r="G32" s="12" cm="1">
        <f t="array" ref="G32">SUM(OSRRefD20x_3)</f>
        <v>47453.490000000005</v>
      </c>
      <c r="H32" s="12" cm="1">
        <f t="array" ref="H32">SUM(OSRRefD20x_4)</f>
        <v>40561.770000000011</v>
      </c>
      <c r="I32" s="12" cm="1">
        <f t="array" ref="I32">SUM(OSRRefD20x_5)</f>
        <v>46608.87000000001</v>
      </c>
      <c r="J32" s="12" cm="1">
        <f t="array" ref="J32">SUM(OSRRefD20x_6)</f>
        <v>52742.58</v>
      </c>
      <c r="K32" s="12" cm="1">
        <f t="array" ref="K32">SUM(OSRRefD20x_7)</f>
        <v>29171.58</v>
      </c>
      <c r="L32" s="12" cm="1">
        <f t="array" ref="L32">SUM(OSRRefD20x_8)</f>
        <v>36411.790000000008</v>
      </c>
      <c r="M32" s="12" cm="1">
        <f t="array" ref="M32">SUM(OSRRefD20x_9)</f>
        <v>50638.140000000007</v>
      </c>
      <c r="N32" s="12" cm="1">
        <f t="array" ref="N32">SUM(OSRRefE20x_0)</f>
        <v>45175.145897489718</v>
      </c>
      <c r="O32" s="12" cm="1">
        <f t="array" ref="O32">SUM(OSRRefE20x_1)</f>
        <v>58386.963591039719</v>
      </c>
      <c r="Q32" s="12" cm="1">
        <f t="array" ref="Q32">SUM(OSRRefG20x)</f>
        <v>552044.17948852945</v>
      </c>
    </row>
    <row r="33" spans="1:17" s="42" customFormat="1" ht="15" customHeight="1" collapsed="1" x14ac:dyDescent="0.3">
      <c r="A33" s="34"/>
      <c r="B33" s="15" t="str">
        <f>CONCATENATE("     ","*Benefits                                         ")</f>
        <v xml:space="preserve">     *Benefits                                         </v>
      </c>
      <c r="C33" s="15"/>
      <c r="D33" s="2">
        <f>SUM(OSRRefD21_0x_0)</f>
        <v>11803.07</v>
      </c>
      <c r="E33" s="2">
        <f>SUM(OSRRefD21_0x_1)</f>
        <v>12699.169999999998</v>
      </c>
      <c r="F33" s="2">
        <f>SUM(OSRRefD21_0x_2)</f>
        <v>11720.22</v>
      </c>
      <c r="G33" s="2">
        <f>SUM(OSRRefD21_0x_3)</f>
        <v>15715.130000000001</v>
      </c>
      <c r="H33" s="2">
        <f>SUM(OSRRefD21_0x_4)</f>
        <v>12540.8</v>
      </c>
      <c r="I33" s="2">
        <f>SUM(OSRRefD21_0x_5)</f>
        <v>12486.67</v>
      </c>
      <c r="J33" s="2">
        <f>SUM(OSRRefD21_0x_6)</f>
        <v>16187.02</v>
      </c>
      <c r="K33" s="2">
        <f>SUM(OSRRefD21_0x_7)</f>
        <v>-12457.830000000002</v>
      </c>
      <c r="L33" s="2">
        <f>SUM(OSRRefD21_0x_8)</f>
        <v>12084.51</v>
      </c>
      <c r="M33" s="2">
        <f>SUM(OSRRefD21_0x_9)</f>
        <v>14153.779999999999</v>
      </c>
      <c r="N33" s="2">
        <f>SUM(OSRRefE21_0x_0)</f>
        <v>13510.257352235916</v>
      </c>
      <c r="O33" s="2">
        <f>SUM(OSRRefE21_0x_1)</f>
        <v>13686.585045785916</v>
      </c>
      <c r="Q33" s="3">
        <f>SUM(OSRRefD20_0x)+IFERROR(SUM(OSRRefE20_0x),0)</f>
        <v>134129.38239802181</v>
      </c>
    </row>
    <row r="34" spans="1:17" s="42" customFormat="1" ht="15" hidden="1" customHeight="1" outlineLevel="1" x14ac:dyDescent="0.3">
      <c r="A34" s="34"/>
      <c r="B34" s="11" t="str">
        <f>CONCATENATE("          ","6111"," - ","F.I.C.A.")</f>
        <v xml:space="preserve">          6111 - F.I.C.A.</v>
      </c>
      <c r="C34" s="15"/>
      <c r="D34" s="3">
        <v>2103.61</v>
      </c>
      <c r="E34" s="3">
        <v>2560.6999999999998</v>
      </c>
      <c r="F34" s="3">
        <v>1747.21</v>
      </c>
      <c r="G34" s="3">
        <v>2647.68</v>
      </c>
      <c r="H34" s="3">
        <v>1887.94</v>
      </c>
      <c r="I34" s="3">
        <v>1933.15</v>
      </c>
      <c r="J34" s="3">
        <v>1970.39</v>
      </c>
      <c r="K34" s="3">
        <v>2953.98</v>
      </c>
      <c r="L34" s="3">
        <v>1676.61</v>
      </c>
      <c r="M34" s="3">
        <v>2400.81</v>
      </c>
      <c r="N34" s="3">
        <v>1967.82450197977</v>
      </c>
      <c r="O34" s="3">
        <v>2120.9943225297702</v>
      </c>
      <c r="P34" s="10"/>
      <c r="Q34" s="3">
        <f>SUM(OSRRefD21_0_0x)+IFERROR(SUM(OSRRefE21_0_0x),0)</f>
        <v>25970.898824509542</v>
      </c>
    </row>
    <row r="35" spans="1:17" s="42" customFormat="1" ht="15" hidden="1" customHeight="1" outlineLevel="1" x14ac:dyDescent="0.3">
      <c r="A35" s="34"/>
      <c r="B35" s="11" t="str">
        <f>CONCATENATE("          ","6112"," - ","COMPENSATION INSURANCE")</f>
        <v xml:space="preserve">          6112 - COMPENSATION INSURANCE</v>
      </c>
      <c r="C35" s="15"/>
      <c r="D35" s="3">
        <v>382.51</v>
      </c>
      <c r="E35" s="3">
        <v>471.05</v>
      </c>
      <c r="F35" s="3">
        <v>465.54</v>
      </c>
      <c r="G35" s="3">
        <v>519.37</v>
      </c>
      <c r="H35" s="3">
        <v>355.51</v>
      </c>
      <c r="I35" s="3">
        <v>354.74</v>
      </c>
      <c r="J35" s="3">
        <v>363.33</v>
      </c>
      <c r="K35" s="3">
        <v>533.20000000000005</v>
      </c>
      <c r="L35" s="3">
        <v>320.72000000000003</v>
      </c>
      <c r="M35" s="3">
        <v>295.63</v>
      </c>
      <c r="N35" s="3">
        <v>462.16119348000001</v>
      </c>
      <c r="O35" s="3">
        <v>469.73483748000001</v>
      </c>
      <c r="P35" s="10"/>
      <c r="Q35" s="3">
        <f>SUM(OSRRefD21_0_1x)+IFERROR(SUM(OSRRefE21_0_1x),0)</f>
        <v>4993.4960309599992</v>
      </c>
    </row>
    <row r="36" spans="1:17" s="42" customFormat="1" ht="15" hidden="1" customHeight="1" outlineLevel="1" x14ac:dyDescent="0.3">
      <c r="A36" s="34"/>
      <c r="B36" s="11" t="str">
        <f>CONCATENATE("          ","6113"," - ","GROUP INSURANCE")</f>
        <v xml:space="preserve">          6113 - GROUP INSURANCE</v>
      </c>
      <c r="C36" s="15"/>
      <c r="D36" s="3">
        <v>4593.8599999999997</v>
      </c>
      <c r="E36" s="3">
        <v>4593.8599999999997</v>
      </c>
      <c r="F36" s="3">
        <v>4650.1099999999997</v>
      </c>
      <c r="G36" s="3">
        <v>4593.8599999999997</v>
      </c>
      <c r="H36" s="3">
        <v>4593.8599999999997</v>
      </c>
      <c r="I36" s="3">
        <v>4593.8599999999997</v>
      </c>
      <c r="J36" s="3">
        <v>4452.97</v>
      </c>
      <c r="K36" s="3">
        <v>3017.37</v>
      </c>
      <c r="L36" s="3">
        <v>4253.97</v>
      </c>
      <c r="M36" s="3">
        <v>4253.97</v>
      </c>
      <c r="N36" s="3">
        <v>5314</v>
      </c>
      <c r="O36" s="3">
        <v>5314</v>
      </c>
      <c r="P36" s="10"/>
      <c r="Q36" s="3">
        <f>SUM(OSRRefD21_0_2x)+IFERROR(SUM(OSRRefE21_0_2x),0)</f>
        <v>54225.69</v>
      </c>
    </row>
    <row r="37" spans="1:17" s="42" customFormat="1" ht="15" hidden="1" customHeight="1" outlineLevel="1" x14ac:dyDescent="0.3">
      <c r="A37" s="34"/>
      <c r="B37" s="11" t="str">
        <f>CONCATENATE("          ","6114"," - ","STATE UNEMPLOYMENT INSURANCE")</f>
        <v xml:space="preserve">          6114 - STATE UNEMPLOYMENT INSURANCE</v>
      </c>
      <c r="C37" s="15"/>
      <c r="D37" s="3">
        <v>74.709999999999994</v>
      </c>
      <c r="E37" s="3">
        <v>93.92</v>
      </c>
      <c r="F37" s="3">
        <v>92.82</v>
      </c>
      <c r="G37" s="3">
        <v>103.04</v>
      </c>
      <c r="H37" s="3">
        <v>70.599999999999994</v>
      </c>
      <c r="I37" s="3">
        <v>70.459999999999994</v>
      </c>
      <c r="J37" s="3">
        <v>72.17</v>
      </c>
      <c r="K37" s="3">
        <v>106.2</v>
      </c>
      <c r="L37" s="3">
        <v>63.38</v>
      </c>
      <c r="M37" s="3">
        <v>58.32</v>
      </c>
      <c r="N37" s="3">
        <v>62.214006814615402</v>
      </c>
      <c r="O37" s="3">
        <v>63.233535814615401</v>
      </c>
      <c r="P37" s="10"/>
      <c r="Q37" s="3">
        <f>SUM(OSRRefD21_0_3x)+IFERROR(SUM(OSRRefE21_0_3x),0)</f>
        <v>931.06754262923096</v>
      </c>
    </row>
    <row r="38" spans="1:17" s="42" customFormat="1" ht="15" hidden="1" customHeight="1" outlineLevel="1" x14ac:dyDescent="0.3">
      <c r="A38" s="34"/>
      <c r="B38" s="11" t="str">
        <f>CONCATENATE("          ","6115"," - ","P.E.R.S.")</f>
        <v xml:space="preserve">          6115 - P.E.R.S.</v>
      </c>
      <c r="C38" s="15"/>
      <c r="D38" s="3">
        <v>1607.1</v>
      </c>
      <c r="E38" s="3">
        <v>1607.1</v>
      </c>
      <c r="F38" s="3">
        <v>1607.1</v>
      </c>
      <c r="G38" s="3">
        <v>2410.65</v>
      </c>
      <c r="H38" s="3">
        <v>1671.39</v>
      </c>
      <c r="I38" s="3">
        <v>1671.39</v>
      </c>
      <c r="J38" s="3">
        <v>1671.39</v>
      </c>
      <c r="K38" s="3">
        <v>3125.36</v>
      </c>
      <c r="L38" s="3">
        <v>1474.56</v>
      </c>
      <c r="M38" s="3">
        <v>2109.5500000000002</v>
      </c>
      <c r="N38" s="3">
        <v>1664.68278164615</v>
      </c>
      <c r="O38" s="3">
        <v>1664.68278164615</v>
      </c>
      <c r="P38" s="10"/>
      <c r="Q38" s="3">
        <f>SUM(OSRRefD21_0_4x)+IFERROR(SUM(OSRRefE21_0_4x),0)</f>
        <v>22284.955563292297</v>
      </c>
    </row>
    <row r="39" spans="1:17" s="42" customFormat="1" ht="15" hidden="1" customHeight="1" outlineLevel="1" x14ac:dyDescent="0.3">
      <c r="A39" s="34"/>
      <c r="B39" s="11" t="str">
        <f>CONCATENATE("          ","6116"," - ","EDUCATIONAL BENEFITS")</f>
        <v xml:space="preserve">          6116 - EDUCATIONAL BENEFITS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/>
      <c r="N39" s="3">
        <v>0</v>
      </c>
      <c r="O39" s="3">
        <v>0</v>
      </c>
      <c r="P39" s="10"/>
      <c r="Q39" s="3">
        <f>SUM(OSRRefD21_0_5x)+IFERROR(SUM(OSRRefE21_0_5x),0)</f>
        <v>0</v>
      </c>
    </row>
    <row r="40" spans="1:17" s="42" customFormat="1" ht="15" hidden="1" customHeight="1" outlineLevel="1" x14ac:dyDescent="0.3">
      <c r="A40" s="34"/>
      <c r="B40" s="11" t="str">
        <f>CONCATENATE("          ","6117"," - ","RETIREMENT STAFF HOURLY")</f>
        <v xml:space="preserve">          6117 - RETIREMENT STAFF HOURLY</v>
      </c>
      <c r="C40" s="15"/>
      <c r="D40" s="3">
        <v>253.61</v>
      </c>
      <c r="E40" s="3">
        <v>532.32000000000005</v>
      </c>
      <c r="F40" s="3">
        <v>190.96</v>
      </c>
      <c r="G40" s="3">
        <v>271.36</v>
      </c>
      <c r="H40" s="3">
        <v>274.61</v>
      </c>
      <c r="I40" s="3">
        <v>285.08999999999997</v>
      </c>
      <c r="J40" s="3">
        <v>459.29</v>
      </c>
      <c r="K40" s="3">
        <v>327.02</v>
      </c>
      <c r="L40" s="3">
        <v>362.45</v>
      </c>
      <c r="M40" s="3">
        <v>258.64999999999998</v>
      </c>
      <c r="N40" s="3"/>
      <c r="O40" s="3"/>
      <c r="P40" s="10"/>
      <c r="Q40" s="3">
        <f>SUM(OSRRefD21_0_6x)+IFERROR(SUM(OSRRefE21_0_6x),0)</f>
        <v>3215.36</v>
      </c>
    </row>
    <row r="41" spans="1:17" s="42" customFormat="1" ht="15" hidden="1" customHeight="1" outlineLevel="1" x14ac:dyDescent="0.3">
      <c r="A41" s="34"/>
      <c r="B41" s="11" t="str">
        <f>CONCATENATE("          ","6118"," - ","VACATION")</f>
        <v xml:space="preserve">          6118 - VACATION</v>
      </c>
      <c r="C41" s="15"/>
      <c r="D41" s="3">
        <v>1357.34</v>
      </c>
      <c r="E41" s="3">
        <v>1307.55</v>
      </c>
      <c r="F41" s="3">
        <v>1143.8800000000001</v>
      </c>
      <c r="G41" s="3">
        <v>2292.4699999999998</v>
      </c>
      <c r="H41" s="3">
        <v>1600</v>
      </c>
      <c r="I41" s="3">
        <v>1532.44</v>
      </c>
      <c r="J41" s="3">
        <v>2447.1999999999998</v>
      </c>
      <c r="K41" s="3">
        <v>3634.12</v>
      </c>
      <c r="L41" s="3">
        <v>1691.08</v>
      </c>
      <c r="M41" s="3">
        <v>2277.9</v>
      </c>
      <c r="N41" s="3">
        <v>1689.1935418999999</v>
      </c>
      <c r="O41" s="3">
        <v>1689.1935418999999</v>
      </c>
      <c r="P41" s="10"/>
      <c r="Q41" s="3">
        <f>SUM(OSRRefD21_0_7x)+IFERROR(SUM(OSRRefE21_0_7x),0)</f>
        <v>22662.367083800003</v>
      </c>
    </row>
    <row r="42" spans="1:17" s="42" customFormat="1" ht="15" hidden="1" customHeight="1" outlineLevel="1" x14ac:dyDescent="0.3">
      <c r="A42" s="34"/>
      <c r="B42" s="11" t="str">
        <f>CONCATENATE("          ","6119"," - ","SICK LEAVE")</f>
        <v xml:space="preserve">          6119 - SICK LEAVE</v>
      </c>
      <c r="C42" s="15"/>
      <c r="D42" s="3">
        <v>1071.9000000000001</v>
      </c>
      <c r="E42" s="3">
        <v>1071.9000000000001</v>
      </c>
      <c r="F42" s="3">
        <v>1071.9000000000001</v>
      </c>
      <c r="G42" s="3">
        <v>1607.84</v>
      </c>
      <c r="H42" s="3">
        <v>1114.74</v>
      </c>
      <c r="I42" s="3">
        <v>1114.74</v>
      </c>
      <c r="J42" s="3">
        <v>3712.89</v>
      </c>
      <c r="K42" s="3">
        <v>-27254.15</v>
      </c>
      <c r="L42" s="3">
        <v>1158.1500000000001</v>
      </c>
      <c r="M42" s="3">
        <v>1427.27</v>
      </c>
      <c r="N42" s="3">
        <v>1300.18132641538</v>
      </c>
      <c r="O42" s="3">
        <v>1314.7460264153799</v>
      </c>
      <c r="P42" s="10"/>
      <c r="Q42" s="3">
        <f>SUM(OSRRefD21_0_8x)+IFERROR(SUM(OSRRefE21_0_8x),0)</f>
        <v>-11287.892647169241</v>
      </c>
    </row>
    <row r="43" spans="1:17" s="42" customFormat="1" ht="15" hidden="1" customHeight="1" outlineLevel="1" x14ac:dyDescent="0.3">
      <c r="A43" s="34"/>
      <c r="B43" s="11" t="str">
        <f>CONCATENATE("          ","6156"," - ","EMPLOYEE MEALS")</f>
        <v xml:space="preserve">          6156 - EMPLOYEE MEALS</v>
      </c>
      <c r="C43" s="15"/>
      <c r="D43" s="3">
        <v>358.43</v>
      </c>
      <c r="E43" s="3">
        <v>460.77</v>
      </c>
      <c r="F43" s="3">
        <v>750.7</v>
      </c>
      <c r="G43" s="3">
        <v>1268.8599999999999</v>
      </c>
      <c r="H43" s="3">
        <v>972.15</v>
      </c>
      <c r="I43" s="3">
        <v>930.8</v>
      </c>
      <c r="J43" s="3">
        <v>1037.3900000000001</v>
      </c>
      <c r="K43" s="3">
        <v>1099.07</v>
      </c>
      <c r="L43" s="3">
        <v>1083.5899999999999</v>
      </c>
      <c r="M43" s="3">
        <v>1071.68</v>
      </c>
      <c r="N43" s="3">
        <v>1050</v>
      </c>
      <c r="O43" s="3">
        <v>1050</v>
      </c>
      <c r="P43" s="10"/>
      <c r="Q43" s="3">
        <f>SUM(OSRRefD21_0_9x)+IFERROR(SUM(OSRRefE21_0_9x),0)</f>
        <v>11133.44</v>
      </c>
    </row>
    <row r="44" spans="1:17" s="42" customFormat="1" ht="15" customHeight="1" collapsed="1" x14ac:dyDescent="0.3">
      <c r="A44" s="34"/>
      <c r="B44" s="15" t="str">
        <f>CONCATENATE("     ","*Payroll                                          ")</f>
        <v xml:space="preserve">     *Payroll                                          </v>
      </c>
      <c r="C44" s="15"/>
      <c r="D44" s="2">
        <f>SUM(OSRRefD21_1x_0)</f>
        <v>32421.75</v>
      </c>
      <c r="E44" s="2">
        <f>SUM(OSRRefD21_1x_1)</f>
        <v>37759.429999999993</v>
      </c>
      <c r="F44" s="2">
        <f>SUM(OSRRefD21_1x_2)</f>
        <v>29190.14</v>
      </c>
      <c r="G44" s="2">
        <f>SUM(OSRRefD21_1x_3)</f>
        <v>25944.329999999998</v>
      </c>
      <c r="H44" s="2">
        <f>SUM(OSRRefD21_1x_4)</f>
        <v>23870.59</v>
      </c>
      <c r="I44" s="2">
        <f>SUM(OSRRefD21_1x_5)</f>
        <v>25995.670000000002</v>
      </c>
      <c r="J44" s="2">
        <f>SUM(OSRRefD21_1x_6)</f>
        <v>32963.040000000001</v>
      </c>
      <c r="K44" s="2">
        <f>SUM(OSRRefD21_1x_7)</f>
        <v>39884.450000000004</v>
      </c>
      <c r="L44" s="2">
        <f>SUM(OSRRefD21_1x_8)</f>
        <v>21854.46</v>
      </c>
      <c r="M44" s="2">
        <f>SUM(OSRRefD21_1x_9)</f>
        <v>25386.38</v>
      </c>
      <c r="N44" s="2">
        <f>SUM(OSRRefE21_1x_0)</f>
        <v>27134.888545253802</v>
      </c>
      <c r="O44" s="2">
        <f>SUM(OSRRefE21_1x_1)</f>
        <v>27620.378545253803</v>
      </c>
      <c r="Q44" s="3">
        <f>SUM(OSRRefD20_1x)+IFERROR(SUM(OSRRefE20_1x),0)</f>
        <v>350025.50709050766</v>
      </c>
    </row>
    <row r="45" spans="1:17" s="42" customFormat="1" ht="15" hidden="1" customHeight="1" outlineLevel="1" x14ac:dyDescent="0.3">
      <c r="A45" s="34"/>
      <c r="B45" s="11" t="str">
        <f>CONCATENATE("          ","6001"," - ","ADMINISTRATIVE SALARIES")</f>
        <v xml:space="preserve">          6001 - ADMINISTRATIVE SALARIES</v>
      </c>
      <c r="C45" s="15"/>
      <c r="D45" s="3"/>
      <c r="E45" s="3"/>
      <c r="F45" s="3"/>
      <c r="G45" s="3"/>
      <c r="H45" s="3"/>
      <c r="I45" s="3"/>
      <c r="J45" s="3"/>
      <c r="K45" s="3"/>
      <c r="L45" s="3"/>
      <c r="M45" s="3"/>
      <c r="N45" s="3">
        <v>0</v>
      </c>
      <c r="O45" s="3">
        <v>0</v>
      </c>
      <c r="P45" s="10"/>
      <c r="Q45" s="3">
        <f>SUM(OSRRefD21_1_0x)+IFERROR(SUM(OSRRefE21_1_0x),0)</f>
        <v>0</v>
      </c>
    </row>
    <row r="46" spans="1:17" s="42" customFormat="1" ht="15" hidden="1" customHeight="1" outlineLevel="1" x14ac:dyDescent="0.3">
      <c r="A46" s="34"/>
      <c r="B46" s="11" t="str">
        <f>CONCATENATE("          ","6002"," - ","STAFF SALARIES")</f>
        <v xml:space="preserve">          6002 - STAFF SALARIES</v>
      </c>
      <c r="C46" s="15"/>
      <c r="D46" s="3">
        <v>19061.23</v>
      </c>
      <c r="E46" s="3">
        <v>17688.78</v>
      </c>
      <c r="F46" s="3">
        <v>16350.77</v>
      </c>
      <c r="G46" s="3">
        <v>16567.12</v>
      </c>
      <c r="H46" s="3">
        <v>15611.26</v>
      </c>
      <c r="I46" s="3">
        <v>16929.34</v>
      </c>
      <c r="J46" s="3">
        <v>20995.06</v>
      </c>
      <c r="K46" s="3">
        <v>31965.37</v>
      </c>
      <c r="L46" s="3">
        <v>14828.41</v>
      </c>
      <c r="M46" s="3">
        <v>19061.86</v>
      </c>
      <c r="N46" s="3">
        <v>17293.700777253802</v>
      </c>
      <c r="O46" s="3">
        <v>17293.700777253802</v>
      </c>
      <c r="P46" s="10"/>
      <c r="Q46" s="3">
        <f>SUM(OSRRefD21_1_1x)+IFERROR(SUM(OSRRefE21_1_1x),0)</f>
        <v>223646.60155450762</v>
      </c>
    </row>
    <row r="47" spans="1:17" s="42" customFormat="1" ht="15" hidden="1" customHeight="1" outlineLevel="1" x14ac:dyDescent="0.3">
      <c r="A47" s="34"/>
      <c r="B47" s="11" t="str">
        <f>CONCATENATE("          ","6003"," - ","STAFF HOURLY-9 MONTH")</f>
        <v xml:space="preserve">          6003 - STAFF HOURLY-9 MONTH</v>
      </c>
      <c r="C47" s="15"/>
      <c r="D47" s="3"/>
      <c r="E47" s="3"/>
      <c r="F47" s="3"/>
      <c r="G47" s="3"/>
      <c r="H47" s="3"/>
      <c r="I47" s="3"/>
      <c r="J47" s="3"/>
      <c r="K47" s="3"/>
      <c r="L47" s="3"/>
      <c r="M47" s="3"/>
      <c r="N47" s="3">
        <v>0</v>
      </c>
      <c r="O47" s="3">
        <v>0</v>
      </c>
      <c r="P47" s="10"/>
      <c r="Q47" s="3">
        <f>SUM(OSRRefD21_1_2x)+IFERROR(SUM(OSRRefE21_1_2x),0)</f>
        <v>0</v>
      </c>
    </row>
    <row r="48" spans="1:17" s="42" customFormat="1" ht="15" hidden="1" customHeight="1" outlineLevel="1" x14ac:dyDescent="0.3">
      <c r="A48" s="34"/>
      <c r="B48" s="11" t="str">
        <f>CONCATENATE("          ","6004"," - ","STAFF HOURLY")</f>
        <v xml:space="preserve">          6004 - STAFF HOURLY</v>
      </c>
      <c r="C48" s="15"/>
      <c r="D48" s="3">
        <v>6184.05</v>
      </c>
      <c r="E48" s="3">
        <v>6640.82</v>
      </c>
      <c r="F48" s="3">
        <v>4924.04</v>
      </c>
      <c r="G48" s="3">
        <v>7047.55</v>
      </c>
      <c r="H48" s="3">
        <v>4911.74</v>
      </c>
      <c r="I48" s="3">
        <v>5854.93</v>
      </c>
      <c r="J48" s="3">
        <v>6871.75</v>
      </c>
      <c r="K48" s="3">
        <v>8190.43</v>
      </c>
      <c r="L48" s="3">
        <v>4726.37</v>
      </c>
      <c r="M48" s="3">
        <v>6483.84</v>
      </c>
      <c r="N48" s="3">
        <v>5928.5827680000002</v>
      </c>
      <c r="O48" s="3">
        <v>5928.5827680000002</v>
      </c>
      <c r="P48" s="10"/>
      <c r="Q48" s="3">
        <f>SUM(OSRRefD21_1_3x)+IFERROR(SUM(OSRRefE21_1_3x),0)</f>
        <v>73692.685536000005</v>
      </c>
    </row>
    <row r="49" spans="1:17" s="42" customFormat="1" ht="15" hidden="1" customHeight="1" outlineLevel="1" x14ac:dyDescent="0.3">
      <c r="A49" s="34"/>
      <c r="B49" s="11" t="str">
        <f>CONCATENATE("          ","6005"," - ","TEMPORARY WAGES-HOURLY")</f>
        <v xml:space="preserve">          6005 - TEMPORARY WAGES-HOURLY</v>
      </c>
      <c r="C49" s="15"/>
      <c r="D49" s="3">
        <v>3877.79</v>
      </c>
      <c r="E49" s="3">
        <v>3203.48</v>
      </c>
      <c r="F49" s="3">
        <v>1055.96</v>
      </c>
      <c r="G49" s="3">
        <v>2403.63</v>
      </c>
      <c r="H49" s="3">
        <v>2066.79</v>
      </c>
      <c r="I49" s="3">
        <v>2090.66</v>
      </c>
      <c r="J49" s="3"/>
      <c r="K49" s="3"/>
      <c r="L49" s="3"/>
      <c r="M49" s="3"/>
      <c r="N49" s="3">
        <v>2252.5</v>
      </c>
      <c r="O49" s="3">
        <v>2396.66</v>
      </c>
      <c r="P49" s="10"/>
      <c r="Q49" s="3">
        <f>SUM(OSRRefD21_1_4x)+IFERROR(SUM(OSRRefE21_1_4x),0)</f>
        <v>19347.47</v>
      </c>
    </row>
    <row r="50" spans="1:17" s="42" customFormat="1" ht="15" hidden="1" customHeight="1" outlineLevel="1" x14ac:dyDescent="0.3">
      <c r="A50" s="34"/>
      <c r="B50" s="11" t="str">
        <f>CONCATENATE("          ","6006"," - ","TEMPORARY PART TIME")</f>
        <v xml:space="preserve">          6006 - TEMPORARY PART TIME</v>
      </c>
      <c r="C50" s="15"/>
      <c r="D50" s="3"/>
      <c r="E50" s="3"/>
      <c r="F50" s="3"/>
      <c r="G50" s="3"/>
      <c r="H50" s="3"/>
      <c r="I50" s="3"/>
      <c r="J50" s="3"/>
      <c r="K50" s="3"/>
      <c r="L50" s="3"/>
      <c r="M50" s="3"/>
      <c r="N50" s="3">
        <v>0</v>
      </c>
      <c r="O50" s="3">
        <v>0</v>
      </c>
      <c r="P50" s="10"/>
      <c r="Q50" s="3">
        <f>SUM(OSRRefD21_1_5x)+IFERROR(SUM(OSRRefE21_1_5x),0)</f>
        <v>0</v>
      </c>
    </row>
    <row r="51" spans="1:17" s="42" customFormat="1" ht="15" hidden="1" customHeight="1" outlineLevel="1" x14ac:dyDescent="0.3">
      <c r="A51" s="34"/>
      <c r="B51" s="11" t="str">
        <f>CONCATENATE("          ","6007"," - ","STUDENT HOURLY")</f>
        <v xml:space="preserve">          6007 - STUDENT HOURLY</v>
      </c>
      <c r="C51" s="15"/>
      <c r="D51" s="3">
        <v>3298.68</v>
      </c>
      <c r="E51" s="3">
        <v>8687.33</v>
      </c>
      <c r="F51" s="3">
        <v>4598.51</v>
      </c>
      <c r="G51" s="3">
        <v>-240.57</v>
      </c>
      <c r="H51" s="3">
        <v>1280.8</v>
      </c>
      <c r="I51" s="3">
        <v>1120.74</v>
      </c>
      <c r="J51" s="3">
        <v>5096.2299999999996</v>
      </c>
      <c r="K51" s="3">
        <v>-271.35000000000002</v>
      </c>
      <c r="L51" s="3">
        <v>2299.6799999999998</v>
      </c>
      <c r="M51" s="3">
        <v>-159.32</v>
      </c>
      <c r="N51" s="3">
        <v>0</v>
      </c>
      <c r="O51" s="3">
        <v>2001.4349999999999</v>
      </c>
      <c r="P51" s="10"/>
      <c r="Q51" s="3">
        <f>SUM(OSRRefD21_1_6x)+IFERROR(SUM(OSRRefE21_1_6x),0)</f>
        <v>27712.165000000005</v>
      </c>
    </row>
    <row r="52" spans="1:17" s="42" customFormat="1" ht="15" hidden="1" customHeight="1" outlineLevel="1" x14ac:dyDescent="0.3">
      <c r="A52" s="34"/>
      <c r="B52" s="11" t="str">
        <f>CONCATENATE("          ","6008"," - ","STUDENT HOURLY-FICA EXEMPT")</f>
        <v xml:space="preserve">          6008 - STUDENT HOURLY-FICA EXEMPT</v>
      </c>
      <c r="C52" s="15"/>
      <c r="D52" s="3"/>
      <c r="E52" s="3">
        <v>1539.02</v>
      </c>
      <c r="F52" s="3">
        <v>2260.86</v>
      </c>
      <c r="G52" s="3">
        <v>166.6</v>
      </c>
      <c r="H52" s="3"/>
      <c r="I52" s="3"/>
      <c r="J52" s="3"/>
      <c r="K52" s="3"/>
      <c r="L52" s="3"/>
      <c r="M52" s="3"/>
      <c r="N52" s="3">
        <v>1660.105</v>
      </c>
      <c r="O52" s="3">
        <v>0</v>
      </c>
      <c r="P52" s="10"/>
      <c r="Q52" s="3">
        <f>SUM(OSRRefD21_1_7x)+IFERROR(SUM(OSRRefE21_1_7x),0)</f>
        <v>5626.585</v>
      </c>
    </row>
    <row r="53" spans="1:17" s="42" customFormat="1" ht="15" hidden="1" customHeight="1" outlineLevel="1" x14ac:dyDescent="0.3">
      <c r="A53" s="34"/>
      <c r="B53" s="11" t="str">
        <f>CONCATENATE("          ","6009"," - ","TEMPORARY-SEASONAL")</f>
        <v xml:space="preserve">          6009 - TEMPORARY-SEASONAL</v>
      </c>
      <c r="C53" s="15"/>
      <c r="D53" s="3"/>
      <c r="E53" s="3"/>
      <c r="F53" s="3"/>
      <c r="G53" s="3"/>
      <c r="H53" s="3"/>
      <c r="I53" s="3"/>
      <c r="J53" s="3"/>
      <c r="K53" s="3"/>
      <c r="L53" s="3"/>
      <c r="M53" s="3"/>
      <c r="N53" s="3">
        <v>0</v>
      </c>
      <c r="O53" s="3">
        <v>0</v>
      </c>
      <c r="P53" s="10"/>
      <c r="Q53" s="3">
        <f>SUM(OSRRefD21_1_8x)+IFERROR(SUM(OSRRefE21_1_8x),0)</f>
        <v>0</v>
      </c>
    </row>
    <row r="54" spans="1:17" s="42" customFormat="1" ht="15" hidden="1" customHeight="1" outlineLevel="1" x14ac:dyDescent="0.3">
      <c r="A54" s="34"/>
      <c r="B54" s="11" t="str">
        <f>CONCATENATE("          ","6010"," - ","GRATUITY")</f>
        <v xml:space="preserve">          6010 - GRATUITY</v>
      </c>
      <c r="C54" s="15"/>
      <c r="D54" s="3"/>
      <c r="E54" s="3"/>
      <c r="F54" s="3"/>
      <c r="G54" s="3"/>
      <c r="H54" s="3"/>
      <c r="I54" s="3"/>
      <c r="J54" s="3"/>
      <c r="K54" s="3"/>
      <c r="L54" s="3"/>
      <c r="M54" s="3"/>
      <c r="N54" s="3">
        <v>0</v>
      </c>
      <c r="O54" s="3">
        <v>0</v>
      </c>
      <c r="P54" s="10"/>
      <c r="Q54" s="3">
        <f>SUM(OSRRefD21_1_9x)+IFERROR(SUM(OSRRefE21_1_9x),0)</f>
        <v>0</v>
      </c>
    </row>
    <row r="55" spans="1:17" s="42" customFormat="1" ht="15" customHeight="1" collapsed="1" x14ac:dyDescent="0.3">
      <c r="A55" s="34"/>
      <c r="B55" s="15" t="str">
        <f>CONCATENATE("     ","Advertising/Promo                                 ")</f>
        <v xml:space="preserve">     Advertising/Promo                                 </v>
      </c>
      <c r="C55" s="15"/>
      <c r="D55" s="2">
        <f>SUM(OSRRefD21_2x_0)</f>
        <v>0</v>
      </c>
      <c r="E55" s="2">
        <f>SUM(OSRRefD21_2x_1)</f>
        <v>84.14</v>
      </c>
      <c r="F55" s="2">
        <f>SUM(OSRRefD21_2x_2)</f>
        <v>35.28</v>
      </c>
      <c r="G55" s="2">
        <f>SUM(OSRRefD21_2x_3)</f>
        <v>113.63</v>
      </c>
      <c r="H55" s="2">
        <f>SUM(OSRRefD21_2x_4)</f>
        <v>0.66</v>
      </c>
      <c r="I55" s="2">
        <f>SUM(OSRRefD21_2x_5)</f>
        <v>563.54</v>
      </c>
      <c r="J55" s="2">
        <f>SUM(OSRRefD21_2x_6)</f>
        <v>0</v>
      </c>
      <c r="K55" s="2">
        <f>SUM(OSRRefD21_2x_7)</f>
        <v>40.54</v>
      </c>
      <c r="L55" s="2">
        <f>SUM(OSRRefD21_2x_8)</f>
        <v>0</v>
      </c>
      <c r="M55" s="2">
        <f>SUM(OSRRefD21_2x_9)</f>
        <v>97.81</v>
      </c>
      <c r="N55" s="2">
        <f>SUM(OSRRefE21_2x_0)</f>
        <v>200</v>
      </c>
      <c r="O55" s="2">
        <f>SUM(OSRRefE21_2x_1)</f>
        <v>100</v>
      </c>
      <c r="Q55" s="3">
        <f>SUM(OSRRefD20_2x)+IFERROR(SUM(OSRRefE20_2x),0)</f>
        <v>1235.5999999999999</v>
      </c>
    </row>
    <row r="56" spans="1:17" s="42" customFormat="1" ht="15" hidden="1" customHeight="1" outlineLevel="1" x14ac:dyDescent="0.3">
      <c r="A56" s="34"/>
      <c r="B56" s="11" t="str">
        <f>CONCATENATE("          ","6362"," - ","ADVERTISING EXPENSE")</f>
        <v xml:space="preserve">          6362 - ADVERTISING EXPENSE</v>
      </c>
      <c r="C56" s="15"/>
      <c r="D56" s="3"/>
      <c r="E56" s="3">
        <v>84.14</v>
      </c>
      <c r="F56" s="3">
        <v>35.28</v>
      </c>
      <c r="G56" s="3">
        <v>113.63</v>
      </c>
      <c r="H56" s="3">
        <v>0.66</v>
      </c>
      <c r="I56" s="3">
        <v>563.54</v>
      </c>
      <c r="J56" s="3"/>
      <c r="K56" s="3">
        <v>40.54</v>
      </c>
      <c r="L56" s="3"/>
      <c r="M56" s="3">
        <v>97.81</v>
      </c>
      <c r="N56" s="3">
        <v>200</v>
      </c>
      <c r="O56" s="3">
        <v>100</v>
      </c>
      <c r="P56" s="10"/>
      <c r="Q56" s="3">
        <f>SUM(OSRRefD21_2_0x)+IFERROR(SUM(OSRRefE21_2_0x),0)</f>
        <v>1235.5999999999999</v>
      </c>
    </row>
    <row r="57" spans="1:17" s="42" customFormat="1" ht="15" customHeight="1" collapsed="1" x14ac:dyDescent="0.3">
      <c r="A57" s="34"/>
      <c r="B57" s="15" t="str">
        <f>CONCATENATE("     ","Discounts and Markdowns                           ")</f>
        <v xml:space="preserve">     Discounts and Markdowns                           </v>
      </c>
      <c r="C57" s="15"/>
      <c r="D57" s="2">
        <f>SUM(OSRRefD21_3x_0)</f>
        <v>0</v>
      </c>
      <c r="E57" s="2">
        <f>SUM(OSRRefD21_3x_1)</f>
        <v>0</v>
      </c>
      <c r="F57" s="2">
        <f>SUM(OSRRefD21_3x_2)</f>
        <v>0</v>
      </c>
      <c r="G57" s="2">
        <f>SUM(OSRRefD21_3x_3)</f>
        <v>0</v>
      </c>
      <c r="H57" s="2">
        <f>SUM(OSRRefD21_3x_4)</f>
        <v>0</v>
      </c>
      <c r="I57" s="2">
        <f>SUM(OSRRefD21_3x_5)</f>
        <v>0</v>
      </c>
      <c r="J57" s="2">
        <f>SUM(OSRRefD21_3x_6)</f>
        <v>1.35</v>
      </c>
      <c r="K57" s="2">
        <f>SUM(OSRRefD21_3x_7)</f>
        <v>0</v>
      </c>
      <c r="L57" s="2">
        <f>SUM(OSRRefD21_3x_8)</f>
        <v>0</v>
      </c>
      <c r="M57" s="2">
        <f>SUM(OSRRefD21_3x_9)</f>
        <v>0</v>
      </c>
      <c r="N57" s="2">
        <f>SUM(OSRRefE21_3x_0)</f>
        <v>0</v>
      </c>
      <c r="O57" s="2">
        <f>SUM(OSRRefE21_3x_1)</f>
        <v>0</v>
      </c>
      <c r="Q57" s="3">
        <f>SUM(OSRRefD20_3x)+IFERROR(SUM(OSRRefE20_3x),0)</f>
        <v>1.35</v>
      </c>
    </row>
    <row r="58" spans="1:17" s="42" customFormat="1" ht="15" hidden="1" customHeight="1" outlineLevel="1" x14ac:dyDescent="0.3">
      <c r="A58" s="34"/>
      <c r="B58" s="11" t="str">
        <f>CONCATENATE("          ","6382"," - ","DISCOUNTS/MARK DOWNS")</f>
        <v xml:space="preserve">          6382 - DISCOUNTS/MARK DOWNS</v>
      </c>
      <c r="C58" s="15"/>
      <c r="D58" s="3"/>
      <c r="E58" s="3"/>
      <c r="F58" s="3"/>
      <c r="G58" s="3"/>
      <c r="H58" s="3"/>
      <c r="I58" s="3"/>
      <c r="J58" s="3">
        <v>1.35</v>
      </c>
      <c r="K58" s="3"/>
      <c r="L58" s="3"/>
      <c r="M58" s="3"/>
      <c r="N58" s="3"/>
      <c r="O58" s="3"/>
      <c r="P58" s="10"/>
      <c r="Q58" s="3">
        <f>SUM(OSRRefD21_3_0x)+IFERROR(SUM(OSRRefE21_3_0x),0)</f>
        <v>1.35</v>
      </c>
    </row>
    <row r="59" spans="1:17" s="42" customFormat="1" ht="15" customHeight="1" collapsed="1" x14ac:dyDescent="0.3">
      <c r="A59" s="34"/>
      <c r="B59" s="15" t="str">
        <f>CONCATENATE("     ","Employees' Appreciation                           ")</f>
        <v xml:space="preserve">     Employees' Appreciation                           </v>
      </c>
      <c r="C59" s="15"/>
      <c r="D59" s="2">
        <f>SUM(OSRRefD21_4x_0)</f>
        <v>0</v>
      </c>
      <c r="E59" s="2">
        <f>SUM(OSRRefD21_4x_1)</f>
        <v>0</v>
      </c>
      <c r="F59" s="2">
        <f>SUM(OSRRefD21_4x_2)</f>
        <v>0</v>
      </c>
      <c r="G59" s="2">
        <f>SUM(OSRRefD21_4x_3)</f>
        <v>0</v>
      </c>
      <c r="H59" s="2">
        <f>SUM(OSRRefD21_4x_4)</f>
        <v>0</v>
      </c>
      <c r="I59" s="2">
        <f>SUM(OSRRefD21_4x_5)</f>
        <v>0</v>
      </c>
      <c r="J59" s="2">
        <f>SUM(OSRRefD21_4x_6)</f>
        <v>0</v>
      </c>
      <c r="K59" s="2">
        <f>SUM(OSRRefD21_4x_7)</f>
        <v>0</v>
      </c>
      <c r="L59" s="2">
        <f>SUM(OSRRefD21_4x_8)</f>
        <v>0</v>
      </c>
      <c r="M59" s="2">
        <f>SUM(OSRRefD21_4x_9)</f>
        <v>0</v>
      </c>
      <c r="N59" s="2">
        <f>SUM(OSRRefE21_4x_0)</f>
        <v>50</v>
      </c>
      <c r="O59" s="2">
        <f>SUM(OSRRefE21_4x_1)</f>
        <v>50</v>
      </c>
      <c r="Q59" s="3">
        <f>SUM(OSRRefD20_4x)+IFERROR(SUM(OSRRefE20_4x),0)</f>
        <v>100</v>
      </c>
    </row>
    <row r="60" spans="1:17" s="42" customFormat="1" ht="15" hidden="1" customHeight="1" outlineLevel="1" x14ac:dyDescent="0.3">
      <c r="A60" s="34"/>
      <c r="B60" s="11" t="str">
        <f>CONCATENATE("          ","6277"," - ","EMPLOYEE APPRECIATION")</f>
        <v xml:space="preserve">          6277 - EMPLOYEE APPRECIATION</v>
      </c>
      <c r="C60" s="15"/>
      <c r="D60" s="3"/>
      <c r="E60" s="3"/>
      <c r="F60" s="3"/>
      <c r="G60" s="3"/>
      <c r="H60" s="3"/>
      <c r="I60" s="3"/>
      <c r="J60" s="3"/>
      <c r="K60" s="3"/>
      <c r="L60" s="3"/>
      <c r="M60" s="3"/>
      <c r="N60" s="3">
        <v>50</v>
      </c>
      <c r="O60" s="3">
        <v>50</v>
      </c>
      <c r="P60" s="10"/>
      <c r="Q60" s="3">
        <f>SUM(OSRRefD21_4_0x)+IFERROR(SUM(OSRRefE21_4_0x),0)</f>
        <v>100</v>
      </c>
    </row>
    <row r="61" spans="1:17" s="42" customFormat="1" ht="15" customHeight="1" collapsed="1" x14ac:dyDescent="0.3">
      <c r="A61" s="34"/>
      <c r="B61" s="15" t="str">
        <f>CONCATENATE("     ","Equipment Rental                                  ")</f>
        <v xml:space="preserve">     Equipment Rental                                  </v>
      </c>
      <c r="C61" s="15"/>
      <c r="D61" s="2">
        <f>SUM(OSRRefD21_5x_0)</f>
        <v>91.26</v>
      </c>
      <c r="E61" s="2">
        <f>SUM(OSRRefD21_5x_1)</f>
        <v>91.26</v>
      </c>
      <c r="F61" s="2">
        <f>SUM(OSRRefD21_5x_2)</f>
        <v>91.26</v>
      </c>
      <c r="G61" s="2">
        <f>SUM(OSRRefD21_5x_3)</f>
        <v>91.26</v>
      </c>
      <c r="H61" s="2">
        <f>SUM(OSRRefD21_5x_4)</f>
        <v>91.26</v>
      </c>
      <c r="I61" s="2">
        <f>SUM(OSRRefD21_5x_5)</f>
        <v>91.26</v>
      </c>
      <c r="J61" s="2">
        <f>SUM(OSRRefD21_5x_6)</f>
        <v>91.26</v>
      </c>
      <c r="K61" s="2">
        <f>SUM(OSRRefD21_5x_7)</f>
        <v>91.26</v>
      </c>
      <c r="L61" s="2">
        <f>SUM(OSRRefD21_5x_8)</f>
        <v>91.26</v>
      </c>
      <c r="M61" s="2">
        <f>SUM(OSRRefD21_5x_9)</f>
        <v>91.26</v>
      </c>
      <c r="N61" s="2">
        <f>SUM(OSRRefE21_5x_0)</f>
        <v>100</v>
      </c>
      <c r="O61" s="2">
        <f>SUM(OSRRefE21_5x_1)</f>
        <v>100</v>
      </c>
      <c r="Q61" s="3">
        <f>SUM(OSRRefD20_5x)+IFERROR(SUM(OSRRefE20_5x),0)</f>
        <v>1112.5999999999999</v>
      </c>
    </row>
    <row r="62" spans="1:17" s="42" customFormat="1" ht="15" hidden="1" customHeight="1" outlineLevel="1" x14ac:dyDescent="0.3">
      <c r="A62" s="34"/>
      <c r="B62" s="11" t="str">
        <f>CONCATENATE("          ","6351"," - ","EQUIPMENT RENTAL")</f>
        <v xml:space="preserve">          6351 - EQUIPMENT RENTAL</v>
      </c>
      <c r="C62" s="15"/>
      <c r="D62" s="3">
        <v>91.26</v>
      </c>
      <c r="E62" s="3">
        <v>91.26</v>
      </c>
      <c r="F62" s="3">
        <v>91.26</v>
      </c>
      <c r="G62" s="3">
        <v>91.26</v>
      </c>
      <c r="H62" s="3">
        <v>91.26</v>
      </c>
      <c r="I62" s="3">
        <v>91.26</v>
      </c>
      <c r="J62" s="3">
        <v>91.26</v>
      </c>
      <c r="K62" s="3">
        <v>91.26</v>
      </c>
      <c r="L62" s="3">
        <v>91.26</v>
      </c>
      <c r="M62" s="3">
        <v>91.26</v>
      </c>
      <c r="N62" s="3">
        <v>100</v>
      </c>
      <c r="O62" s="3">
        <v>100</v>
      </c>
      <c r="P62" s="10"/>
      <c r="Q62" s="3">
        <f>SUM(OSRRefD21_5_0x)+IFERROR(SUM(OSRRefE21_5_0x),0)</f>
        <v>1112.5999999999999</v>
      </c>
    </row>
    <row r="63" spans="1:17" s="42" customFormat="1" ht="15" customHeight="1" collapsed="1" x14ac:dyDescent="0.3">
      <c r="A63" s="34"/>
      <c r="B63" s="15" t="str">
        <f>CONCATENATE("     ","Freight out/Postage                               ")</f>
        <v xml:space="preserve">     Freight out/Postage                               </v>
      </c>
      <c r="C63" s="15"/>
      <c r="D63" s="2">
        <f>SUM(OSRRefD21_6x_0)</f>
        <v>132.66999999999999</v>
      </c>
      <c r="E63" s="2">
        <f>SUM(OSRRefD21_6x_1)</f>
        <v>163.30000000000001</v>
      </c>
      <c r="F63" s="2">
        <f>SUM(OSRRefD21_6x_2)</f>
        <v>84.57</v>
      </c>
      <c r="G63" s="2">
        <f>SUM(OSRRefD21_6x_3)</f>
        <v>13.21</v>
      </c>
      <c r="H63" s="2">
        <f>SUM(OSRRefD21_6x_4)</f>
        <v>2119.1</v>
      </c>
      <c r="I63" s="2">
        <f>SUM(OSRRefD21_6x_5)</f>
        <v>1977.93</v>
      </c>
      <c r="J63" s="2">
        <f>SUM(OSRRefD21_6x_6)</f>
        <v>1131.33</v>
      </c>
      <c r="K63" s="2">
        <f>SUM(OSRRefD21_6x_7)</f>
        <v>1.06</v>
      </c>
      <c r="L63" s="2">
        <f>SUM(OSRRefD21_6x_8)</f>
        <v>0</v>
      </c>
      <c r="M63" s="2">
        <f>SUM(OSRRefD21_6x_9)</f>
        <v>6768.61</v>
      </c>
      <c r="N63" s="2">
        <f>SUM(OSRRefE21_6x_0)</f>
        <v>1000</v>
      </c>
      <c r="O63" s="2">
        <f>SUM(OSRRefE21_6x_1)</f>
        <v>500</v>
      </c>
      <c r="Q63" s="3">
        <f>SUM(OSRRefD20_6x)+IFERROR(SUM(OSRRefE20_6x),0)</f>
        <v>13891.779999999999</v>
      </c>
    </row>
    <row r="64" spans="1:17" s="42" customFormat="1" ht="15" hidden="1" customHeight="1" outlineLevel="1" x14ac:dyDescent="0.3">
      <c r="A64" s="34"/>
      <c r="B64" s="11" t="str">
        <f>CONCATENATE("          ","6305"," - ","FREIGHT OUT")</f>
        <v xml:space="preserve">          6305 - FREIGHT OUT</v>
      </c>
      <c r="C64" s="15"/>
      <c r="D64" s="3">
        <v>132.66999999999999</v>
      </c>
      <c r="E64" s="3">
        <v>163.30000000000001</v>
      </c>
      <c r="F64" s="3">
        <v>84.57</v>
      </c>
      <c r="G64" s="3">
        <v>13.21</v>
      </c>
      <c r="H64" s="3">
        <v>2119.1</v>
      </c>
      <c r="I64" s="3">
        <v>1977.93</v>
      </c>
      <c r="J64" s="3">
        <v>1130.8</v>
      </c>
      <c r="K64" s="3"/>
      <c r="L64" s="3">
        <v>0</v>
      </c>
      <c r="M64" s="3">
        <v>6768.61</v>
      </c>
      <c r="N64" s="3">
        <v>1000</v>
      </c>
      <c r="O64" s="3">
        <v>500</v>
      </c>
      <c r="P64" s="10"/>
      <c r="Q64" s="3">
        <f>SUM(OSRRefD21_6_0x)+IFERROR(SUM(OSRRefE21_6_0x),0)</f>
        <v>13890.189999999999</v>
      </c>
    </row>
    <row r="65" spans="1:17" s="42" customFormat="1" ht="15" hidden="1" customHeight="1" outlineLevel="1" x14ac:dyDescent="0.3">
      <c r="A65" s="34"/>
      <c r="B65" s="11" t="str">
        <f>CONCATENATE("          ","6307"," - ","POSTAGE")</f>
        <v xml:space="preserve">          6307 - POSTAGE</v>
      </c>
      <c r="C65" s="15"/>
      <c r="D65" s="3"/>
      <c r="E65" s="3"/>
      <c r="F65" s="3"/>
      <c r="G65" s="3"/>
      <c r="H65" s="3"/>
      <c r="I65" s="3"/>
      <c r="J65" s="3">
        <v>0.53</v>
      </c>
      <c r="K65" s="3">
        <v>1.06</v>
      </c>
      <c r="L65" s="3"/>
      <c r="M65" s="3"/>
      <c r="N65" s="3"/>
      <c r="O65" s="3"/>
      <c r="P65" s="10"/>
      <c r="Q65" s="3">
        <f>SUM(OSRRefD21_6_1x)+IFERROR(SUM(OSRRefE21_6_1x),0)</f>
        <v>1.59</v>
      </c>
    </row>
    <row r="66" spans="1:17" s="42" customFormat="1" ht="15" customHeight="1" collapsed="1" x14ac:dyDescent="0.3">
      <c r="A66" s="34"/>
      <c r="B66" s="15" t="str">
        <f>CONCATENATE("     ","General                                           ")</f>
        <v xml:space="preserve">     General                                           </v>
      </c>
      <c r="C66" s="15"/>
      <c r="D66" s="2">
        <f>SUM(OSRRefD21_7x_0)</f>
        <v>0</v>
      </c>
      <c r="E66" s="2">
        <f>SUM(OSRRefD21_7x_1)</f>
        <v>0</v>
      </c>
      <c r="F66" s="2">
        <f>SUM(OSRRefD21_7x_2)</f>
        <v>0</v>
      </c>
      <c r="G66" s="2">
        <f>SUM(OSRRefD21_7x_3)</f>
        <v>0</v>
      </c>
      <c r="H66" s="2">
        <f>SUM(OSRRefD21_7x_4)</f>
        <v>0</v>
      </c>
      <c r="I66" s="2">
        <f>SUM(OSRRefD21_7x_5)</f>
        <v>0</v>
      </c>
      <c r="J66" s="2">
        <f>SUM(OSRRefD21_7x_6)</f>
        <v>0</v>
      </c>
      <c r="K66" s="2">
        <f>SUM(OSRRefD21_7x_7)</f>
        <v>0</v>
      </c>
      <c r="L66" s="2">
        <f>SUM(OSRRefD21_7x_8)</f>
        <v>0</v>
      </c>
      <c r="M66" s="2">
        <f>SUM(OSRRefD21_7x_9)</f>
        <v>0</v>
      </c>
      <c r="N66" s="2">
        <f>SUM(OSRRefE21_7x_0)</f>
        <v>750</v>
      </c>
      <c r="O66" s="2">
        <f>SUM(OSRRefE21_7x_1)</f>
        <v>0</v>
      </c>
      <c r="Q66" s="3">
        <f>SUM(OSRRefD20_7x)+IFERROR(SUM(OSRRefE20_7x),0)</f>
        <v>750</v>
      </c>
    </row>
    <row r="67" spans="1:17" s="42" customFormat="1" ht="15" hidden="1" customHeight="1" outlineLevel="1" x14ac:dyDescent="0.3">
      <c r="A67" s="34"/>
      <c r="B67" s="11" t="str">
        <f>CONCATENATE("          ","6279"," - ","GENERAL EXPENSE")</f>
        <v xml:space="preserve">          6279 - GENERAL EXPENSE</v>
      </c>
      <c r="C67" s="15"/>
      <c r="D67" s="3"/>
      <c r="E67" s="3"/>
      <c r="F67" s="3"/>
      <c r="G67" s="3"/>
      <c r="H67" s="3"/>
      <c r="I67" s="3"/>
      <c r="J67" s="3"/>
      <c r="K67" s="3"/>
      <c r="L67" s="3"/>
      <c r="M67" s="3"/>
      <c r="N67" s="3">
        <v>750</v>
      </c>
      <c r="O67" s="3">
        <v>0</v>
      </c>
      <c r="P67" s="10"/>
      <c r="Q67" s="3">
        <f>SUM(OSRRefD21_7_0x)+IFERROR(SUM(OSRRefE21_7_0x),0)</f>
        <v>750</v>
      </c>
    </row>
    <row r="68" spans="1:17" s="42" customFormat="1" ht="15" customHeight="1" collapsed="1" x14ac:dyDescent="0.3">
      <c r="A68" s="34"/>
      <c r="B68" s="15" t="str">
        <f>CONCATENATE("     ","Inventory Adjustment                              ")</f>
        <v xml:space="preserve">     Inventory Adjustment                              </v>
      </c>
      <c r="C68" s="15"/>
      <c r="D68" s="2">
        <f>SUM(OSRRefD21_8x_0)</f>
        <v>1000</v>
      </c>
      <c r="E68" s="2">
        <f>SUM(OSRRefD21_8x_1)</f>
        <v>1000</v>
      </c>
      <c r="F68" s="2">
        <f>SUM(OSRRefD21_8x_2)</f>
        <v>1000</v>
      </c>
      <c r="G68" s="2">
        <f>SUM(OSRRefD21_8x_3)</f>
        <v>1000</v>
      </c>
      <c r="H68" s="2">
        <f>SUM(OSRRefD21_8x_4)</f>
        <v>1000</v>
      </c>
      <c r="I68" s="2">
        <f>SUM(OSRRefD21_8x_5)</f>
        <v>5000</v>
      </c>
      <c r="J68" s="2">
        <f>SUM(OSRRefD21_8x_6)</f>
        <v>1000</v>
      </c>
      <c r="K68" s="2">
        <f>SUM(OSRRefD21_8x_7)</f>
        <v>1000</v>
      </c>
      <c r="L68" s="2">
        <f>SUM(OSRRefD21_8x_8)</f>
        <v>1000</v>
      </c>
      <c r="M68" s="2">
        <f>SUM(OSRRefD21_8x_9)</f>
        <v>1000</v>
      </c>
      <c r="N68" s="2">
        <f>SUM(OSRRefE21_8x_0)</f>
        <v>1000</v>
      </c>
      <c r="O68" s="2">
        <f>SUM(OSRRefE21_8x_1)</f>
        <v>15000</v>
      </c>
      <c r="Q68" s="3">
        <f>SUM(OSRRefD20_8x)+IFERROR(SUM(OSRRefE20_8x),0)</f>
        <v>30000</v>
      </c>
    </row>
    <row r="69" spans="1:17" s="42" customFormat="1" ht="15" hidden="1" customHeight="1" outlineLevel="1" x14ac:dyDescent="0.3">
      <c r="A69" s="34"/>
      <c r="B69" s="11" t="str">
        <f>CONCATENATE("          ","6408"," - ","INVENTORY ADJUSTMENT")</f>
        <v xml:space="preserve">          6408 - INVENTORY ADJUSTMENT</v>
      </c>
      <c r="C69" s="15"/>
      <c r="D69" s="3">
        <v>1000</v>
      </c>
      <c r="E69" s="3">
        <v>1000</v>
      </c>
      <c r="F69" s="3">
        <v>1000</v>
      </c>
      <c r="G69" s="3">
        <v>1000</v>
      </c>
      <c r="H69" s="3">
        <v>1000</v>
      </c>
      <c r="I69" s="3">
        <v>5000</v>
      </c>
      <c r="J69" s="3">
        <v>1000</v>
      </c>
      <c r="K69" s="3">
        <v>1000</v>
      </c>
      <c r="L69" s="3">
        <v>1000</v>
      </c>
      <c r="M69" s="3">
        <v>1000</v>
      </c>
      <c r="N69" s="3">
        <v>1000</v>
      </c>
      <c r="O69" s="3">
        <v>15000</v>
      </c>
      <c r="P69" s="10"/>
      <c r="Q69" s="3">
        <f>SUM(OSRRefD21_8_0x)+IFERROR(SUM(OSRRefE21_8_0x),0)</f>
        <v>30000</v>
      </c>
    </row>
    <row r="70" spans="1:17" s="42" customFormat="1" ht="15" customHeight="1" collapsed="1" x14ac:dyDescent="0.3">
      <c r="A70" s="34"/>
      <c r="B70" s="15" t="str">
        <f>CONCATENATE("     ","Repair and Maintenance                            ")</f>
        <v xml:space="preserve">     Repair and Maintenance                            </v>
      </c>
      <c r="C70" s="15"/>
      <c r="D70" s="2">
        <f>SUM(OSRRefD21_9x_0)</f>
        <v>2900.53</v>
      </c>
      <c r="E70" s="2">
        <f>SUM(OSRRefD21_9x_1)</f>
        <v>0</v>
      </c>
      <c r="F70" s="2">
        <f>SUM(OSRRefD21_9x_2)</f>
        <v>0</v>
      </c>
      <c r="G70" s="2">
        <f>SUM(OSRRefD21_9x_3)</f>
        <v>2932.91</v>
      </c>
      <c r="H70" s="2">
        <f>SUM(OSRRefD21_9x_4)</f>
        <v>21</v>
      </c>
      <c r="I70" s="2">
        <f>SUM(OSRRefD21_9x_5)</f>
        <v>14.62</v>
      </c>
      <c r="J70" s="2">
        <f>SUM(OSRRefD21_9x_6)</f>
        <v>9.94</v>
      </c>
      <c r="K70" s="2">
        <f>SUM(OSRRefD21_9x_7)</f>
        <v>16.850000000000001</v>
      </c>
      <c r="L70" s="2">
        <f>SUM(OSRRefD21_9x_8)</f>
        <v>149.29999999999998</v>
      </c>
      <c r="M70" s="2">
        <f>SUM(OSRRefD21_9x_9)</f>
        <v>17.25</v>
      </c>
      <c r="N70" s="2">
        <f>SUM(OSRRefE21_9x_0)</f>
        <v>80</v>
      </c>
      <c r="O70" s="2">
        <f>SUM(OSRRefE21_9x_1)</f>
        <v>80</v>
      </c>
      <c r="Q70" s="3">
        <f>SUM(OSRRefD20_9x)+IFERROR(SUM(OSRRefE20_9x),0)</f>
        <v>6222.4000000000005</v>
      </c>
    </row>
    <row r="71" spans="1:17" s="42" customFormat="1" ht="15" hidden="1" customHeight="1" outlineLevel="1" x14ac:dyDescent="0.3">
      <c r="A71" s="34"/>
      <c r="B71" s="11" t="str">
        <f>CONCATENATE("          ","6371"," - ","COMPUTER SOFTWARE MAINTENANCE")</f>
        <v xml:space="preserve">          6371 - COMPUTER SOFTWARE MAINTENANCE</v>
      </c>
      <c r="C71" s="15"/>
      <c r="D71" s="3">
        <v>2887.5</v>
      </c>
      <c r="E71" s="3">
        <v>0</v>
      </c>
      <c r="F71" s="3"/>
      <c r="G71" s="3">
        <v>2887.5</v>
      </c>
      <c r="H71" s="3"/>
      <c r="I71" s="3"/>
      <c r="J71" s="3"/>
      <c r="K71" s="3"/>
      <c r="L71" s="3"/>
      <c r="M71" s="3"/>
      <c r="N71" s="3">
        <v>0</v>
      </c>
      <c r="O71" s="3"/>
      <c r="P71" s="10"/>
      <c r="Q71" s="3">
        <f>SUM(OSRRefD21_9_0x)+IFERROR(SUM(OSRRefE21_9_0x),0)</f>
        <v>5775</v>
      </c>
    </row>
    <row r="72" spans="1:17" s="42" customFormat="1" ht="15" hidden="1" customHeight="1" outlineLevel="1" x14ac:dyDescent="0.3">
      <c r="A72" s="34"/>
      <c r="B72" s="11" t="str">
        <f>CONCATENATE("          ","6373"," - ","MAINTENANCE CONTRACTS")</f>
        <v xml:space="preserve">          6373 - MAINTENANCE CONTRACTS</v>
      </c>
      <c r="C72" s="15"/>
      <c r="D72" s="3">
        <v>13.03</v>
      </c>
      <c r="E72" s="3"/>
      <c r="F72" s="3"/>
      <c r="G72" s="3">
        <v>45.41</v>
      </c>
      <c r="H72" s="3">
        <v>21</v>
      </c>
      <c r="I72" s="3">
        <v>14.62</v>
      </c>
      <c r="J72" s="3">
        <v>9.94</v>
      </c>
      <c r="K72" s="3">
        <v>16.850000000000001</v>
      </c>
      <c r="L72" s="3">
        <v>11.88</v>
      </c>
      <c r="M72" s="3">
        <v>17.25</v>
      </c>
      <c r="N72" s="3">
        <v>40</v>
      </c>
      <c r="O72" s="3">
        <v>40</v>
      </c>
      <c r="P72" s="10"/>
      <c r="Q72" s="3">
        <f>SUM(OSRRefD21_9_1x)+IFERROR(SUM(OSRRefE21_9_1x),0)</f>
        <v>229.98</v>
      </c>
    </row>
    <row r="73" spans="1:17" s="42" customFormat="1" ht="15" hidden="1" customHeight="1" outlineLevel="1" x14ac:dyDescent="0.3">
      <c r="A73" s="34"/>
      <c r="B73" s="11" t="str">
        <f>CONCATENATE("          ","6375"," - ","OUTSIDE REPAIRS &amp; MAINTENANCE")</f>
        <v xml:space="preserve">          6375 - OUTSIDE REPAIRS &amp; MAINTENANCE</v>
      </c>
      <c r="C73" s="15"/>
      <c r="D73" s="3"/>
      <c r="E73" s="3"/>
      <c r="F73" s="3"/>
      <c r="G73" s="3"/>
      <c r="H73" s="3"/>
      <c r="I73" s="3"/>
      <c r="J73" s="3"/>
      <c r="K73" s="3"/>
      <c r="L73" s="3">
        <v>137.41999999999999</v>
      </c>
      <c r="M73" s="3"/>
      <c r="N73" s="3">
        <v>40</v>
      </c>
      <c r="O73" s="3">
        <v>40</v>
      </c>
      <c r="P73" s="10"/>
      <c r="Q73" s="3">
        <f>SUM(OSRRefD21_9_2x)+IFERROR(SUM(OSRRefE21_9_2x),0)</f>
        <v>217.42</v>
      </c>
    </row>
    <row r="74" spans="1:17" s="42" customFormat="1" ht="15" customHeight="1" collapsed="1" x14ac:dyDescent="0.3">
      <c r="A74" s="34"/>
      <c r="B74" s="15" t="str">
        <f>CONCATENATE("     ","Subscriptions &amp; Dues                              ")</f>
        <v xml:space="preserve">     Subscriptions &amp; Dues                              </v>
      </c>
      <c r="C74" s="15"/>
      <c r="D74" s="2">
        <f>SUM(OSRRefD21_10x_0)</f>
        <v>68.319999999999993</v>
      </c>
      <c r="E74" s="2">
        <f>SUM(OSRRefD21_10x_1)</f>
        <v>57</v>
      </c>
      <c r="F74" s="2">
        <f>SUM(OSRRefD21_10x_2)</f>
        <v>47.44</v>
      </c>
      <c r="G74" s="2">
        <f>SUM(OSRRefD21_10x_3)</f>
        <v>904.08</v>
      </c>
      <c r="H74" s="2">
        <f>SUM(OSRRefD21_10x_4)</f>
        <v>148.66</v>
      </c>
      <c r="I74" s="2">
        <f>SUM(OSRRefD21_10x_5)</f>
        <v>286.24</v>
      </c>
      <c r="J74" s="2">
        <f>SUM(OSRRefD21_10x_6)</f>
        <v>301.99</v>
      </c>
      <c r="K74" s="2">
        <f>SUM(OSRRefD21_10x_7)</f>
        <v>131.72</v>
      </c>
      <c r="L74" s="2">
        <f>SUM(OSRRefD21_10x_8)</f>
        <v>476.65</v>
      </c>
      <c r="M74" s="2">
        <f>SUM(OSRRefD21_10x_9)</f>
        <v>2418.29</v>
      </c>
      <c r="N74" s="2">
        <f>SUM(OSRRefE21_10x_0)</f>
        <v>300</v>
      </c>
      <c r="O74" s="2">
        <f>SUM(OSRRefE21_10x_1)</f>
        <v>300</v>
      </c>
      <c r="Q74" s="3">
        <f>SUM(OSRRefD20_10x)+IFERROR(SUM(OSRRefE20_10x),0)</f>
        <v>5440.39</v>
      </c>
    </row>
    <row r="75" spans="1:17" s="42" customFormat="1" ht="15" hidden="1" customHeight="1" outlineLevel="1" x14ac:dyDescent="0.3">
      <c r="A75" s="34"/>
      <c r="B75" s="11" t="str">
        <f>CONCATENATE("          ","6258"," - ","MEMBERSHIP DUES")</f>
        <v xml:space="preserve">          6258 - MEMBERSHIP DUES</v>
      </c>
      <c r="C75" s="15"/>
      <c r="D75" s="3">
        <v>68.319999999999993</v>
      </c>
      <c r="E75" s="3">
        <v>57</v>
      </c>
      <c r="F75" s="3">
        <v>47.44</v>
      </c>
      <c r="G75" s="3">
        <v>904.08</v>
      </c>
      <c r="H75" s="3">
        <v>148.66</v>
      </c>
      <c r="I75" s="3">
        <v>286.24</v>
      </c>
      <c r="J75" s="3">
        <v>301.99</v>
      </c>
      <c r="K75" s="3">
        <v>131.72</v>
      </c>
      <c r="L75" s="3">
        <v>476.65</v>
      </c>
      <c r="M75" s="3">
        <v>510.65</v>
      </c>
      <c r="N75" s="3">
        <v>300</v>
      </c>
      <c r="O75" s="3">
        <v>300</v>
      </c>
      <c r="P75" s="10"/>
      <c r="Q75" s="3">
        <f>SUM(OSRRefD21_10_0x)+IFERROR(SUM(OSRRefE21_10_0x),0)</f>
        <v>3532.7500000000005</v>
      </c>
    </row>
    <row r="76" spans="1:17" s="42" customFormat="1" ht="15" hidden="1" customHeight="1" outlineLevel="1" x14ac:dyDescent="0.3">
      <c r="A76" s="34"/>
      <c r="B76" s="11" t="str">
        <f>CONCATENATE("          ","6275"," - ","SUBSCRIPTIONS")</f>
        <v xml:space="preserve">          6275 - SUBSCRIPTIONS</v>
      </c>
      <c r="C76" s="15"/>
      <c r="D76" s="3"/>
      <c r="E76" s="3"/>
      <c r="F76" s="3"/>
      <c r="G76" s="3"/>
      <c r="H76" s="3"/>
      <c r="I76" s="3"/>
      <c r="J76" s="3"/>
      <c r="K76" s="3"/>
      <c r="L76" s="3"/>
      <c r="M76" s="3">
        <v>1907.64</v>
      </c>
      <c r="N76" s="3"/>
      <c r="O76" s="3"/>
      <c r="P76" s="10"/>
      <c r="Q76" s="3">
        <f>SUM(OSRRefD21_10_1x)+IFERROR(SUM(OSRRefE21_10_1x),0)</f>
        <v>1907.64</v>
      </c>
    </row>
    <row r="77" spans="1:17" s="42" customFormat="1" ht="15" customHeight="1" collapsed="1" x14ac:dyDescent="0.3">
      <c r="A77" s="34"/>
      <c r="B77" s="15" t="str">
        <f>CONCATENATE("     ","Supplies                                          ")</f>
        <v xml:space="preserve">     Supplies                                          </v>
      </c>
      <c r="C77" s="15"/>
      <c r="D77" s="2">
        <f>SUM(OSRRefD21_11x_0)</f>
        <v>115.74</v>
      </c>
      <c r="E77" s="2">
        <f>SUM(OSRRefD21_11x_1)</f>
        <v>485.61</v>
      </c>
      <c r="F77" s="2">
        <f>SUM(OSRRefD21_11x_2)</f>
        <v>8.5399999999999991</v>
      </c>
      <c r="G77" s="2">
        <f>SUM(OSRRefD21_11x_3)</f>
        <v>127.04</v>
      </c>
      <c r="H77" s="2">
        <f>SUM(OSRRefD21_11x_4)</f>
        <v>207.4</v>
      </c>
      <c r="I77" s="2">
        <f>SUM(OSRRefD21_11x_5)</f>
        <v>131.44</v>
      </c>
      <c r="J77" s="2">
        <f>SUM(OSRRefD21_11x_6)</f>
        <v>45</v>
      </c>
      <c r="K77" s="2">
        <f>SUM(OSRRefD21_11x_7)</f>
        <v>77.47999999999999</v>
      </c>
      <c r="L77" s="2">
        <f>SUM(OSRRefD21_11x_8)</f>
        <v>282.11</v>
      </c>
      <c r="M77" s="2">
        <f>SUM(OSRRefD21_11x_9)</f>
        <v>53.26</v>
      </c>
      <c r="N77" s="2">
        <f>SUM(OSRRefE21_11x_0)</f>
        <v>700</v>
      </c>
      <c r="O77" s="2">
        <f>SUM(OSRRefE21_11x_1)</f>
        <v>600</v>
      </c>
      <c r="Q77" s="3">
        <f>SUM(OSRRefD20_11x)+IFERROR(SUM(OSRRefE20_11x),0)</f>
        <v>2833.62</v>
      </c>
    </row>
    <row r="78" spans="1:17" s="42" customFormat="1" ht="15" hidden="1" customHeight="1" outlineLevel="1" x14ac:dyDescent="0.3">
      <c r="A78" s="34"/>
      <c r="B78" s="11" t="str">
        <f>CONCATENATE("          ","6241"," - ","OFFICE EXPENSE")</f>
        <v xml:space="preserve">          6241 - OFFICE EXPENSE</v>
      </c>
      <c r="C78" s="15"/>
      <c r="D78" s="3">
        <v>115.74</v>
      </c>
      <c r="E78" s="3">
        <v>485.61</v>
      </c>
      <c r="F78" s="3">
        <v>8.5399999999999991</v>
      </c>
      <c r="G78" s="3">
        <v>127.04</v>
      </c>
      <c r="H78" s="3">
        <v>207.4</v>
      </c>
      <c r="I78" s="3">
        <v>131.44</v>
      </c>
      <c r="J78" s="3">
        <v>45</v>
      </c>
      <c r="K78" s="3">
        <v>70.989999999999995</v>
      </c>
      <c r="L78" s="3">
        <v>93.57</v>
      </c>
      <c r="M78" s="3">
        <v>53.26</v>
      </c>
      <c r="N78" s="3">
        <v>300</v>
      </c>
      <c r="O78" s="3">
        <v>200</v>
      </c>
      <c r="P78" s="10"/>
      <c r="Q78" s="3">
        <f>SUM(OSRRefD21_11_0x)+IFERROR(SUM(OSRRefE21_11_0x),0)</f>
        <v>1838.59</v>
      </c>
    </row>
    <row r="79" spans="1:17" s="42" customFormat="1" ht="15" hidden="1" customHeight="1" outlineLevel="1" x14ac:dyDescent="0.3">
      <c r="A79" s="34"/>
      <c r="B79" s="11" t="str">
        <f>CONCATENATE("          ","6247"," - ","STORE SUPPLIES")</f>
        <v xml:space="preserve">          6247 - STORE SUPPLIES</v>
      </c>
      <c r="C79" s="15"/>
      <c r="D79" s="3"/>
      <c r="E79" s="3"/>
      <c r="F79" s="3"/>
      <c r="G79" s="3"/>
      <c r="H79" s="3"/>
      <c r="I79" s="3"/>
      <c r="J79" s="3"/>
      <c r="K79" s="3">
        <v>6.49</v>
      </c>
      <c r="L79" s="3">
        <v>188.54</v>
      </c>
      <c r="M79" s="3"/>
      <c r="N79" s="3">
        <v>400</v>
      </c>
      <c r="O79" s="3">
        <v>400</v>
      </c>
      <c r="P79" s="10"/>
      <c r="Q79" s="3">
        <f>SUM(OSRRefD21_11_1x)+IFERROR(SUM(OSRRefE21_11_1x),0)</f>
        <v>995.03</v>
      </c>
    </row>
    <row r="80" spans="1:17" s="42" customFormat="1" ht="15" customHeight="1" collapsed="1" x14ac:dyDescent="0.3">
      <c r="A80" s="34"/>
      <c r="B80" s="15" t="str">
        <f>CONCATENATE("     ","Telephone/Data Lines                              ")</f>
        <v xml:space="preserve">     Telephone/Data Lines                              </v>
      </c>
      <c r="C80" s="15"/>
      <c r="D80" s="2">
        <f>SUM(OSRRefD21_12x_0)</f>
        <v>607.4</v>
      </c>
      <c r="E80" s="2">
        <f>SUM(OSRRefD21_12x_1)</f>
        <v>820.9</v>
      </c>
      <c r="F80" s="2">
        <f>SUM(OSRRefD21_12x_2)</f>
        <v>414.85</v>
      </c>
      <c r="G80" s="2">
        <f>SUM(OSRRefD21_12x_3)</f>
        <v>611.9</v>
      </c>
      <c r="H80" s="2">
        <f>SUM(OSRRefD21_12x_4)</f>
        <v>562.29999999999995</v>
      </c>
      <c r="I80" s="2">
        <f>SUM(OSRRefD21_12x_5)</f>
        <v>61.5</v>
      </c>
      <c r="J80" s="2">
        <f>SUM(OSRRefD21_12x_6)</f>
        <v>1011.65</v>
      </c>
      <c r="K80" s="2">
        <f>SUM(OSRRefD21_12x_7)</f>
        <v>386.05</v>
      </c>
      <c r="L80" s="2">
        <f>SUM(OSRRefD21_12x_8)</f>
        <v>473.5</v>
      </c>
      <c r="M80" s="2">
        <f>SUM(OSRRefD21_12x_9)</f>
        <v>526.5</v>
      </c>
      <c r="N80" s="2">
        <f>SUM(OSRRefE21_12x_0)</f>
        <v>350</v>
      </c>
      <c r="O80" s="2">
        <f>SUM(OSRRefE21_12x_1)</f>
        <v>350</v>
      </c>
      <c r="Q80" s="3">
        <f>SUM(OSRRefD20_12x)+IFERROR(SUM(OSRRefE20_12x),0)</f>
        <v>6176.55</v>
      </c>
    </row>
    <row r="81" spans="1:17" s="42" customFormat="1" ht="15" hidden="1" customHeight="1" outlineLevel="1" x14ac:dyDescent="0.3">
      <c r="A81" s="34"/>
      <c r="B81" s="11" t="str">
        <f>CONCATENATE("          ","6303"," - ","DATA PHONE LINES")</f>
        <v xml:space="preserve">          6303 - DATA PHONE LINES</v>
      </c>
      <c r="C81" s="15"/>
      <c r="D81" s="3">
        <v>295</v>
      </c>
      <c r="E81" s="3"/>
      <c r="F81" s="3"/>
      <c r="G81" s="3"/>
      <c r="H81" s="3"/>
      <c r="I81" s="3"/>
      <c r="J81" s="3"/>
      <c r="K81" s="3"/>
      <c r="L81" s="3"/>
      <c r="M81" s="3"/>
      <c r="N81" s="3">
        <v>0</v>
      </c>
      <c r="O81" s="3">
        <v>0</v>
      </c>
      <c r="P81" s="10"/>
      <c r="Q81" s="3">
        <f>SUM(OSRRefD21_12_0x)+IFERROR(SUM(OSRRefE21_12_0x),0)</f>
        <v>295</v>
      </c>
    </row>
    <row r="82" spans="1:17" s="42" customFormat="1" ht="15" hidden="1" customHeight="1" outlineLevel="1" x14ac:dyDescent="0.3">
      <c r="A82" s="34"/>
      <c r="B82" s="11" t="str">
        <f>CONCATENATE("          ","6309"," - ","TELEPHONE")</f>
        <v xml:space="preserve">          6309 - TELEPHONE</v>
      </c>
      <c r="C82" s="15"/>
      <c r="D82" s="3">
        <v>312.39999999999998</v>
      </c>
      <c r="E82" s="3">
        <v>820.9</v>
      </c>
      <c r="F82" s="3">
        <v>414.85</v>
      </c>
      <c r="G82" s="3">
        <v>611.9</v>
      </c>
      <c r="H82" s="3">
        <v>562.29999999999995</v>
      </c>
      <c r="I82" s="3">
        <v>61.5</v>
      </c>
      <c r="J82" s="3">
        <v>1011.65</v>
      </c>
      <c r="K82" s="3">
        <v>386.05</v>
      </c>
      <c r="L82" s="3">
        <v>473.5</v>
      </c>
      <c r="M82" s="3">
        <v>526.5</v>
      </c>
      <c r="N82" s="3">
        <v>350</v>
      </c>
      <c r="O82" s="3">
        <v>350</v>
      </c>
      <c r="P82" s="10"/>
      <c r="Q82" s="3">
        <f>SUM(OSRRefD21_12_1x)+IFERROR(SUM(OSRRefE21_12_1x),0)</f>
        <v>5881.55</v>
      </c>
    </row>
    <row r="83" spans="1:17" s="42" customFormat="1" ht="15" customHeight="1" collapsed="1" x14ac:dyDescent="0.3">
      <c r="A83" s="34"/>
      <c r="B83" s="15" t="str">
        <f>CONCATENATE("     ","Training                                          ")</f>
        <v xml:space="preserve">     Training                                          </v>
      </c>
      <c r="C83" s="15"/>
      <c r="D83" s="2">
        <f>SUM(OSRRefD21_13x_0)</f>
        <v>0</v>
      </c>
      <c r="E83" s="2">
        <f>SUM(OSRRefD21_13x_1)</f>
        <v>0</v>
      </c>
      <c r="F83" s="2">
        <f>SUM(OSRRefD21_13x_2)</f>
        <v>0</v>
      </c>
      <c r="G83" s="2">
        <f>SUM(OSRRefD21_13x_3)</f>
        <v>0</v>
      </c>
      <c r="H83" s="2">
        <f>SUM(OSRRefD21_13x_4)</f>
        <v>0</v>
      </c>
      <c r="I83" s="2">
        <f>SUM(OSRRefD21_13x_5)</f>
        <v>0</v>
      </c>
      <c r="J83" s="2">
        <f>SUM(OSRRefD21_13x_6)</f>
        <v>0</v>
      </c>
      <c r="K83" s="2">
        <f>SUM(OSRRefD21_13x_7)</f>
        <v>0</v>
      </c>
      <c r="L83" s="2">
        <f>SUM(OSRRefD21_13x_8)</f>
        <v>0</v>
      </c>
      <c r="M83" s="2">
        <f>SUM(OSRRefD21_13x_9)</f>
        <v>125</v>
      </c>
      <c r="N83" s="2">
        <f>SUM(OSRRefE21_13x_0)</f>
        <v>0</v>
      </c>
      <c r="O83" s="2">
        <f>SUM(OSRRefE21_13x_1)</f>
        <v>0</v>
      </c>
      <c r="Q83" s="3">
        <f>SUM(OSRRefD20_13x)+IFERROR(SUM(OSRRefE20_13x),0)</f>
        <v>125</v>
      </c>
    </row>
    <row r="84" spans="1:17" s="42" customFormat="1" ht="15" hidden="1" customHeight="1" outlineLevel="1" x14ac:dyDescent="0.3">
      <c r="A84" s="34"/>
      <c r="B84" s="11" t="str">
        <f>CONCATENATE("          ","6376"," - ","TRAINING")</f>
        <v xml:space="preserve">          6376 - TRAINING</v>
      </c>
      <c r="C84" s="15"/>
      <c r="D84" s="3"/>
      <c r="E84" s="3"/>
      <c r="F84" s="3"/>
      <c r="G84" s="3"/>
      <c r="H84" s="3"/>
      <c r="I84" s="3"/>
      <c r="J84" s="3"/>
      <c r="K84" s="3"/>
      <c r="L84" s="3"/>
      <c r="M84" s="3">
        <v>125</v>
      </c>
      <c r="N84" s="3">
        <v>0</v>
      </c>
      <c r="O84" s="3"/>
      <c r="P84" s="10"/>
      <c r="Q84" s="3">
        <f>SUM(OSRRefD21_13_0x)+IFERROR(SUM(OSRRefE21_13_0x),0)</f>
        <v>125</v>
      </c>
    </row>
    <row r="85" spans="1:17" s="40" customFormat="1" ht="15" customHeight="1" x14ac:dyDescent="0.3">
      <c r="A85" s="22"/>
      <c r="B85" s="22"/>
      <c r="C85" s="2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Q85" s="2"/>
    </row>
    <row r="86" spans="1:17" s="39" customFormat="1" ht="15" customHeight="1" x14ac:dyDescent="0.3">
      <c r="A86" s="24"/>
      <c r="B86" s="17" t="s">
        <v>287</v>
      </c>
      <c r="C86" s="23"/>
      <c r="D86" s="4">
        <f>--631.94</f>
        <v>631.94000000000005</v>
      </c>
      <c r="E86" s="4">
        <f>--28343.09</f>
        <v>28343.09</v>
      </c>
      <c r="F86" s="4">
        <f>--158981.45</f>
        <v>158981.45000000001</v>
      </c>
      <c r="G86" s="4">
        <f>--1715.41</f>
        <v>1715.41</v>
      </c>
      <c r="H86" s="4">
        <f>--300.14</f>
        <v>300.14</v>
      </c>
      <c r="I86" s="4">
        <f>--931.69</f>
        <v>931.69</v>
      </c>
      <c r="J86" s="4">
        <f>--3325.2</f>
        <v>3325.2</v>
      </c>
      <c r="K86" s="4">
        <f>--155658.63</f>
        <v>155658.63</v>
      </c>
      <c r="L86" s="4">
        <f>--516.89</f>
        <v>516.89</v>
      </c>
      <c r="M86" s="4">
        <f>--6860.4</f>
        <v>6860.4</v>
      </c>
      <c r="N86" s="4">
        <v>6454</v>
      </c>
      <c r="O86" s="4">
        <v>8042</v>
      </c>
      <c r="Q86" s="3">
        <f>SUM(OSRRefD23_0x)+IFERROR(SUM(OSRRefE23_0x),0)</f>
        <v>371760.84000000008</v>
      </c>
    </row>
    <row r="87" spans="1:17" ht="15" customHeight="1" x14ac:dyDescent="0.3">
      <c r="A87" s="6"/>
      <c r="B87" s="7"/>
      <c r="C87" s="7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Q87" s="4"/>
    </row>
    <row r="88" spans="1:17" s="37" customFormat="1" ht="15" customHeight="1" x14ac:dyDescent="0.3">
      <c r="A88" s="7"/>
      <c r="B88" s="18" t="s">
        <v>288</v>
      </c>
      <c r="C88" s="18"/>
      <c r="D88" s="9">
        <f t="shared" ref="D88:O88" si="2">IFERROR(+D29-D32+D86,0)</f>
        <v>-34998.920000000035</v>
      </c>
      <c r="E88" s="9">
        <f t="shared" si="2"/>
        <v>116110.72999999995</v>
      </c>
      <c r="F88" s="9">
        <f t="shared" si="2"/>
        <v>113783.26999999995</v>
      </c>
      <c r="G88" s="9">
        <f t="shared" si="2"/>
        <v>-32876.240000000005</v>
      </c>
      <c r="H88" s="9">
        <f t="shared" si="2"/>
        <v>-38090.360000000022</v>
      </c>
      <c r="I88" s="9">
        <f t="shared" si="2"/>
        <v>-36499.48000000001</v>
      </c>
      <c r="J88" s="9">
        <f t="shared" si="2"/>
        <v>105168.10999999999</v>
      </c>
      <c r="K88" s="9">
        <f t="shared" si="2"/>
        <v>173425.8</v>
      </c>
      <c r="L88" s="9">
        <f t="shared" si="2"/>
        <v>-30081.729999999978</v>
      </c>
      <c r="M88" s="9">
        <f t="shared" si="2"/>
        <v>-38330.680000000022</v>
      </c>
      <c r="N88" s="9">
        <f t="shared" si="2"/>
        <v>-25077.145897489718</v>
      </c>
      <c r="O88" s="9">
        <f t="shared" si="2"/>
        <v>-43131.963591039719</v>
      </c>
      <c r="Q88" s="9">
        <f>IFERROR(+Q29-Q32+Q86,0)</f>
        <v>229401.39051147038</v>
      </c>
    </row>
    <row r="89" spans="1:17" s="38" customFormat="1" ht="15" customHeight="1" x14ac:dyDescent="0.3">
      <c r="B89" s="17"/>
      <c r="C89" s="17"/>
      <c r="D89" s="5">
        <f t="shared" ref="D89:O89" si="3">IFERROR(D88/D10,0)</f>
        <v>-0.62273885440983945</v>
      </c>
      <c r="E89" s="5">
        <f t="shared" si="3"/>
        <v>0.15681541775831934</v>
      </c>
      <c r="F89" s="5">
        <f t="shared" si="3"/>
        <v>0.6437824919618611</v>
      </c>
      <c r="G89" s="5">
        <f t="shared" si="3"/>
        <v>-0.94636561812831377</v>
      </c>
      <c r="H89" s="5">
        <f t="shared" si="3"/>
        <v>-5.2267286531524082</v>
      </c>
      <c r="I89" s="5">
        <f t="shared" si="3"/>
        <v>-0.72545896368002583</v>
      </c>
      <c r="J89" s="5">
        <f t="shared" si="3"/>
        <v>0.21782644816854205</v>
      </c>
      <c r="K89" s="5">
        <f t="shared" si="3"/>
        <v>1.2050225706617319</v>
      </c>
      <c r="L89" s="5">
        <f t="shared" si="3"/>
        <v>-1.4954532483970031</v>
      </c>
      <c r="M89" s="5">
        <f t="shared" si="3"/>
        <v>-0.70132488221043188</v>
      </c>
      <c r="N89" s="5">
        <f t="shared" si="3"/>
        <v>-0.5100401874730961</v>
      </c>
      <c r="O89" s="5">
        <f t="shared" si="3"/>
        <v>-1.6593684296171938</v>
      </c>
      <c r="P89" s="19"/>
      <c r="Q89" s="5">
        <f>IFERROR(Q88/Q10,0)</f>
        <v>0.12451441194097827</v>
      </c>
    </row>
    <row r="90" spans="1:17" ht="15" customHeight="1" x14ac:dyDescent="0.3">
      <c r="A90" s="6"/>
      <c r="B90" s="7"/>
      <c r="C90" s="6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Q90" s="4"/>
    </row>
    <row r="91" spans="1:17" s="37" customFormat="1" ht="15" customHeight="1" x14ac:dyDescent="0.3">
      <c r="A91" s="26"/>
      <c r="B91" s="7" t="s">
        <v>289</v>
      </c>
      <c r="C91" s="7"/>
      <c r="D91" s="4">
        <v>25964.91</v>
      </c>
      <c r="E91" s="4">
        <v>93078.07</v>
      </c>
      <c r="F91" s="4">
        <v>1436.83</v>
      </c>
      <c r="G91" s="4">
        <v>-3950.37</v>
      </c>
      <c r="H91" s="4">
        <v>4416.59</v>
      </c>
      <c r="I91" s="4">
        <v>7334.58</v>
      </c>
      <c r="J91" s="4">
        <v>76692.789999999994</v>
      </c>
      <c r="K91" s="4">
        <v>6281.29</v>
      </c>
      <c r="L91" s="4">
        <v>-6865.63</v>
      </c>
      <c r="M91" s="4">
        <v>-4192.8599999999997</v>
      </c>
      <c r="N91" s="4">
        <v>9090</v>
      </c>
      <c r="O91" s="4">
        <v>-30968</v>
      </c>
      <c r="Q91" s="3">
        <f>SUM(OSRRefD28_0x)+IFERROR(SUM(OSRRefE28_0x),0)</f>
        <v>178318.20000000004</v>
      </c>
    </row>
    <row r="92" spans="1:17" ht="15" customHeight="1" x14ac:dyDescent="0.3">
      <c r="A92" s="6"/>
      <c r="B92" s="7"/>
      <c r="C92" s="7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Q92" s="4"/>
    </row>
    <row r="93" spans="1:17" s="37" customFormat="1" ht="15.75" customHeight="1" x14ac:dyDescent="0.3">
      <c r="A93" s="7"/>
      <c r="B93" s="18" t="s">
        <v>290</v>
      </c>
      <c r="C93" s="18"/>
      <c r="D93" s="8">
        <f t="shared" ref="D93:O93" si="4">IFERROR(+D88-D91,0)</f>
        <v>-60963.830000000031</v>
      </c>
      <c r="E93" s="8">
        <f t="shared" si="4"/>
        <v>23032.659999999945</v>
      </c>
      <c r="F93" s="8">
        <f t="shared" si="4"/>
        <v>112346.43999999994</v>
      </c>
      <c r="G93" s="8">
        <f t="shared" si="4"/>
        <v>-28925.870000000006</v>
      </c>
      <c r="H93" s="8">
        <f t="shared" si="4"/>
        <v>-42506.950000000026</v>
      </c>
      <c r="I93" s="8">
        <f t="shared" si="4"/>
        <v>-43834.060000000012</v>
      </c>
      <c r="J93" s="8">
        <f t="shared" si="4"/>
        <v>28475.319999999992</v>
      </c>
      <c r="K93" s="8">
        <f t="shared" si="4"/>
        <v>167144.50999999998</v>
      </c>
      <c r="L93" s="8">
        <f t="shared" si="4"/>
        <v>-23216.099999999977</v>
      </c>
      <c r="M93" s="8">
        <f t="shared" si="4"/>
        <v>-34137.820000000022</v>
      </c>
      <c r="N93" s="8">
        <f t="shared" si="4"/>
        <v>-34167.145897489718</v>
      </c>
      <c r="O93" s="8">
        <f t="shared" si="4"/>
        <v>-12163.963591039719</v>
      </c>
      <c r="Q93" s="8">
        <f>IFERROR(+Q88-Q91,0)</f>
        <v>51083.19051147034</v>
      </c>
    </row>
    <row r="94" spans="1:17" ht="15.75" customHeight="1" x14ac:dyDescent="0.3">
      <c r="A94" s="6"/>
      <c r="B94" s="6"/>
      <c r="C94" s="6"/>
      <c r="D94" s="5">
        <f t="shared" ref="D94:O94" si="5">IFERROR(D93/D10,0)</f>
        <v>-1.0847347762341291</v>
      </c>
      <c r="E94" s="5">
        <f t="shared" si="5"/>
        <v>3.1107169854029205E-2</v>
      </c>
      <c r="F94" s="5">
        <f t="shared" si="5"/>
        <v>0.63565294885833135</v>
      </c>
      <c r="G94" s="5">
        <f t="shared" si="5"/>
        <v>-0.83265144805030156</v>
      </c>
      <c r="H94" s="5">
        <f t="shared" si="5"/>
        <v>-5.8327695911279598</v>
      </c>
      <c r="I94" s="5">
        <f t="shared" si="5"/>
        <v>-0.87124013113304821</v>
      </c>
      <c r="J94" s="5">
        <f t="shared" si="5"/>
        <v>5.8978694359560595E-2</v>
      </c>
      <c r="K94" s="5">
        <f t="shared" si="5"/>
        <v>1.1613779905423274</v>
      </c>
      <c r="L94" s="5">
        <f t="shared" si="5"/>
        <v>-1.1541421374405545</v>
      </c>
      <c r="M94" s="5">
        <f t="shared" si="5"/>
        <v>-0.62460938836516666</v>
      </c>
      <c r="N94" s="5">
        <f t="shared" si="5"/>
        <v>-0.69492028998087574</v>
      </c>
      <c r="O94" s="5">
        <f t="shared" si="5"/>
        <v>-0.46797074562534985</v>
      </c>
      <c r="P94" s="19"/>
      <c r="Q94" s="5">
        <f>IFERROR(Q93/Q10,0)</f>
        <v>2.7726917489136374E-2</v>
      </c>
    </row>
    <row r="95" spans="1:17" ht="15" customHeight="1" x14ac:dyDescent="0.3">
      <c r="A95" s="6"/>
      <c r="B95" s="6"/>
      <c r="C95" s="6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Q95" s="4"/>
    </row>
    <row r="96" spans="1:17" ht="15" customHeight="1" x14ac:dyDescent="0.3">
      <c r="A96" s="6"/>
      <c r="B96" s="6"/>
      <c r="C96" s="6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Q96" s="4"/>
    </row>
    <row r="97" spans="1:17" s="37" customFormat="1" ht="15.75" customHeight="1" x14ac:dyDescent="0.3">
      <c r="A97" s="7"/>
      <c r="B97" s="18" t="s">
        <v>293</v>
      </c>
      <c r="C97" s="18"/>
      <c r="D97" s="8">
        <f t="shared" ref="D97:O97" si="6">IFERROR(SUM(D93:D96),0)</f>
        <v>-60964.914734776263</v>
      </c>
      <c r="E97" s="8">
        <f t="shared" si="6"/>
        <v>23032.691107169798</v>
      </c>
      <c r="F97" s="8">
        <f t="shared" si="6"/>
        <v>112347.0756529488</v>
      </c>
      <c r="G97" s="8">
        <f t="shared" si="6"/>
        <v>-28926.702651448057</v>
      </c>
      <c r="H97" s="8">
        <f t="shared" si="6"/>
        <v>-42512.782769591155</v>
      </c>
      <c r="I97" s="8">
        <f t="shared" si="6"/>
        <v>-43834.931240131147</v>
      </c>
      <c r="J97" s="8">
        <f t="shared" si="6"/>
        <v>28475.378978694353</v>
      </c>
      <c r="K97" s="8">
        <f t="shared" si="6"/>
        <v>167145.67137799051</v>
      </c>
      <c r="L97" s="8">
        <f t="shared" si="6"/>
        <v>-23217.254142137419</v>
      </c>
      <c r="M97" s="8">
        <f t="shared" si="6"/>
        <v>-34138.444609388389</v>
      </c>
      <c r="N97" s="8">
        <f t="shared" si="6"/>
        <v>-34167.840817779695</v>
      </c>
      <c r="O97" s="8">
        <f t="shared" si="6"/>
        <v>-12164.431561785344</v>
      </c>
      <c r="Q97" s="8">
        <f>IFERROR(SUM(Q93:Q96),0)</f>
        <v>51083.218238387832</v>
      </c>
    </row>
    <row r="98" spans="1:17" ht="15.75" customHeight="1" x14ac:dyDescent="0.3">
      <c r="A98" s="6"/>
      <c r="C98" s="6"/>
      <c r="D98" s="5">
        <f t="shared" ref="D98:O98" si="7">IFERROR(D97/D10,0)</f>
        <v>-1.0847540770151787</v>
      </c>
      <c r="E98" s="5">
        <f t="shared" si="7"/>
        <v>3.1107211866372386E-2</v>
      </c>
      <c r="F98" s="5">
        <f t="shared" si="7"/>
        <v>0.6356565453645614</v>
      </c>
      <c r="G98" s="5">
        <f t="shared" si="7"/>
        <v>-0.83267541650601062</v>
      </c>
      <c r="H98" s="5">
        <f t="shared" si="7"/>
        <v>-5.8335699590937438</v>
      </c>
      <c r="I98" s="5">
        <f t="shared" si="7"/>
        <v>-0.87125744778968683</v>
      </c>
      <c r="J98" s="5">
        <f t="shared" si="7"/>
        <v>5.8978816517499061E-2</v>
      </c>
      <c r="K98" s="5">
        <f t="shared" si="7"/>
        <v>1.1613860601991584</v>
      </c>
      <c r="L98" s="5">
        <f t="shared" si="7"/>
        <v>-1.1541995133164948</v>
      </c>
      <c r="M98" s="5">
        <f t="shared" si="7"/>
        <v>-0.62462081665461322</v>
      </c>
      <c r="N98" s="5">
        <f t="shared" si="7"/>
        <v>-0.6949344238570524</v>
      </c>
      <c r="O98" s="5">
        <f t="shared" si="7"/>
        <v>-0.46798874934733753</v>
      </c>
      <c r="P98" s="19"/>
      <c r="Q98" s="5">
        <f>IFERROR(Q97/Q10,0)</f>
        <v>2.7726932538743608E-2</v>
      </c>
    </row>
    <row r="99" spans="1:17" ht="15" customHeight="1" x14ac:dyDescent="0.3">
      <c r="A99" s="6"/>
      <c r="B99" s="33">
        <v>44694.892891863426</v>
      </c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Q99" s="14"/>
    </row>
    <row r="100" spans="1:17" ht="15" customHeight="1" x14ac:dyDescent="0.3">
      <c r="A100" s="6"/>
      <c r="B100" s="31" t="s">
        <v>294</v>
      </c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Q100" s="14"/>
    </row>
    <row r="101" spans="1:17" ht="15" customHeight="1" x14ac:dyDescent="0.3">
      <c r="A101" s="6"/>
      <c r="B101" s="27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Q101" s="14"/>
    </row>
    <row r="102" spans="1:17" ht="15" customHeight="1" x14ac:dyDescent="0.3"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Q102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C24D9-5627-D7A2-3864-E495EB44C54D}">
  <sheetPr>
    <tabColor rgb="FF92D050"/>
    <outlinePr summaryBelow="0" summaryRight="0"/>
    <pageSetUpPr fitToPage="1"/>
  </sheetPr>
  <dimension ref="A2:R38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","324"," - ","Textbook Rental")</f>
        <v>Department 324 - Textbook Rental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5913.22</v>
      </c>
      <c r="E10" s="4">
        <f>SUM(OSRRefD11x_1)</f>
        <v>269241.33999999997</v>
      </c>
      <c r="F10" s="4">
        <f>SUM(OSRRefD11x_2)</f>
        <v>57614.85</v>
      </c>
      <c r="G10" s="4">
        <f>SUM(OSRRefD11x_3)</f>
        <v>2878.13</v>
      </c>
      <c r="H10" s="4">
        <f>SUM(OSRRefD11x_4)</f>
        <v>589.84</v>
      </c>
      <c r="I10" s="4">
        <f>SUM(OSRRefD11x_5)</f>
        <v>-2339.54</v>
      </c>
      <c r="J10" s="4">
        <f>SUM(OSRRefD11x_6)</f>
        <v>67541.179999999993</v>
      </c>
      <c r="K10" s="4">
        <f>SUM(OSRRefD11x_7)</f>
        <v>34592.76</v>
      </c>
      <c r="L10" s="4">
        <f>SUM(OSRRefD11x_8)</f>
        <v>2779.8599999999997</v>
      </c>
      <c r="M10" s="4">
        <f>SUM(OSRRefD11x_9)</f>
        <v>-3799.43</v>
      </c>
      <c r="N10" s="4">
        <f>SUM(OSRRefE11x_0)</f>
        <v>6600</v>
      </c>
      <c r="O10" s="4">
        <f>SUM(OSRRefE11x_1)</f>
        <v>-3801</v>
      </c>
      <c r="P10" s="25"/>
      <c r="Q10" s="4">
        <f>SUM(OSRRefG11x)</f>
        <v>437811.20999999996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--3909.05</f>
        <v>3909.05</v>
      </c>
      <c r="E11" s="3">
        <f>--167084.93</f>
        <v>167084.93</v>
      </c>
      <c r="F11" s="3">
        <f>--38086.92</f>
        <v>38086.92</v>
      </c>
      <c r="G11" s="3">
        <f>--1977.76</f>
        <v>1977.76</v>
      </c>
      <c r="H11" s="3">
        <f>--298.49</f>
        <v>298.49</v>
      </c>
      <c r="I11" s="3">
        <f>-1226.58</f>
        <v>-1226.58</v>
      </c>
      <c r="J11" s="3">
        <f>--39130.71</f>
        <v>39130.71</v>
      </c>
      <c r="K11" s="3">
        <f>--20216.59</f>
        <v>20216.59</v>
      </c>
      <c r="L11" s="3">
        <f>--1625.55</f>
        <v>1625.55</v>
      </c>
      <c r="M11" s="3">
        <f>--272.75</f>
        <v>272.75</v>
      </c>
      <c r="N11" s="3">
        <v>6600</v>
      </c>
      <c r="O11" s="3">
        <v>-3801</v>
      </c>
      <c r="Q11" s="3">
        <f>SUM(OSRRefD11_0x)+IFERROR(SUM(OSRRefE11_0x),0)</f>
        <v>274175.17</v>
      </c>
    </row>
    <row r="12" spans="1:18" s="39" customFormat="1" ht="15" hidden="1" customHeight="1" outlineLevel="1" x14ac:dyDescent="0.3">
      <c r="A12" s="24"/>
      <c r="B12" s="11" t="str">
        <f>CONCATENATE("          ","4100"," - ","NON-TAXABLE SALES")</f>
        <v xml:space="preserve">          4100 - NON-TAXABLE SALES</v>
      </c>
      <c r="C12" s="23"/>
      <c r="D12" s="3">
        <f>--2004.17</f>
        <v>2004.17</v>
      </c>
      <c r="E12" s="3">
        <f>--102156.41</f>
        <v>102156.41</v>
      </c>
      <c r="F12" s="3">
        <f>--19527.93</f>
        <v>19527.93</v>
      </c>
      <c r="G12" s="3">
        <f>--900.37</f>
        <v>900.37</v>
      </c>
      <c r="H12" s="3">
        <f>--291.35</f>
        <v>291.35000000000002</v>
      </c>
      <c r="I12" s="3">
        <f>-1112.96</f>
        <v>-1112.96</v>
      </c>
      <c r="J12" s="3">
        <f>--28410.47</f>
        <v>28410.47</v>
      </c>
      <c r="K12" s="3">
        <f>--14376.17</f>
        <v>14376.17</v>
      </c>
      <c r="L12" s="3">
        <f>--1154.31</f>
        <v>1154.31</v>
      </c>
      <c r="M12" s="3">
        <f>-4072.18</f>
        <v>-4072.18</v>
      </c>
      <c r="N12" s="3"/>
      <c r="O12" s="3"/>
      <c r="Q12" s="3">
        <f>SUM(OSRRefD11_1x)+IFERROR(SUM(OSRRefE11_1x),0)</f>
        <v>163636.04</v>
      </c>
    </row>
    <row r="13" spans="1:18" ht="15" customHeight="1" x14ac:dyDescent="0.3">
      <c r="A13" s="6"/>
      <c r="B13" s="7"/>
      <c r="C13" s="6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9" customFormat="1" ht="15" customHeight="1" collapsed="1" x14ac:dyDescent="0.3">
      <c r="A14" s="24"/>
      <c r="B14" s="17" t="s">
        <v>284</v>
      </c>
      <c r="C14" s="23"/>
      <c r="D14" s="4">
        <f>SUM(OSRRefD14x_0)</f>
        <v>2010.03</v>
      </c>
      <c r="E14" s="4">
        <f>SUM(OSRRefD14x_1)</f>
        <v>202950.63</v>
      </c>
      <c r="F14" s="4">
        <f>SUM(OSRRefD14x_2)</f>
        <v>46013.09</v>
      </c>
      <c r="G14" s="4">
        <f>SUM(OSRRefD14x_3)</f>
        <v>2444.34</v>
      </c>
      <c r="H14" s="4">
        <f>SUM(OSRRefD14x_4)</f>
        <v>320.27999999999997</v>
      </c>
      <c r="I14" s="4">
        <f>SUM(OSRRefD14x_5)</f>
        <v>-2535.46</v>
      </c>
      <c r="J14" s="4">
        <f>SUM(OSRRefD14x_6)</f>
        <v>37248.870000000003</v>
      </c>
      <c r="K14" s="4">
        <f>SUM(OSRRefD14x_7)</f>
        <v>34654.07</v>
      </c>
      <c r="L14" s="4">
        <f>SUM(OSRRefD14x_8)</f>
        <v>2120.33</v>
      </c>
      <c r="M14" s="4">
        <f>SUM(OSRRefD14x_9)</f>
        <v>-22823.43</v>
      </c>
      <c r="N14" s="4">
        <f>SUM(OSRRefE14x_0)</f>
        <v>4785</v>
      </c>
      <c r="O14" s="4">
        <f>SUM(OSRRefE14x_1)</f>
        <v>-2756</v>
      </c>
      <c r="Q14" s="4">
        <f>SUM(OSRRefG14x)</f>
        <v>304431.75000000006</v>
      </c>
    </row>
    <row r="15" spans="1:18" s="39" customFormat="1" ht="15" hidden="1" customHeight="1" outlineLevel="1" x14ac:dyDescent="0.3">
      <c r="A15" s="24"/>
      <c r="B15" s="11" t="str">
        <f>CONCATENATE("          ","5000"," - ","PURCHASES @ COST")</f>
        <v xml:space="preserve">          5000 - PURCHASES @ COST</v>
      </c>
      <c r="C15" s="23"/>
      <c r="D15" s="3">
        <v>2010.03</v>
      </c>
      <c r="E15" s="3">
        <v>202950.63</v>
      </c>
      <c r="F15" s="3">
        <v>46013.09</v>
      </c>
      <c r="G15" s="3">
        <v>2444.34</v>
      </c>
      <c r="H15" s="3">
        <v>320.27999999999997</v>
      </c>
      <c r="I15" s="3">
        <v>-2535.46</v>
      </c>
      <c r="J15" s="3">
        <v>37248.870000000003</v>
      </c>
      <c r="K15" s="3">
        <v>34654.07</v>
      </c>
      <c r="L15" s="3">
        <v>2120.33</v>
      </c>
      <c r="M15" s="3">
        <v>-22823.43</v>
      </c>
      <c r="N15" s="3">
        <v>4785</v>
      </c>
      <c r="O15" s="3">
        <v>-2756</v>
      </c>
      <c r="Q15" s="3">
        <f>SUM(OSRRefD14_0x)+IFERROR(SUM(OSRRefE14_0x),0)</f>
        <v>304431.75000000006</v>
      </c>
    </row>
    <row r="16" spans="1:18" ht="15" customHeight="1" x14ac:dyDescent="0.3">
      <c r="A16" s="6"/>
      <c r="B16" s="7"/>
      <c r="C16" s="7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Q16" s="4"/>
    </row>
    <row r="17" spans="1:17" s="37" customFormat="1" ht="15" customHeight="1" x14ac:dyDescent="0.3">
      <c r="A17" s="7"/>
      <c r="B17" s="18" t="s">
        <v>285</v>
      </c>
      <c r="C17" s="18"/>
      <c r="D17" s="9">
        <f t="shared" ref="D17:O17" si="0">IFERROR(+D10-D14,0)</f>
        <v>3903.1900000000005</v>
      </c>
      <c r="E17" s="9">
        <f t="shared" si="0"/>
        <v>66290.709999999963</v>
      </c>
      <c r="F17" s="9">
        <f t="shared" si="0"/>
        <v>11601.760000000002</v>
      </c>
      <c r="G17" s="9">
        <f t="shared" si="0"/>
        <v>433.78999999999996</v>
      </c>
      <c r="H17" s="9">
        <f t="shared" si="0"/>
        <v>269.56000000000006</v>
      </c>
      <c r="I17" s="9">
        <f t="shared" si="0"/>
        <v>195.92000000000007</v>
      </c>
      <c r="J17" s="9">
        <f t="shared" si="0"/>
        <v>30292.30999999999</v>
      </c>
      <c r="K17" s="9">
        <f t="shared" si="0"/>
        <v>-61.309999999997672</v>
      </c>
      <c r="L17" s="9">
        <f t="shared" si="0"/>
        <v>659.52999999999975</v>
      </c>
      <c r="M17" s="9">
        <f t="shared" si="0"/>
        <v>19024</v>
      </c>
      <c r="N17" s="9">
        <f t="shared" si="0"/>
        <v>1815</v>
      </c>
      <c r="O17" s="9">
        <f t="shared" si="0"/>
        <v>-1045</v>
      </c>
      <c r="Q17" s="9">
        <f>IFERROR(+Q10-Q14,0)</f>
        <v>133379.4599999999</v>
      </c>
    </row>
    <row r="18" spans="1:17" s="38" customFormat="1" ht="15" customHeight="1" x14ac:dyDescent="0.3">
      <c r="B18" s="17"/>
      <c r="C18" s="17"/>
      <c r="D18" s="5">
        <f t="shared" ref="D18:O18" si="1">IFERROR(D17/D10,0)</f>
        <v>0.66007860353580627</v>
      </c>
      <c r="E18" s="5">
        <f t="shared" si="1"/>
        <v>0.24621297011818458</v>
      </c>
      <c r="F18" s="5">
        <f t="shared" si="1"/>
        <v>0.20136752937827665</v>
      </c>
      <c r="G18" s="5">
        <f t="shared" si="1"/>
        <v>0.15071939071549928</v>
      </c>
      <c r="H18" s="5">
        <f t="shared" si="1"/>
        <v>0.45700528957005299</v>
      </c>
      <c r="I18" s="5">
        <f t="shared" si="1"/>
        <v>-8.3742958017388069E-2</v>
      </c>
      <c r="J18" s="5">
        <f t="shared" si="1"/>
        <v>0.44850134392084939</v>
      </c>
      <c r="K18" s="5">
        <f t="shared" si="1"/>
        <v>-1.7723361767028034E-3</v>
      </c>
      <c r="L18" s="5">
        <f t="shared" si="1"/>
        <v>0.23725295518479342</v>
      </c>
      <c r="M18" s="5">
        <f t="shared" si="1"/>
        <v>-5.0070668495011095</v>
      </c>
      <c r="N18" s="5">
        <f t="shared" si="1"/>
        <v>0.27500000000000002</v>
      </c>
      <c r="O18" s="5">
        <f t="shared" si="1"/>
        <v>0.27492765061825836</v>
      </c>
      <c r="P18" s="19"/>
      <c r="Q18" s="5">
        <f>IFERROR(Q17/Q10,0)</f>
        <v>0.3046506278356827</v>
      </c>
    </row>
    <row r="19" spans="1:17" ht="15" customHeight="1" x14ac:dyDescent="0.3">
      <c r="A19" s="6"/>
      <c r="B19" s="7"/>
      <c r="C19" s="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Q19" s="2"/>
    </row>
    <row r="20" spans="1:17" s="37" customFormat="1" ht="15" customHeight="1" x14ac:dyDescent="0.3">
      <c r="A20" s="7"/>
      <c r="B20" s="17" t="s">
        <v>286</v>
      </c>
      <c r="C20" s="7"/>
      <c r="D20" s="12">
        <f t="shared" ref="D20:O20" si="2">SUM(0)</f>
        <v>0</v>
      </c>
      <c r="E20" s="12">
        <f t="shared" si="2"/>
        <v>0</v>
      </c>
      <c r="F20" s="12">
        <f t="shared" si="2"/>
        <v>0</v>
      </c>
      <c r="G20" s="12">
        <f t="shared" si="2"/>
        <v>0</v>
      </c>
      <c r="H20" s="12">
        <f t="shared" si="2"/>
        <v>0</v>
      </c>
      <c r="I20" s="12">
        <f t="shared" si="2"/>
        <v>0</v>
      </c>
      <c r="J20" s="12">
        <f t="shared" si="2"/>
        <v>0</v>
      </c>
      <c r="K20" s="12">
        <f t="shared" si="2"/>
        <v>0</v>
      </c>
      <c r="L20" s="12">
        <f t="shared" si="2"/>
        <v>0</v>
      </c>
      <c r="M20" s="12">
        <f t="shared" si="2"/>
        <v>0</v>
      </c>
      <c r="N20" s="12">
        <f t="shared" si="2"/>
        <v>0</v>
      </c>
      <c r="O20" s="12">
        <f t="shared" si="2"/>
        <v>0</v>
      </c>
      <c r="Q20" s="12">
        <f>SUM(0)</f>
        <v>0</v>
      </c>
    </row>
    <row r="21" spans="1:17" s="40" customFormat="1" ht="15" customHeight="1" x14ac:dyDescent="0.3">
      <c r="A21" s="22"/>
      <c r="B21" s="22"/>
      <c r="C21" s="2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Q21" s="2"/>
    </row>
    <row r="22" spans="1:17" s="39" customFormat="1" ht="15" customHeight="1" x14ac:dyDescent="0.3">
      <c r="A22" s="24"/>
      <c r="B22" s="17" t="s">
        <v>287</v>
      </c>
      <c r="C22" s="23"/>
      <c r="D22" s="4">
        <f>0</f>
        <v>0</v>
      </c>
      <c r="E22" s="4">
        <f>0</f>
        <v>0</v>
      </c>
      <c r="F22" s="4">
        <f>0</f>
        <v>0</v>
      </c>
      <c r="G22" s="4">
        <f>0</f>
        <v>0</v>
      </c>
      <c r="H22" s="4">
        <f>0</f>
        <v>0</v>
      </c>
      <c r="I22" s="4">
        <f>0</f>
        <v>0</v>
      </c>
      <c r="J22" s="4">
        <f>0</f>
        <v>0</v>
      </c>
      <c r="K22" s="4">
        <f>0</f>
        <v>0</v>
      </c>
      <c r="L22" s="4">
        <f>0</f>
        <v>0</v>
      </c>
      <c r="M22" s="4">
        <f>0</f>
        <v>0</v>
      </c>
      <c r="N22" s="4"/>
      <c r="O22" s="4"/>
      <c r="Q22" s="3">
        <f>SUM(OSRRefD23_0x)+IFERROR(SUM(OSRRefE23_0x),0)</f>
        <v>0</v>
      </c>
    </row>
    <row r="23" spans="1:17" ht="15" customHeight="1" x14ac:dyDescent="0.3">
      <c r="A23" s="6"/>
      <c r="B23" s="7"/>
      <c r="C23" s="7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Q23" s="4"/>
    </row>
    <row r="24" spans="1:17" s="37" customFormat="1" ht="15" customHeight="1" x14ac:dyDescent="0.3">
      <c r="A24" s="7"/>
      <c r="B24" s="18" t="s">
        <v>288</v>
      </c>
      <c r="C24" s="18"/>
      <c r="D24" s="9">
        <f t="shared" ref="D24:O24" si="3">IFERROR(+D17-D20+D22,0)</f>
        <v>3903.1900000000005</v>
      </c>
      <c r="E24" s="9">
        <f t="shared" si="3"/>
        <v>66290.709999999963</v>
      </c>
      <c r="F24" s="9">
        <f t="shared" si="3"/>
        <v>11601.760000000002</v>
      </c>
      <c r="G24" s="9">
        <f t="shared" si="3"/>
        <v>433.78999999999996</v>
      </c>
      <c r="H24" s="9">
        <f t="shared" si="3"/>
        <v>269.56000000000006</v>
      </c>
      <c r="I24" s="9">
        <f t="shared" si="3"/>
        <v>195.92000000000007</v>
      </c>
      <c r="J24" s="9">
        <f t="shared" si="3"/>
        <v>30292.30999999999</v>
      </c>
      <c r="K24" s="9">
        <f t="shared" si="3"/>
        <v>-61.309999999997672</v>
      </c>
      <c r="L24" s="9">
        <f t="shared" si="3"/>
        <v>659.52999999999975</v>
      </c>
      <c r="M24" s="9">
        <f t="shared" si="3"/>
        <v>19024</v>
      </c>
      <c r="N24" s="9">
        <f t="shared" si="3"/>
        <v>1815</v>
      </c>
      <c r="O24" s="9">
        <f t="shared" si="3"/>
        <v>-1045</v>
      </c>
      <c r="Q24" s="9">
        <f>IFERROR(+Q17-Q20+Q22,0)</f>
        <v>133379.4599999999</v>
      </c>
    </row>
    <row r="25" spans="1:17" s="38" customFormat="1" ht="15" customHeight="1" x14ac:dyDescent="0.3">
      <c r="B25" s="17"/>
      <c r="C25" s="17"/>
      <c r="D25" s="5">
        <f t="shared" ref="D25:O25" si="4">IFERROR(D24/D10,0)</f>
        <v>0.66007860353580627</v>
      </c>
      <c r="E25" s="5">
        <f t="shared" si="4"/>
        <v>0.24621297011818458</v>
      </c>
      <c r="F25" s="5">
        <f t="shared" si="4"/>
        <v>0.20136752937827665</v>
      </c>
      <c r="G25" s="5">
        <f t="shared" si="4"/>
        <v>0.15071939071549928</v>
      </c>
      <c r="H25" s="5">
        <f t="shared" si="4"/>
        <v>0.45700528957005299</v>
      </c>
      <c r="I25" s="5">
        <f t="shared" si="4"/>
        <v>-8.3742958017388069E-2</v>
      </c>
      <c r="J25" s="5">
        <f t="shared" si="4"/>
        <v>0.44850134392084939</v>
      </c>
      <c r="K25" s="5">
        <f t="shared" si="4"/>
        <v>-1.7723361767028034E-3</v>
      </c>
      <c r="L25" s="5">
        <f t="shared" si="4"/>
        <v>0.23725295518479342</v>
      </c>
      <c r="M25" s="5">
        <f t="shared" si="4"/>
        <v>-5.0070668495011095</v>
      </c>
      <c r="N25" s="5">
        <f t="shared" si="4"/>
        <v>0.27500000000000002</v>
      </c>
      <c r="O25" s="5">
        <f t="shared" si="4"/>
        <v>0.27492765061825836</v>
      </c>
      <c r="P25" s="19"/>
      <c r="Q25" s="5">
        <f>IFERROR(Q24/Q10,0)</f>
        <v>0.3046506278356827</v>
      </c>
    </row>
    <row r="26" spans="1:17" ht="15" customHeight="1" x14ac:dyDescent="0.3">
      <c r="A26" s="6"/>
      <c r="B26" s="7"/>
      <c r="C26" s="6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Q26" s="4"/>
    </row>
    <row r="27" spans="1:17" s="37" customFormat="1" ht="15" customHeight="1" x14ac:dyDescent="0.3">
      <c r="A27" s="26"/>
      <c r="B27" s="7" t="s">
        <v>289</v>
      </c>
      <c r="C27" s="7"/>
      <c r="D27" s="4">
        <v>2731.88</v>
      </c>
      <c r="E27" s="4">
        <v>38385.300000000003</v>
      </c>
      <c r="F27" s="4">
        <v>71.56</v>
      </c>
      <c r="G27" s="4">
        <v>-2390.66</v>
      </c>
      <c r="H27" s="4">
        <v>1251.74</v>
      </c>
      <c r="I27" s="4">
        <v>141.72999999999999</v>
      </c>
      <c r="J27" s="4">
        <v>12945.88</v>
      </c>
      <c r="K27" s="4">
        <v>1289.24</v>
      </c>
      <c r="L27" s="4">
        <v>-2055.58</v>
      </c>
      <c r="M27" s="4">
        <v>-3091.22</v>
      </c>
      <c r="N27" s="4">
        <v>2272</v>
      </c>
      <c r="O27" s="4">
        <v>-16708</v>
      </c>
      <c r="Q27" s="3">
        <f>SUM(OSRRefD28_0x)+IFERROR(SUM(OSRRefE28_0x),0)</f>
        <v>34843.869999999995</v>
      </c>
    </row>
    <row r="28" spans="1:17" ht="15" customHeight="1" x14ac:dyDescent="0.3">
      <c r="A28" s="6"/>
      <c r="B28" s="7"/>
      <c r="C28" s="7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Q28" s="4"/>
    </row>
    <row r="29" spans="1:17" s="37" customFormat="1" ht="15.75" customHeight="1" x14ac:dyDescent="0.3">
      <c r="A29" s="7"/>
      <c r="B29" s="18" t="s">
        <v>290</v>
      </c>
      <c r="C29" s="18"/>
      <c r="D29" s="8">
        <f t="shared" ref="D29:O29" si="5">IFERROR(+D24-D27,0)</f>
        <v>1171.3100000000004</v>
      </c>
      <c r="E29" s="8">
        <f t="shared" si="5"/>
        <v>27905.40999999996</v>
      </c>
      <c r="F29" s="8">
        <f t="shared" si="5"/>
        <v>11530.200000000003</v>
      </c>
      <c r="G29" s="8">
        <f t="shared" si="5"/>
        <v>2824.45</v>
      </c>
      <c r="H29" s="8">
        <f t="shared" si="5"/>
        <v>-982.18</v>
      </c>
      <c r="I29" s="8">
        <f t="shared" si="5"/>
        <v>54.190000000000083</v>
      </c>
      <c r="J29" s="8">
        <f t="shared" si="5"/>
        <v>17346.429999999993</v>
      </c>
      <c r="K29" s="8">
        <f t="shared" si="5"/>
        <v>-1350.5499999999977</v>
      </c>
      <c r="L29" s="8">
        <f t="shared" si="5"/>
        <v>2715.1099999999997</v>
      </c>
      <c r="M29" s="8">
        <f t="shared" si="5"/>
        <v>22115.22</v>
      </c>
      <c r="N29" s="8">
        <f t="shared" si="5"/>
        <v>-457</v>
      </c>
      <c r="O29" s="8">
        <f t="shared" si="5"/>
        <v>15663</v>
      </c>
      <c r="Q29" s="8">
        <f>IFERROR(+Q24-Q27,0)</f>
        <v>98535.589999999909</v>
      </c>
    </row>
    <row r="30" spans="1:17" ht="15.75" customHeight="1" x14ac:dyDescent="0.3">
      <c r="A30" s="6"/>
      <c r="B30" s="6"/>
      <c r="C30" s="6"/>
      <c r="D30" s="5">
        <f t="shared" ref="D30:O30" si="6">IFERROR(D29/D10,0)</f>
        <v>0.1980832778080302</v>
      </c>
      <c r="E30" s="5">
        <f t="shared" si="6"/>
        <v>0.1036445963313062</v>
      </c>
      <c r="F30" s="5">
        <f t="shared" si="6"/>
        <v>0.20012548848083442</v>
      </c>
      <c r="G30" s="5">
        <f t="shared" si="6"/>
        <v>0.98134900091378763</v>
      </c>
      <c r="H30" s="5">
        <f t="shared" si="6"/>
        <v>-1.6651634341516341</v>
      </c>
      <c r="I30" s="5">
        <f t="shared" si="6"/>
        <v>-2.3162673004094858E-2</v>
      </c>
      <c r="J30" s="5">
        <f t="shared" si="6"/>
        <v>0.25682746437062537</v>
      </c>
      <c r="K30" s="5">
        <f t="shared" si="6"/>
        <v>-3.9041406352080539E-2</v>
      </c>
      <c r="L30" s="5">
        <f t="shared" si="6"/>
        <v>0.97670746008791809</v>
      </c>
      <c r="M30" s="5">
        <f t="shared" si="6"/>
        <v>-5.8206678370176581</v>
      </c>
      <c r="N30" s="5">
        <f t="shared" si="6"/>
        <v>-6.9242424242424244E-2</v>
      </c>
      <c r="O30" s="5">
        <f t="shared" si="6"/>
        <v>-4.1207576953433307</v>
      </c>
      <c r="P30" s="19"/>
      <c r="Q30" s="5">
        <f>IFERROR(Q29/Q10,0)</f>
        <v>0.2250641092538492</v>
      </c>
    </row>
    <row r="31" spans="1:17" ht="15" customHeight="1" x14ac:dyDescent="0.3">
      <c r="A31" s="6"/>
      <c r="B31" s="6"/>
      <c r="C31" s="6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Q31" s="4"/>
    </row>
    <row r="32" spans="1:17" ht="15" customHeight="1" x14ac:dyDescent="0.3">
      <c r="A32" s="6"/>
      <c r="B32" s="6"/>
      <c r="C32" s="6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Q32" s="4"/>
    </row>
    <row r="33" spans="1:17" s="37" customFormat="1" ht="15.75" customHeight="1" x14ac:dyDescent="0.3">
      <c r="A33" s="7"/>
      <c r="B33" s="18" t="s">
        <v>293</v>
      </c>
      <c r="C33" s="18"/>
      <c r="D33" s="8">
        <f t="shared" ref="D33:O33" si="7">IFERROR(SUM(D29:D32),0)</f>
        <v>1171.5080832778085</v>
      </c>
      <c r="E33" s="8">
        <f t="shared" si="7"/>
        <v>27905.513644596293</v>
      </c>
      <c r="F33" s="8">
        <f t="shared" si="7"/>
        <v>11530.400125488484</v>
      </c>
      <c r="G33" s="8">
        <f t="shared" si="7"/>
        <v>2825.4313490009135</v>
      </c>
      <c r="H33" s="8">
        <f t="shared" si="7"/>
        <v>-983.84516343415157</v>
      </c>
      <c r="I33" s="8">
        <f t="shared" si="7"/>
        <v>54.166837326995989</v>
      </c>
      <c r="J33" s="8">
        <f t="shared" si="7"/>
        <v>17346.686827464364</v>
      </c>
      <c r="K33" s="8">
        <f t="shared" si="7"/>
        <v>-1350.5890414063497</v>
      </c>
      <c r="L33" s="8">
        <f t="shared" si="7"/>
        <v>2716.0867074600874</v>
      </c>
      <c r="M33" s="8">
        <f t="shared" si="7"/>
        <v>22109.399332162982</v>
      </c>
      <c r="N33" s="8">
        <f t="shared" si="7"/>
        <v>-457.06924242424242</v>
      </c>
      <c r="O33" s="8">
        <f t="shared" si="7"/>
        <v>15658.879242304656</v>
      </c>
      <c r="Q33" s="8">
        <f>IFERROR(SUM(Q29:Q32),0)</f>
        <v>98535.815064109163</v>
      </c>
    </row>
    <row r="34" spans="1:17" ht="15.75" customHeight="1" x14ac:dyDescent="0.3">
      <c r="A34" s="6"/>
      <c r="C34" s="6"/>
      <c r="D34" s="5">
        <f t="shared" ref="D34:O34" si="8">IFERROR(D33/D10,0)</f>
        <v>0.1981167761858697</v>
      </c>
      <c r="E34" s="5">
        <f t="shared" si="8"/>
        <v>0.10364498128183545</v>
      </c>
      <c r="F34" s="5">
        <f t="shared" si="8"/>
        <v>0.20012896198616303</v>
      </c>
      <c r="G34" s="5">
        <f t="shared" si="8"/>
        <v>0.9816899684867999</v>
      </c>
      <c r="H34" s="5">
        <f t="shared" si="8"/>
        <v>-1.6679865106370397</v>
      </c>
      <c r="I34" s="5">
        <f t="shared" si="8"/>
        <v>-2.3152772479631035E-2</v>
      </c>
      <c r="J34" s="5">
        <f t="shared" si="8"/>
        <v>0.25683126690212349</v>
      </c>
      <c r="K34" s="5">
        <f t="shared" si="8"/>
        <v>-3.9042534952583995E-2</v>
      </c>
      <c r="L34" s="5">
        <f t="shared" si="8"/>
        <v>0.97705881140060569</v>
      </c>
      <c r="M34" s="5">
        <f t="shared" si="8"/>
        <v>-5.8191358525260322</v>
      </c>
      <c r="N34" s="5">
        <f t="shared" si="8"/>
        <v>-6.9252915518824607E-2</v>
      </c>
      <c r="O34" s="5">
        <f t="shared" si="8"/>
        <v>-4.1196735707194572</v>
      </c>
      <c r="P34" s="19"/>
      <c r="Q34" s="5">
        <f>IFERROR(Q33/Q10,0)</f>
        <v>0.22506462332042429</v>
      </c>
    </row>
    <row r="35" spans="1:17" ht="15" customHeight="1" x14ac:dyDescent="0.3">
      <c r="A35" s="6"/>
      <c r="B35" s="33">
        <v>44694.892891863426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Q35" s="14"/>
    </row>
    <row r="36" spans="1:17" ht="15" customHeight="1" x14ac:dyDescent="0.3">
      <c r="A36" s="6"/>
      <c r="B36" s="31" t="s">
        <v>294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Q36" s="14"/>
    </row>
    <row r="37" spans="1:17" ht="15" customHeight="1" x14ac:dyDescent="0.3">
      <c r="A37" s="6"/>
      <c r="B37" s="27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Q37" s="14"/>
    </row>
    <row r="38" spans="1:17" ht="15" customHeight="1" x14ac:dyDescent="0.3"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Q38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DB26C-87AF-AFDA-0B3F-71AC1B954776}">
  <sheetPr>
    <tabColor rgb="FFFFFF00"/>
    <outlinePr summaryBelow="0" summaryRight="0"/>
    <pageSetUpPr fitToPage="1"/>
  </sheetPr>
  <dimension ref="A2:R137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">
        <v>308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155851.6</v>
      </c>
      <c r="E10" s="4">
        <f>SUM(OSRRefD11x_1)</f>
        <v>447179.94000000006</v>
      </c>
      <c r="F10" s="4">
        <f>SUM(OSRRefD11x_2)</f>
        <v>333559.08999999997</v>
      </c>
      <c r="G10" s="4">
        <f>SUM(OSRRefD11x_3)</f>
        <v>503397.87</v>
      </c>
      <c r="H10" s="4">
        <f>SUM(OSRRefD11x_4)</f>
        <v>280072.89999999997</v>
      </c>
      <c r="I10" s="4">
        <f>SUM(OSRRefD11x_5)</f>
        <v>442500.41000000003</v>
      </c>
      <c r="J10" s="4">
        <f>SUM(OSRRefD11x_6)</f>
        <v>181923.38000000003</v>
      </c>
      <c r="K10" s="4">
        <f>SUM(OSRRefD11x_7)</f>
        <v>575979.44000000006</v>
      </c>
      <c r="L10" s="4">
        <f>SUM(OSRRefD11x_8)</f>
        <v>551768.97</v>
      </c>
      <c r="M10" s="4">
        <f>SUM(OSRRefD11x_9)</f>
        <v>792207.32</v>
      </c>
      <c r="N10" s="4">
        <f>SUM(OSRRefE11x_0)</f>
        <v>277652</v>
      </c>
      <c r="O10" s="4">
        <f>SUM(OSRRefE11x_1)</f>
        <v>256683</v>
      </c>
      <c r="P10" s="25"/>
      <c r="Q10" s="4">
        <f>SUM(OSRRefG11x)</f>
        <v>4798775.9200000009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--150984.27</f>
        <v>150984.26999999999</v>
      </c>
      <c r="E11" s="3">
        <f>--428458.76</f>
        <v>428458.76</v>
      </c>
      <c r="F11" s="3">
        <f>--290451.74</f>
        <v>290451.74</v>
      </c>
      <c r="G11" s="3">
        <f>--448007.69</f>
        <v>448007.69</v>
      </c>
      <c r="H11" s="3">
        <f>--252801.33</f>
        <v>252801.33</v>
      </c>
      <c r="I11" s="3">
        <f>--458540.68</f>
        <v>458540.68</v>
      </c>
      <c r="J11" s="3">
        <f>--177172.42</f>
        <v>177172.42</v>
      </c>
      <c r="K11" s="3">
        <f>--512055.58</f>
        <v>512055.58</v>
      </c>
      <c r="L11" s="3">
        <f>--488125.03</f>
        <v>488125.03</v>
      </c>
      <c r="M11" s="3">
        <f>--698789.27</f>
        <v>698789.27</v>
      </c>
      <c r="N11" s="3">
        <v>270491</v>
      </c>
      <c r="O11" s="3">
        <v>256683</v>
      </c>
      <c r="Q11" s="3">
        <f>SUM(OSRRefD11_0x)+IFERROR(SUM(OSRRefE11_0x),0)</f>
        <v>4432560.7699999996</v>
      </c>
    </row>
    <row r="12" spans="1:18" s="39" customFormat="1" ht="15" hidden="1" customHeight="1" outlineLevel="1" x14ac:dyDescent="0.3">
      <c r="A12" s="24"/>
      <c r="B12" s="11" t="str">
        <f>CONCATENATE("          ","4100"," - ","NON-TAXABLE SALES")</f>
        <v xml:space="preserve">          4100 - NON-TAXABLE SALES</v>
      </c>
      <c r="C12" s="23"/>
      <c r="D12" s="3">
        <f>--9632.79</f>
        <v>9632.7900000000009</v>
      </c>
      <c r="E12" s="3">
        <f>--27288.82</f>
        <v>27288.82</v>
      </c>
      <c r="F12" s="3">
        <f>--54491.66</f>
        <v>54491.66</v>
      </c>
      <c r="G12" s="3">
        <f>--72298.74</f>
        <v>72298.740000000005</v>
      </c>
      <c r="H12" s="3">
        <f>--43368.21</f>
        <v>43368.21</v>
      </c>
      <c r="I12" s="3">
        <f>--47906.69</f>
        <v>47906.69</v>
      </c>
      <c r="J12" s="3">
        <f>--18013.61</f>
        <v>18013.61</v>
      </c>
      <c r="K12" s="3">
        <f>--86218.32</f>
        <v>86218.32</v>
      </c>
      <c r="L12" s="3">
        <f>--88000.95</f>
        <v>88000.95</v>
      </c>
      <c r="M12" s="3">
        <f>--131829.62</f>
        <v>131829.62</v>
      </c>
      <c r="N12" s="3">
        <v>7161</v>
      </c>
      <c r="O12" s="3">
        <v>0</v>
      </c>
      <c r="Q12" s="3">
        <f>SUM(OSRRefD11_1x)+IFERROR(SUM(OSRRefE11_1x),0)</f>
        <v>586210.41</v>
      </c>
    </row>
    <row r="13" spans="1:18" s="39" customFormat="1" ht="15" hidden="1" customHeight="1" outlineLevel="1" x14ac:dyDescent="0.3">
      <c r="A13" s="24"/>
      <c r="B13" s="11" t="str">
        <f>CONCATENATE("          ","4200"," - ","TAXABLE RETURNS")</f>
        <v xml:space="preserve">          4200 - TAXABLE RETURNS</v>
      </c>
      <c r="C13" s="23"/>
      <c r="D13" s="3">
        <f>-4645.61</f>
        <v>-4645.6099999999997</v>
      </c>
      <c r="E13" s="3">
        <f>-8469.29</f>
        <v>-8469.2900000000009</v>
      </c>
      <c r="F13" s="3">
        <f>-11043.53</f>
        <v>-11043.53</v>
      </c>
      <c r="G13" s="3">
        <f>-9498.41</f>
        <v>-9498.41</v>
      </c>
      <c r="H13" s="3">
        <f>-9492.58</f>
        <v>-9492.58</v>
      </c>
      <c r="I13" s="3">
        <f>-14473.37</f>
        <v>-14473.37</v>
      </c>
      <c r="J13" s="3">
        <f>-8289.38</f>
        <v>-8289.3799999999992</v>
      </c>
      <c r="K13" s="3">
        <f>-14081.6</f>
        <v>-14081.6</v>
      </c>
      <c r="L13" s="3">
        <f>-15213.21</f>
        <v>-15213.21</v>
      </c>
      <c r="M13" s="3">
        <f>-22520.79</f>
        <v>-22520.79</v>
      </c>
      <c r="N13" s="3"/>
      <c r="O13" s="3"/>
      <c r="Q13" s="3">
        <f>SUM(OSRRefD11_2x)+IFERROR(SUM(OSRRefE11_2x),0)</f>
        <v>-117727.77000000002</v>
      </c>
    </row>
    <row r="14" spans="1:18" s="39" customFormat="1" ht="15" hidden="1" customHeight="1" outlineLevel="1" x14ac:dyDescent="0.3">
      <c r="A14" s="24"/>
      <c r="B14" s="11" t="str">
        <f>CONCATENATE("          ","4300"," - ","NON-TAX RETURNS")</f>
        <v xml:space="preserve">          4300 - NON-TAX RETURNS</v>
      </c>
      <c r="C14" s="23"/>
      <c r="D14" s="3">
        <f>-119.85</f>
        <v>-119.85</v>
      </c>
      <c r="E14" s="3">
        <f>-98.35</f>
        <v>-98.35</v>
      </c>
      <c r="F14" s="3">
        <f>-340.78</f>
        <v>-340.78</v>
      </c>
      <c r="G14" s="3">
        <f>-335.33</f>
        <v>-335.33</v>
      </c>
      <c r="H14" s="3">
        <f>-213.1</f>
        <v>-213.1</v>
      </c>
      <c r="I14" s="3">
        <f>-168.79</f>
        <v>-168.79</v>
      </c>
      <c r="J14" s="3">
        <f>-376.59</f>
        <v>-376.59</v>
      </c>
      <c r="K14" s="3">
        <f>-245.74</f>
        <v>-245.74</v>
      </c>
      <c r="L14" s="3">
        <f>0</f>
        <v>0</v>
      </c>
      <c r="M14" s="3">
        <f>-1251.61</f>
        <v>-1251.6099999999999</v>
      </c>
      <c r="N14" s="3"/>
      <c r="O14" s="3"/>
      <c r="Q14" s="3">
        <f>SUM(OSRRefD11_3x)+IFERROR(SUM(OSRRefE11_3x),0)</f>
        <v>-3150.1399999999994</v>
      </c>
    </row>
    <row r="15" spans="1:18" s="39" customFormat="1" ht="15" hidden="1" customHeight="1" outlineLevel="1" x14ac:dyDescent="0.3">
      <c r="A15" s="24"/>
      <c r="B15" s="11" t="str">
        <f>CONCATENATE("          ","4500"," - ","SALES DISCOUNT")</f>
        <v xml:space="preserve">          4500 - SALES DISCOUNT</v>
      </c>
      <c r="C15" s="23"/>
      <c r="D15" s="3">
        <f>0</f>
        <v>0</v>
      </c>
      <c r="E15" s="3">
        <f>0</f>
        <v>0</v>
      </c>
      <c r="F15" s="3">
        <f>0</f>
        <v>0</v>
      </c>
      <c r="G15" s="3">
        <f>-7074.82</f>
        <v>-7074.82</v>
      </c>
      <c r="H15" s="3">
        <f>-6390.96</f>
        <v>-6390.96</v>
      </c>
      <c r="I15" s="3">
        <f>-49304.8</f>
        <v>-49304.800000000003</v>
      </c>
      <c r="J15" s="3">
        <f>-4596.68</f>
        <v>-4596.68</v>
      </c>
      <c r="K15" s="3">
        <f>-7967.12</f>
        <v>-7967.12</v>
      </c>
      <c r="L15" s="3">
        <f>-9143.8</f>
        <v>-9143.7999999999993</v>
      </c>
      <c r="M15" s="3">
        <f>-14639.17</f>
        <v>-14639.17</v>
      </c>
      <c r="N15" s="3"/>
      <c r="O15" s="3"/>
      <c r="Q15" s="3">
        <f>SUM(OSRRefD11_4x)+IFERROR(SUM(OSRRefE11_4x),0)</f>
        <v>-99117.35</v>
      </c>
    </row>
    <row r="16" spans="1:18" ht="15" customHeight="1" x14ac:dyDescent="0.3">
      <c r="A16" s="6"/>
      <c r="B16" s="7"/>
      <c r="C16" s="6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Q16" s="4"/>
    </row>
    <row r="17" spans="1:17" s="39" customFormat="1" ht="15" customHeight="1" collapsed="1" x14ac:dyDescent="0.3">
      <c r="A17" s="24"/>
      <c r="B17" s="17" t="s">
        <v>284</v>
      </c>
      <c r="C17" s="23"/>
      <c r="D17" s="4">
        <f>SUM(OSRRefD14x_0)</f>
        <v>82719.690000000017</v>
      </c>
      <c r="E17" s="4">
        <f>SUM(OSRRefD14x_1)</f>
        <v>189886.49</v>
      </c>
      <c r="F17" s="4">
        <f>SUM(OSRRefD14x_2)</f>
        <v>159951.53</v>
      </c>
      <c r="G17" s="4">
        <f>SUM(OSRRefD14x_3)</f>
        <v>286357.22999999992</v>
      </c>
      <c r="H17" s="4">
        <f>SUM(OSRRefD14x_4)</f>
        <v>132631.21</v>
      </c>
      <c r="I17" s="4">
        <f>SUM(OSRRefD14x_5)</f>
        <v>219496.24000000002</v>
      </c>
      <c r="J17" s="4">
        <f>SUM(OSRRefD14x_6)</f>
        <v>86084.11</v>
      </c>
      <c r="K17" s="4">
        <f>SUM(OSRRefD14x_7)</f>
        <v>265161.48</v>
      </c>
      <c r="L17" s="4">
        <f>SUM(OSRRefD14x_8)</f>
        <v>242840.08000000002</v>
      </c>
      <c r="M17" s="4">
        <f>SUM(OSRRefD14x_9)</f>
        <v>353400.32000000001</v>
      </c>
      <c r="N17" s="4">
        <f>SUM(OSRRefE14x_0)</f>
        <v>138544</v>
      </c>
      <c r="O17" s="4">
        <f>SUM(OSRRefE14x_1)</f>
        <v>134493</v>
      </c>
      <c r="Q17" s="4">
        <f>SUM(OSRRefG14x)</f>
        <v>2291565.3800000004</v>
      </c>
    </row>
    <row r="18" spans="1:17" s="39" customFormat="1" ht="15" hidden="1" customHeight="1" outlineLevel="1" x14ac:dyDescent="0.3">
      <c r="A18" s="24"/>
      <c r="B18" s="11" t="str">
        <f>CONCATENATE("          ","5000"," - ","PURCHASES @ COST")</f>
        <v xml:space="preserve">          5000 - PURCHASES @ COST</v>
      </c>
      <c r="C18" s="23"/>
      <c r="D18" s="3">
        <v>80555.63</v>
      </c>
      <c r="E18" s="3">
        <v>77397.3</v>
      </c>
      <c r="F18" s="3">
        <v>145785.07</v>
      </c>
      <c r="G18" s="3">
        <v>468589.22</v>
      </c>
      <c r="H18" s="3">
        <v>134256.76</v>
      </c>
      <c r="I18" s="3">
        <v>220899.39</v>
      </c>
      <c r="J18" s="3">
        <v>190632.23</v>
      </c>
      <c r="K18" s="3">
        <v>211305.33</v>
      </c>
      <c r="L18" s="3">
        <v>387197.84</v>
      </c>
      <c r="M18" s="3">
        <v>343115.75</v>
      </c>
      <c r="N18" s="3">
        <v>138544</v>
      </c>
      <c r="O18" s="3">
        <v>134493</v>
      </c>
      <c r="Q18" s="3">
        <f>SUM(OSRRefD14_0x)+IFERROR(SUM(OSRRefE14_0x),0)</f>
        <v>2532771.5200000005</v>
      </c>
    </row>
    <row r="19" spans="1:17" s="39" customFormat="1" ht="15" hidden="1" customHeight="1" outlineLevel="1" x14ac:dyDescent="0.3">
      <c r="A19" s="24"/>
      <c r="B19" s="11" t="str">
        <f>CONCATENATE("          ","5026"," - ","PURCHASES @ COST-WRITING INSTR")</f>
        <v xml:space="preserve">          5026 - PURCHASES @ COST-WRITING INSTR</v>
      </c>
      <c r="C19" s="23"/>
      <c r="D19" s="3"/>
      <c r="E19" s="3">
        <v>0</v>
      </c>
      <c r="F19" s="3"/>
      <c r="G19" s="3"/>
      <c r="H19" s="3"/>
      <c r="I19" s="3"/>
      <c r="J19" s="3"/>
      <c r="K19" s="3"/>
      <c r="L19" s="3"/>
      <c r="M19" s="3"/>
      <c r="N19" s="3"/>
      <c r="O19" s="3"/>
      <c r="Q19" s="3">
        <f>SUM(OSRRefD14_1x)+IFERROR(SUM(OSRRefE14_1x),0)</f>
        <v>0</v>
      </c>
    </row>
    <row r="20" spans="1:17" s="39" customFormat="1" ht="15" hidden="1" customHeight="1" outlineLevel="1" x14ac:dyDescent="0.3">
      <c r="A20" s="24"/>
      <c r="B20" s="11" t="str">
        <f>CONCATENATE("          ","5027"," - ","PURCHASES @ COST-SCHOOL SUPPLI")</f>
        <v xml:space="preserve">          5027 - PURCHASES @ COST-SCHOOL SUPPLI</v>
      </c>
      <c r="C20" s="23"/>
      <c r="D20" s="3"/>
      <c r="E20" s="3">
        <v>0</v>
      </c>
      <c r="F20" s="3">
        <v>0</v>
      </c>
      <c r="G20" s="3"/>
      <c r="H20" s="3"/>
      <c r="I20" s="3"/>
      <c r="J20" s="3"/>
      <c r="K20" s="3"/>
      <c r="L20" s="3"/>
      <c r="M20" s="3"/>
      <c r="N20" s="3"/>
      <c r="O20" s="3"/>
      <c r="Q20" s="3">
        <f>SUM(OSRRefD14_2x)+IFERROR(SUM(OSRRefE14_2x),0)</f>
        <v>0</v>
      </c>
    </row>
    <row r="21" spans="1:17" s="39" customFormat="1" ht="15" hidden="1" customHeight="1" outlineLevel="1" x14ac:dyDescent="0.3">
      <c r="A21" s="24"/>
      <c r="B21" s="11" t="str">
        <f>CONCATENATE("          ","5028"," - ","PURCHASES @ COST-ART/TECH")</f>
        <v xml:space="preserve">          5028 - PURCHASES @ COST-ART/TECH</v>
      </c>
      <c r="C21" s="23"/>
      <c r="D21" s="3"/>
      <c r="E21" s="3">
        <v>0</v>
      </c>
      <c r="F21" s="3">
        <v>0</v>
      </c>
      <c r="G21" s="3"/>
      <c r="H21" s="3"/>
      <c r="I21" s="3"/>
      <c r="J21" s="3"/>
      <c r="K21" s="3"/>
      <c r="L21" s="3"/>
      <c r="M21" s="3"/>
      <c r="N21" s="3"/>
      <c r="O21" s="3"/>
      <c r="Q21" s="3">
        <f>SUM(OSRRefD14_3x)+IFERROR(SUM(OSRRefE14_3x),0)</f>
        <v>0</v>
      </c>
    </row>
    <row r="22" spans="1:17" s="39" customFormat="1" ht="15" hidden="1" customHeight="1" outlineLevel="1" x14ac:dyDescent="0.3">
      <c r="A22" s="24"/>
      <c r="B22" s="11" t="str">
        <f>CONCATENATE("          ","5031"," - ","PURCHASES @ COST-FOOD")</f>
        <v xml:space="preserve">          5031 - PURCHASES @ COST-FOOD</v>
      </c>
      <c r="C22" s="23"/>
      <c r="D22" s="3"/>
      <c r="E22" s="3">
        <v>0</v>
      </c>
      <c r="F22" s="3">
        <v>0</v>
      </c>
      <c r="G22" s="3"/>
      <c r="H22" s="3"/>
      <c r="I22" s="3"/>
      <c r="J22" s="3"/>
      <c r="K22" s="3"/>
      <c r="L22" s="3"/>
      <c r="M22" s="3"/>
      <c r="N22" s="3"/>
      <c r="O22" s="3"/>
      <c r="Q22" s="3">
        <f>SUM(OSRRefD14_4x)+IFERROR(SUM(OSRRefE14_4x),0)</f>
        <v>0</v>
      </c>
    </row>
    <row r="23" spans="1:17" s="39" customFormat="1" ht="15" hidden="1" customHeight="1" outlineLevel="1" x14ac:dyDescent="0.3">
      <c r="A23" s="24"/>
      <c r="B23" s="11" t="str">
        <f>CONCATENATE("          ","5040"," - ","PURCHASES @ COST-LOGO CLOTHING")</f>
        <v xml:space="preserve">          5040 - PURCHASES @ COST-LOGO CLOTHING</v>
      </c>
      <c r="C23" s="23"/>
      <c r="D23" s="3">
        <v>0</v>
      </c>
      <c r="E23" s="3">
        <v>0</v>
      </c>
      <c r="F23" s="3">
        <v>0</v>
      </c>
      <c r="G23" s="3"/>
      <c r="H23" s="3"/>
      <c r="I23" s="3"/>
      <c r="J23" s="3"/>
      <c r="K23" s="3"/>
      <c r="L23" s="3"/>
      <c r="M23" s="3"/>
      <c r="N23" s="3"/>
      <c r="O23" s="3"/>
      <c r="Q23" s="3">
        <f>SUM(OSRRefD14_5x)+IFERROR(SUM(OSRRefE14_5x),0)</f>
        <v>0</v>
      </c>
    </row>
    <row r="24" spans="1:17" s="39" customFormat="1" ht="15" hidden="1" customHeight="1" outlineLevel="1" x14ac:dyDescent="0.3">
      <c r="A24" s="24"/>
      <c r="B24" s="11" t="str">
        <f>CONCATENATE("          ","5041"," - ","PURCHASES @ COST-LOGO GIFTS")</f>
        <v xml:space="preserve">          5041 - PURCHASES @ COST-LOGO GIFTS</v>
      </c>
      <c r="C24" s="23"/>
      <c r="D24" s="3">
        <v>0</v>
      </c>
      <c r="E24" s="3">
        <v>0</v>
      </c>
      <c r="F24" s="3">
        <v>0</v>
      </c>
      <c r="G24" s="3"/>
      <c r="H24" s="3"/>
      <c r="I24" s="3"/>
      <c r="J24" s="3"/>
      <c r="K24" s="3"/>
      <c r="L24" s="3"/>
      <c r="M24" s="3"/>
      <c r="N24" s="3"/>
      <c r="O24" s="3"/>
      <c r="Q24" s="3">
        <f>SUM(OSRRefD14_6x)+IFERROR(SUM(OSRRefE14_6x),0)</f>
        <v>0</v>
      </c>
    </row>
    <row r="25" spans="1:17" s="39" customFormat="1" ht="15" hidden="1" customHeight="1" outlineLevel="1" x14ac:dyDescent="0.3">
      <c r="A25" s="24"/>
      <c r="B25" s="11" t="str">
        <f>CONCATENATE("          ","5042"," - ","PURCHASES @ COST-EVERYDAY GIFT")</f>
        <v xml:space="preserve">          5042 - PURCHASES @ COST-EVERYDAY GIFT</v>
      </c>
      <c r="C25" s="23"/>
      <c r="D25" s="3">
        <v>0</v>
      </c>
      <c r="E25" s="3">
        <v>0</v>
      </c>
      <c r="F25" s="3"/>
      <c r="G25" s="3"/>
      <c r="H25" s="3"/>
      <c r="I25" s="3"/>
      <c r="J25" s="3"/>
      <c r="K25" s="3"/>
      <c r="L25" s="3"/>
      <c r="M25" s="3"/>
      <c r="N25" s="3"/>
      <c r="O25" s="3"/>
      <c r="Q25" s="3">
        <f>SUM(OSRRefD14_7x)+IFERROR(SUM(OSRRefE14_7x),0)</f>
        <v>0</v>
      </c>
    </row>
    <row r="26" spans="1:17" s="39" customFormat="1" ht="15" hidden="1" customHeight="1" outlineLevel="1" x14ac:dyDescent="0.3">
      <c r="A26" s="24"/>
      <c r="B26" s="11" t="str">
        <f>CONCATENATE("          ","5043"," - ","PURCHASES @ COST-CARDS")</f>
        <v xml:space="preserve">          5043 - PURCHASES @ COST-CARDS</v>
      </c>
      <c r="C26" s="23"/>
      <c r="D26" s="3">
        <v>0</v>
      </c>
      <c r="E26" s="3">
        <v>0</v>
      </c>
      <c r="F26" s="3"/>
      <c r="G26" s="3"/>
      <c r="H26" s="3"/>
      <c r="I26" s="3"/>
      <c r="J26" s="3"/>
      <c r="K26" s="3"/>
      <c r="L26" s="3"/>
      <c r="M26" s="3"/>
      <c r="N26" s="3"/>
      <c r="O26" s="3"/>
      <c r="Q26" s="3">
        <f>SUM(OSRRefD14_8x)+IFERROR(SUM(OSRRefE14_8x),0)</f>
        <v>0</v>
      </c>
    </row>
    <row r="27" spans="1:17" s="39" customFormat="1" ht="15" hidden="1" customHeight="1" outlineLevel="1" x14ac:dyDescent="0.3">
      <c r="A27" s="24"/>
      <c r="B27" s="11" t="str">
        <f>CONCATENATE("          ","5044"," - ","PURCHASES @ COST-ACCESSORIES")</f>
        <v xml:space="preserve">          5044 - PURCHASES @ COST-ACCESSORIES</v>
      </c>
      <c r="C27" s="23"/>
      <c r="D27" s="3">
        <v>0</v>
      </c>
      <c r="E27" s="3">
        <v>0</v>
      </c>
      <c r="F27" s="3"/>
      <c r="G27" s="3"/>
      <c r="H27" s="3"/>
      <c r="I27" s="3"/>
      <c r="J27" s="3"/>
      <c r="K27" s="3"/>
      <c r="L27" s="3"/>
      <c r="M27" s="3"/>
      <c r="N27" s="3"/>
      <c r="O27" s="3"/>
      <c r="Q27" s="3">
        <f>SUM(OSRRefD14_9x)+IFERROR(SUM(OSRRefE14_9x),0)</f>
        <v>0</v>
      </c>
    </row>
    <row r="28" spans="1:17" s="39" customFormat="1" ht="15" hidden="1" customHeight="1" outlineLevel="1" x14ac:dyDescent="0.3">
      <c r="A28" s="24"/>
      <c r="B28" s="11" t="str">
        <f>CONCATENATE("          ","5045"," - ","PURCHASES @ COST-SPECIAL ORDER")</f>
        <v xml:space="preserve">          5045 - PURCHASES @ COST-SPECIAL ORDER</v>
      </c>
      <c r="C28" s="23"/>
      <c r="D28" s="3">
        <v>0</v>
      </c>
      <c r="E28" s="3">
        <v>0</v>
      </c>
      <c r="F28" s="3">
        <v>0</v>
      </c>
      <c r="G28" s="3"/>
      <c r="H28" s="3"/>
      <c r="I28" s="3"/>
      <c r="J28" s="3"/>
      <c r="K28" s="3"/>
      <c r="L28" s="3"/>
      <c r="M28" s="3"/>
      <c r="N28" s="3"/>
      <c r="O28" s="3"/>
      <c r="Q28" s="3">
        <f>SUM(OSRRefD14_10x)+IFERROR(SUM(OSRRefE14_10x),0)</f>
        <v>0</v>
      </c>
    </row>
    <row r="29" spans="1:17" s="39" customFormat="1" ht="15" hidden="1" customHeight="1" outlineLevel="1" x14ac:dyDescent="0.3">
      <c r="A29" s="24"/>
      <c r="B29" s="11" t="str">
        <f>CONCATENATE("          ","5200"," - ","PURCHASES OFFSET")</f>
        <v xml:space="preserve">          5200 - PURCHASES OFFSET</v>
      </c>
      <c r="C29" s="23"/>
      <c r="D29" s="3">
        <v>-81956.95</v>
      </c>
      <c r="E29" s="3">
        <v>-80548.92</v>
      </c>
      <c r="F29" s="3">
        <v>-148748.12</v>
      </c>
      <c r="G29" s="3">
        <v>-474571.14</v>
      </c>
      <c r="H29" s="3">
        <v>-144987.67000000001</v>
      </c>
      <c r="I29" s="3">
        <v>-229602.93</v>
      </c>
      <c r="J29" s="3">
        <v>-201208.82</v>
      </c>
      <c r="K29" s="3">
        <v>-221122.89</v>
      </c>
      <c r="L29" s="3">
        <v>-408485.69</v>
      </c>
      <c r="M29" s="3">
        <v>-375708.7</v>
      </c>
      <c r="N29" s="3"/>
      <c r="O29" s="3"/>
      <c r="Q29" s="3">
        <f>SUM(OSRRefD14_11x)+IFERROR(SUM(OSRRefE14_11x),0)</f>
        <v>-2366941.83</v>
      </c>
    </row>
    <row r="30" spans="1:17" s="39" customFormat="1" ht="15" hidden="1" customHeight="1" outlineLevel="1" x14ac:dyDescent="0.3">
      <c r="A30" s="24"/>
      <c r="B30" s="11" t="str">
        <f>CONCATENATE("          ","5300"," - ","COG$ OFFSET")</f>
        <v xml:space="preserve">          5300 - COG$ OFFSET</v>
      </c>
      <c r="C30" s="23"/>
      <c r="D30" s="3">
        <v>82719.69</v>
      </c>
      <c r="E30" s="3">
        <v>189886.49</v>
      </c>
      <c r="F30" s="3">
        <v>159951.53</v>
      </c>
      <c r="G30" s="3">
        <v>286357.23</v>
      </c>
      <c r="H30" s="3">
        <v>132631.21</v>
      </c>
      <c r="I30" s="3">
        <v>219496.24</v>
      </c>
      <c r="J30" s="3">
        <v>86084.11</v>
      </c>
      <c r="K30" s="3">
        <v>265161.48</v>
      </c>
      <c r="L30" s="3">
        <v>245840.08</v>
      </c>
      <c r="M30" s="3">
        <v>353400.32000000001</v>
      </c>
      <c r="N30" s="3"/>
      <c r="O30" s="3"/>
      <c r="Q30" s="3">
        <f>SUM(OSRRefD14_12x)+IFERROR(SUM(OSRRefE14_12x),0)</f>
        <v>2021528.3800000001</v>
      </c>
    </row>
    <row r="31" spans="1:17" s="39" customFormat="1" ht="15" hidden="1" customHeight="1" outlineLevel="1" x14ac:dyDescent="0.3">
      <c r="A31" s="24"/>
      <c r="B31" s="11" t="str">
        <f>CONCATENATE("          ","5500"," - ","FREIGHT-IN")</f>
        <v xml:space="preserve">          5500 - FREIGHT-IN</v>
      </c>
      <c r="C31" s="23"/>
      <c r="D31" s="3">
        <v>1401.32</v>
      </c>
      <c r="E31" s="3">
        <v>3151.62</v>
      </c>
      <c r="F31" s="3">
        <v>2963.05</v>
      </c>
      <c r="G31" s="3">
        <v>5981.92</v>
      </c>
      <c r="H31" s="3">
        <v>10730.91</v>
      </c>
      <c r="I31" s="3">
        <v>8703.5400000000009</v>
      </c>
      <c r="J31" s="3">
        <v>10576.59</v>
      </c>
      <c r="K31" s="3">
        <v>9817.56</v>
      </c>
      <c r="L31" s="3">
        <v>18287.849999999999</v>
      </c>
      <c r="M31" s="3">
        <v>32592.95</v>
      </c>
      <c r="N31" s="3"/>
      <c r="O31" s="3"/>
      <c r="Q31" s="3">
        <f>SUM(OSRRefD14_13x)+IFERROR(SUM(OSRRefE14_13x),0)</f>
        <v>104207.30999999998</v>
      </c>
    </row>
    <row r="32" spans="1:17" s="39" customFormat="1" ht="15" hidden="1" customHeight="1" outlineLevel="1" x14ac:dyDescent="0.3">
      <c r="A32" s="24"/>
      <c r="B32" s="11" t="str">
        <f>CONCATENATE("          ","5527"," - ","FREIGHT-IN-SCHOOL SUPPLIES")</f>
        <v xml:space="preserve">          5527 - FREIGHT-IN-SCHOOL SUPPLIES</v>
      </c>
      <c r="C32" s="23"/>
      <c r="D32" s="3"/>
      <c r="E32" s="3">
        <v>0</v>
      </c>
      <c r="F32" s="3"/>
      <c r="G32" s="3"/>
      <c r="H32" s="3"/>
      <c r="I32" s="3"/>
      <c r="J32" s="3"/>
      <c r="K32" s="3"/>
      <c r="L32" s="3"/>
      <c r="M32" s="3"/>
      <c r="N32" s="3"/>
      <c r="O32" s="3"/>
      <c r="Q32" s="3">
        <f>SUM(OSRRefD14_14x)+IFERROR(SUM(OSRRefE14_14x),0)</f>
        <v>0</v>
      </c>
    </row>
    <row r="33" spans="1:17" s="39" customFormat="1" ht="15" hidden="1" customHeight="1" outlineLevel="1" x14ac:dyDescent="0.3">
      <c r="A33" s="24"/>
      <c r="B33" s="11" t="str">
        <f>CONCATENATE("          ","5528"," - ","FREIGHT-IN-ART/TECH")</f>
        <v xml:space="preserve">          5528 - FREIGHT-IN-ART/TECH</v>
      </c>
      <c r="C33" s="23"/>
      <c r="D33" s="3"/>
      <c r="E33" s="3">
        <v>0</v>
      </c>
      <c r="F33" s="3">
        <v>0</v>
      </c>
      <c r="G33" s="3"/>
      <c r="H33" s="3"/>
      <c r="I33" s="3"/>
      <c r="J33" s="3"/>
      <c r="K33" s="3"/>
      <c r="L33" s="3"/>
      <c r="M33" s="3"/>
      <c r="N33" s="3"/>
      <c r="O33" s="3"/>
      <c r="Q33" s="3">
        <f>SUM(OSRRefD14_15x)+IFERROR(SUM(OSRRefE14_15x),0)</f>
        <v>0</v>
      </c>
    </row>
    <row r="34" spans="1:17" s="39" customFormat="1" ht="15" hidden="1" customHeight="1" outlineLevel="1" x14ac:dyDescent="0.3">
      <c r="A34" s="24"/>
      <c r="B34" s="11" t="str">
        <f>CONCATENATE("          ","5540"," - ","FREIGHT-IN-LOGO CLOTHING")</f>
        <v xml:space="preserve">          5540 - FREIGHT-IN-LOGO CLOTHING</v>
      </c>
      <c r="C34" s="23"/>
      <c r="D34" s="3">
        <v>0</v>
      </c>
      <c r="E34" s="3">
        <v>0</v>
      </c>
      <c r="F34" s="3"/>
      <c r="G34" s="3"/>
      <c r="H34" s="3"/>
      <c r="I34" s="3"/>
      <c r="J34" s="3"/>
      <c r="K34" s="3"/>
      <c r="L34" s="3"/>
      <c r="M34" s="3"/>
      <c r="N34" s="3"/>
      <c r="O34" s="3"/>
      <c r="Q34" s="3">
        <f>SUM(OSRRefD14_16x)+IFERROR(SUM(OSRRefE14_16x),0)</f>
        <v>0</v>
      </c>
    </row>
    <row r="35" spans="1:17" s="39" customFormat="1" ht="15" hidden="1" customHeight="1" outlineLevel="1" x14ac:dyDescent="0.3">
      <c r="A35" s="24"/>
      <c r="B35" s="11" t="str">
        <f>CONCATENATE("          ","5541"," - ","FREIGHT-IN-LOGO GIFTS")</f>
        <v xml:space="preserve">          5541 - FREIGHT-IN-LOGO GIFTS</v>
      </c>
      <c r="C35" s="23"/>
      <c r="D35" s="3">
        <v>0</v>
      </c>
      <c r="E35" s="3">
        <v>0</v>
      </c>
      <c r="F35" s="3">
        <v>0</v>
      </c>
      <c r="G35" s="3"/>
      <c r="H35" s="3"/>
      <c r="I35" s="3"/>
      <c r="J35" s="3"/>
      <c r="K35" s="3"/>
      <c r="L35" s="3"/>
      <c r="M35" s="3"/>
      <c r="N35" s="3"/>
      <c r="O35" s="3"/>
      <c r="Q35" s="3">
        <f>SUM(OSRRefD14_17x)+IFERROR(SUM(OSRRefE14_17x),0)</f>
        <v>0</v>
      </c>
    </row>
    <row r="36" spans="1:17" s="39" customFormat="1" ht="15" hidden="1" customHeight="1" outlineLevel="1" x14ac:dyDescent="0.3">
      <c r="A36" s="24"/>
      <c r="B36" s="11" t="str">
        <f>CONCATENATE("          ","5542"," - ","FREIGHT-IN-EVERYDAY GIFTS")</f>
        <v xml:space="preserve">          5542 - FREIGHT-IN-EVERYDAY GIFTS</v>
      </c>
      <c r="C36" s="23"/>
      <c r="D36" s="3">
        <v>0</v>
      </c>
      <c r="E36" s="3">
        <v>0</v>
      </c>
      <c r="F36" s="3"/>
      <c r="G36" s="3"/>
      <c r="H36" s="3"/>
      <c r="I36" s="3"/>
      <c r="J36" s="3"/>
      <c r="K36" s="3"/>
      <c r="L36" s="3"/>
      <c r="M36" s="3"/>
      <c r="N36" s="3"/>
      <c r="O36" s="3"/>
      <c r="Q36" s="3">
        <f>SUM(OSRRefD14_18x)+IFERROR(SUM(OSRRefE14_18x),0)</f>
        <v>0</v>
      </c>
    </row>
    <row r="37" spans="1:17" s="39" customFormat="1" ht="15" hidden="1" customHeight="1" outlineLevel="1" x14ac:dyDescent="0.3">
      <c r="A37" s="24"/>
      <c r="B37" s="11" t="str">
        <f>CONCATENATE("          ","5544"," - ","FREIGHT-IN-ACCESSORIES")</f>
        <v xml:space="preserve">          5544 - FREIGHT-IN-ACCESSORIES</v>
      </c>
      <c r="C37" s="23"/>
      <c r="D37" s="3">
        <v>0</v>
      </c>
      <c r="E37" s="3">
        <v>0</v>
      </c>
      <c r="F37" s="3"/>
      <c r="G37" s="3"/>
      <c r="H37" s="3"/>
      <c r="I37" s="3"/>
      <c r="J37" s="3"/>
      <c r="K37" s="3"/>
      <c r="L37" s="3"/>
      <c r="M37" s="3"/>
      <c r="N37" s="3"/>
      <c r="O37" s="3"/>
      <c r="Q37" s="3">
        <f>SUM(OSRRefD14_19x)+IFERROR(SUM(OSRRefE14_19x),0)</f>
        <v>0</v>
      </c>
    </row>
    <row r="38" spans="1:17" s="39" customFormat="1" ht="15" hidden="1" customHeight="1" outlineLevel="1" x14ac:dyDescent="0.3">
      <c r="A38" s="24"/>
      <c r="B38" s="11" t="str">
        <f>CONCATENATE("          ","5545"," - ","FREIGHT-IN-SPECIAL ORDERS")</f>
        <v xml:space="preserve">          5545 - FREIGHT-IN-SPECIAL ORDERS</v>
      </c>
      <c r="C38" s="23"/>
      <c r="D38" s="3">
        <v>0</v>
      </c>
      <c r="E38" s="3">
        <v>0</v>
      </c>
      <c r="F38" s="3"/>
      <c r="G38" s="3"/>
      <c r="H38" s="3"/>
      <c r="I38" s="3"/>
      <c r="J38" s="3"/>
      <c r="K38" s="3"/>
      <c r="L38" s="3"/>
      <c r="M38" s="3"/>
      <c r="N38" s="3"/>
      <c r="O38" s="3"/>
      <c r="Q38" s="3">
        <f>SUM(OSRRefD14_20x)+IFERROR(SUM(OSRRefE14_20x),0)</f>
        <v>0</v>
      </c>
    </row>
    <row r="39" spans="1:17" ht="15" customHeight="1" x14ac:dyDescent="0.3">
      <c r="A39" s="6"/>
      <c r="B39" s="7"/>
      <c r="C39" s="7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Q39" s="4"/>
    </row>
    <row r="40" spans="1:17" s="37" customFormat="1" ht="15" customHeight="1" x14ac:dyDescent="0.3">
      <c r="A40" s="7"/>
      <c r="B40" s="18" t="s">
        <v>285</v>
      </c>
      <c r="C40" s="18"/>
      <c r="D40" s="9">
        <f t="shared" ref="D40:O40" si="0">IFERROR(+D10-D17,0)</f>
        <v>73131.909999999989</v>
      </c>
      <c r="E40" s="9">
        <f t="shared" si="0"/>
        <v>257293.45000000007</v>
      </c>
      <c r="F40" s="9">
        <f t="shared" si="0"/>
        <v>173607.55999999997</v>
      </c>
      <c r="G40" s="9">
        <f t="shared" si="0"/>
        <v>217040.64000000007</v>
      </c>
      <c r="H40" s="9">
        <f t="shared" si="0"/>
        <v>147441.68999999997</v>
      </c>
      <c r="I40" s="9">
        <f t="shared" si="0"/>
        <v>223004.17</v>
      </c>
      <c r="J40" s="9">
        <f t="shared" si="0"/>
        <v>95839.270000000033</v>
      </c>
      <c r="K40" s="9">
        <f t="shared" si="0"/>
        <v>310817.96000000008</v>
      </c>
      <c r="L40" s="9">
        <f t="shared" si="0"/>
        <v>308928.88999999996</v>
      </c>
      <c r="M40" s="9">
        <f t="shared" si="0"/>
        <v>438806.99999999994</v>
      </c>
      <c r="N40" s="9">
        <f t="shared" si="0"/>
        <v>139108</v>
      </c>
      <c r="O40" s="9">
        <f t="shared" si="0"/>
        <v>122190</v>
      </c>
      <c r="Q40" s="9">
        <f>IFERROR(+Q10-Q17,0)</f>
        <v>2507210.5400000005</v>
      </c>
    </row>
    <row r="41" spans="1:17" s="38" customFormat="1" ht="15" customHeight="1" x14ac:dyDescent="0.3">
      <c r="B41" s="17"/>
      <c r="C41" s="17"/>
      <c r="D41" s="5">
        <f t="shared" ref="D41:O41" si="1">IFERROR(D40/D10,0)</f>
        <v>0.46924067510375245</v>
      </c>
      <c r="E41" s="5">
        <f t="shared" si="1"/>
        <v>0.57536894432250252</v>
      </c>
      <c r="F41" s="5">
        <f t="shared" si="1"/>
        <v>0.52047018116040544</v>
      </c>
      <c r="G41" s="5">
        <f t="shared" si="1"/>
        <v>0.43115128794645091</v>
      </c>
      <c r="H41" s="5">
        <f t="shared" si="1"/>
        <v>0.52644040176682572</v>
      </c>
      <c r="I41" s="5">
        <f t="shared" si="1"/>
        <v>0.50396375903922885</v>
      </c>
      <c r="J41" s="5">
        <f t="shared" si="1"/>
        <v>0.52681117732091398</v>
      </c>
      <c r="K41" s="5">
        <f t="shared" si="1"/>
        <v>0.53963377581672023</v>
      </c>
      <c r="L41" s="5">
        <f t="shared" si="1"/>
        <v>0.55988811766634861</v>
      </c>
      <c r="M41" s="5">
        <f t="shared" si="1"/>
        <v>0.55390424819604034</v>
      </c>
      <c r="N41" s="5">
        <f t="shared" si="1"/>
        <v>0.50101565989079855</v>
      </c>
      <c r="O41" s="5">
        <f t="shared" si="1"/>
        <v>0.47603464195135636</v>
      </c>
      <c r="P41" s="19"/>
      <c r="Q41" s="5">
        <f>IFERROR(Q40/Q10,0)</f>
        <v>0.52246876741016901</v>
      </c>
    </row>
    <row r="42" spans="1:17" ht="15" customHeight="1" x14ac:dyDescent="0.3">
      <c r="A42" s="6"/>
      <c r="B42" s="7"/>
      <c r="C42" s="6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Q42" s="2"/>
    </row>
    <row r="43" spans="1:17" s="37" customFormat="1" ht="15" customHeight="1" x14ac:dyDescent="0.3">
      <c r="A43" s="7"/>
      <c r="B43" s="17" t="s">
        <v>286</v>
      </c>
      <c r="C43" s="7"/>
      <c r="D43" s="12" cm="1">
        <f t="array" ref="D43">SUM(OSRRefD20x_0)</f>
        <v>96955.790000000037</v>
      </c>
      <c r="E43" s="12" cm="1">
        <f t="array" ref="E43">SUM(OSRRefD20x_1)</f>
        <v>102309.79000000001</v>
      </c>
      <c r="F43" s="12" cm="1">
        <f t="array" ref="F43">SUM(OSRRefD20x_2)</f>
        <v>86646.24000000002</v>
      </c>
      <c r="G43" s="12" cm="1">
        <f t="array" ref="G43">SUM(OSRRefD20x_3)</f>
        <v>114170.04000000002</v>
      </c>
      <c r="H43" s="12" cm="1">
        <f t="array" ref="H43">SUM(OSRRefD20x_4)</f>
        <v>87633.920000000013</v>
      </c>
      <c r="I43" s="12" cm="1">
        <f t="array" ref="I43">SUM(OSRRefD20x_5)</f>
        <v>95075.709999999992</v>
      </c>
      <c r="J43" s="12" cm="1">
        <f t="array" ref="J43">SUM(OSRRefD20x_6)</f>
        <v>135202.20000000001</v>
      </c>
      <c r="K43" s="12" cm="1">
        <f t="array" ref="K43">SUM(OSRRefD20x_7)</f>
        <v>117333.75999999999</v>
      </c>
      <c r="L43" s="12" cm="1">
        <f t="array" ref="L43">SUM(OSRRefD20x_8)</f>
        <v>111062.01000000002</v>
      </c>
      <c r="M43" s="12" cm="1">
        <f t="array" ref="M43">SUM(OSRRefD20x_9)</f>
        <v>153457.76</v>
      </c>
      <c r="N43" s="12" cm="1">
        <f t="array" ref="N43">SUM(OSRRefE20x_0)</f>
        <v>112030.95143389233</v>
      </c>
      <c r="O43" s="12" cm="1">
        <f t="array" ref="O43">SUM(OSRRefE20x_1)</f>
        <v>111501.24025919233</v>
      </c>
      <c r="Q43" s="12" cm="1">
        <f t="array" ref="Q43">SUM(OSRRefG20x)</f>
        <v>1323379.4116930845</v>
      </c>
    </row>
    <row r="44" spans="1:17" s="42" customFormat="1" ht="15" customHeight="1" collapsed="1" x14ac:dyDescent="0.3">
      <c r="A44" s="34"/>
      <c r="B44" s="15" t="str">
        <f>CONCATENATE("     ","*Benefits                                         ")</f>
        <v xml:space="preserve">     *Benefits                                         </v>
      </c>
      <c r="C44" s="15"/>
      <c r="D44" s="2">
        <f>SUM(OSRRefD21_0x_0)</f>
        <v>13678.2</v>
      </c>
      <c r="E44" s="2">
        <f>SUM(OSRRefD21_0x_1)</f>
        <v>15134.39</v>
      </c>
      <c r="F44" s="2">
        <f>SUM(OSRRefD21_0x_2)</f>
        <v>13393.95</v>
      </c>
      <c r="G44" s="2">
        <f>SUM(OSRRefD21_0x_3)</f>
        <v>17306.89</v>
      </c>
      <c r="H44" s="2">
        <f>SUM(OSRRefD21_0x_4)</f>
        <v>13478.66</v>
      </c>
      <c r="I44" s="2">
        <f>SUM(OSRRefD21_0x_5)</f>
        <v>13456.889999999998</v>
      </c>
      <c r="J44" s="2">
        <f>SUM(OSRRefD21_0x_6)</f>
        <v>18987.850000000002</v>
      </c>
      <c r="K44" s="2">
        <f>SUM(OSRRefD21_0x_7)</f>
        <v>15142.26</v>
      </c>
      <c r="L44" s="2">
        <f>SUM(OSRRefD21_0x_8)</f>
        <v>12561.02</v>
      </c>
      <c r="M44" s="2">
        <f>SUM(OSRRefD21_0x_9)</f>
        <v>14499.869999999999</v>
      </c>
      <c r="N44" s="2">
        <f>SUM(OSRRefE21_0x_0)</f>
        <v>20909.045741584625</v>
      </c>
      <c r="O44" s="2">
        <f>SUM(OSRRefE21_0x_1)</f>
        <v>19340.334566884623</v>
      </c>
      <c r="Q44" s="3">
        <f>SUM(OSRRefD20_0x)+IFERROR(SUM(OSRRefE20_0x),0)</f>
        <v>187889.36030846921</v>
      </c>
    </row>
    <row r="45" spans="1:17" s="42" customFormat="1" ht="15" hidden="1" customHeight="1" outlineLevel="1" x14ac:dyDescent="0.3">
      <c r="A45" s="34"/>
      <c r="B45" s="11" t="str">
        <f>CONCATENATE("          ","6111"," - ","F.I.C.A.")</f>
        <v xml:space="preserve">          6111 - F.I.C.A.</v>
      </c>
      <c r="C45" s="15"/>
      <c r="D45" s="3">
        <v>3257.4</v>
      </c>
      <c r="E45" s="3">
        <v>4182.6899999999996</v>
      </c>
      <c r="F45" s="3">
        <v>2336.11</v>
      </c>
      <c r="G45" s="3">
        <v>3193.34</v>
      </c>
      <c r="H45" s="3">
        <v>2225.58</v>
      </c>
      <c r="I45" s="3">
        <v>2132.4899999999998</v>
      </c>
      <c r="J45" s="3">
        <v>2350.34</v>
      </c>
      <c r="K45" s="3">
        <v>2301.62</v>
      </c>
      <c r="L45" s="3">
        <v>2224.0500000000002</v>
      </c>
      <c r="M45" s="3">
        <v>3266.66</v>
      </c>
      <c r="N45" s="3">
        <v>5186.07617196923</v>
      </c>
      <c r="O45" s="3">
        <v>3617.3649972692301</v>
      </c>
      <c r="P45" s="10"/>
      <c r="Q45" s="3">
        <f>SUM(OSRRefD21_0_0x)+IFERROR(SUM(OSRRefE21_0_0x),0)</f>
        <v>36273.721169238459</v>
      </c>
    </row>
    <row r="46" spans="1:17" s="42" customFormat="1" ht="15" hidden="1" customHeight="1" outlineLevel="1" x14ac:dyDescent="0.3">
      <c r="A46" s="34"/>
      <c r="B46" s="11" t="str">
        <f>CONCATENATE("          ","6112"," - ","COMPENSATION INSURANCE")</f>
        <v xml:space="preserve">          6112 - COMPENSATION INSURANCE</v>
      </c>
      <c r="C46" s="15"/>
      <c r="D46" s="3">
        <v>734.03</v>
      </c>
      <c r="E46" s="3">
        <v>929.2</v>
      </c>
      <c r="F46" s="3">
        <v>879.41</v>
      </c>
      <c r="G46" s="3">
        <v>1342.07</v>
      </c>
      <c r="H46" s="3">
        <v>896.66</v>
      </c>
      <c r="I46" s="3">
        <v>961.93</v>
      </c>
      <c r="J46" s="3">
        <v>911.47</v>
      </c>
      <c r="K46" s="3">
        <v>1247.52</v>
      </c>
      <c r="L46" s="3">
        <v>1190.46</v>
      </c>
      <c r="M46" s="3">
        <v>1108.6199999999999</v>
      </c>
      <c r="N46" s="3">
        <v>1198.0687800000001</v>
      </c>
      <c r="O46" s="3">
        <v>1198.0687800000001</v>
      </c>
      <c r="P46" s="10"/>
      <c r="Q46" s="3">
        <f>SUM(OSRRefD21_0_1x)+IFERROR(SUM(OSRRefE21_0_1x),0)</f>
        <v>12597.507559999998</v>
      </c>
    </row>
    <row r="47" spans="1:17" s="42" customFormat="1" ht="15" hidden="1" customHeight="1" outlineLevel="1" x14ac:dyDescent="0.3">
      <c r="A47" s="34"/>
      <c r="B47" s="11" t="str">
        <f>CONCATENATE("          ","6113"," - ","GROUP INSURANCE")</f>
        <v xml:space="preserve">          6113 - GROUP INSURANCE</v>
      </c>
      <c r="C47" s="15"/>
      <c r="D47" s="3">
        <v>4811.13</v>
      </c>
      <c r="E47" s="3">
        <v>4811.13</v>
      </c>
      <c r="F47" s="3">
        <v>4844.88</v>
      </c>
      <c r="G47" s="3">
        <v>4811.13</v>
      </c>
      <c r="H47" s="3">
        <v>4811.13</v>
      </c>
      <c r="I47" s="3">
        <v>4811.13</v>
      </c>
      <c r="J47" s="3">
        <v>4432.75</v>
      </c>
      <c r="K47" s="3">
        <v>4988.75</v>
      </c>
      <c r="L47" s="3">
        <v>3834.79</v>
      </c>
      <c r="M47" s="3">
        <v>3834.79</v>
      </c>
      <c r="N47" s="3">
        <v>7772.9230769230799</v>
      </c>
      <c r="O47" s="3">
        <v>7772.9230769230799</v>
      </c>
      <c r="P47" s="10"/>
      <c r="Q47" s="3">
        <f>SUM(OSRRefD21_0_2x)+IFERROR(SUM(OSRRefE21_0_2x),0)</f>
        <v>61537.456153846157</v>
      </c>
    </row>
    <row r="48" spans="1:17" s="42" customFormat="1" ht="15" hidden="1" customHeight="1" outlineLevel="1" x14ac:dyDescent="0.3">
      <c r="A48" s="34"/>
      <c r="B48" s="11" t="str">
        <f>CONCATENATE("          ","6114"," - ","STATE UNEMPLOYMENT INSURANCE")</f>
        <v xml:space="preserve">          6114 - STATE UNEMPLOYMENT INSURANCE</v>
      </c>
      <c r="C48" s="15"/>
      <c r="D48" s="3">
        <v>128.94999999999999</v>
      </c>
      <c r="E48" s="3">
        <v>163.22999999999999</v>
      </c>
      <c r="F48" s="3">
        <v>154.49</v>
      </c>
      <c r="G48" s="3">
        <v>235.77</v>
      </c>
      <c r="H48" s="3">
        <v>157.52000000000001</v>
      </c>
      <c r="I48" s="3">
        <v>168.99</v>
      </c>
      <c r="J48" s="3">
        <v>160.22999999999999</v>
      </c>
      <c r="K48" s="3">
        <v>220</v>
      </c>
      <c r="L48" s="3">
        <v>209.34</v>
      </c>
      <c r="M48" s="3">
        <v>194.76</v>
      </c>
      <c r="N48" s="3">
        <v>161.27848961538501</v>
      </c>
      <c r="O48" s="3">
        <v>161.27848961538501</v>
      </c>
      <c r="P48" s="10"/>
      <c r="Q48" s="3">
        <f>SUM(OSRRefD21_0_3x)+IFERROR(SUM(OSRRefE21_0_3x),0)</f>
        <v>2115.8369792307699</v>
      </c>
    </row>
    <row r="49" spans="1:17" s="42" customFormat="1" ht="15" hidden="1" customHeight="1" outlineLevel="1" x14ac:dyDescent="0.3">
      <c r="A49" s="34"/>
      <c r="B49" s="11" t="str">
        <f>CONCATENATE("          ","6115"," - ","P.E.R.S.")</f>
        <v xml:space="preserve">          6115 - P.E.R.S.</v>
      </c>
      <c r="C49" s="15"/>
      <c r="D49" s="3">
        <v>1579.48</v>
      </c>
      <c r="E49" s="3">
        <v>1579.48</v>
      </c>
      <c r="F49" s="3">
        <v>1579.48</v>
      </c>
      <c r="G49" s="3">
        <v>2369.23</v>
      </c>
      <c r="H49" s="3">
        <v>1642.66</v>
      </c>
      <c r="I49" s="3">
        <v>1642.66</v>
      </c>
      <c r="J49" s="3">
        <v>1642.66</v>
      </c>
      <c r="K49" s="3">
        <v>1403.98</v>
      </c>
      <c r="L49" s="3">
        <v>1145.3499999999999</v>
      </c>
      <c r="M49" s="3">
        <v>1549.91</v>
      </c>
      <c r="N49" s="3">
        <v>1413.3438461538501</v>
      </c>
      <c r="O49" s="3">
        <v>1413.3438461538501</v>
      </c>
      <c r="P49" s="10"/>
      <c r="Q49" s="3">
        <f>SUM(OSRRefD21_0_4x)+IFERROR(SUM(OSRRefE21_0_4x),0)</f>
        <v>18961.577692307699</v>
      </c>
    </row>
    <row r="50" spans="1:17" s="42" customFormat="1" ht="15" hidden="1" customHeight="1" outlineLevel="1" x14ac:dyDescent="0.3">
      <c r="A50" s="34"/>
      <c r="B50" s="11" t="str">
        <f>CONCATENATE("          ","6116"," - ","EDUCATIONAL BENEFITS")</f>
        <v xml:space="preserve">          6116 - EDUCATIONAL BENEFITS</v>
      </c>
      <c r="C50" s="15"/>
      <c r="D50" s="3"/>
      <c r="E50" s="3"/>
      <c r="F50" s="3"/>
      <c r="G50" s="3"/>
      <c r="H50" s="3"/>
      <c r="I50" s="3"/>
      <c r="J50" s="3"/>
      <c r="K50" s="3"/>
      <c r="L50" s="3"/>
      <c r="M50" s="3"/>
      <c r="N50" s="3">
        <v>0</v>
      </c>
      <c r="O50" s="3">
        <v>0</v>
      </c>
      <c r="P50" s="10"/>
      <c r="Q50" s="3">
        <f>SUM(OSRRefD21_0_5x)+IFERROR(SUM(OSRRefE21_0_5x),0)</f>
        <v>0</v>
      </c>
    </row>
    <row r="51" spans="1:17" s="42" customFormat="1" ht="15" hidden="1" customHeight="1" outlineLevel="1" x14ac:dyDescent="0.3">
      <c r="A51" s="34"/>
      <c r="B51" s="11" t="str">
        <f>CONCATENATE("          ","6118"," - ","VACATION")</f>
        <v xml:space="preserve">          6118 - VACATION</v>
      </c>
      <c r="C51" s="15"/>
      <c r="D51" s="3">
        <v>1659.06</v>
      </c>
      <c r="E51" s="3">
        <v>1659.06</v>
      </c>
      <c r="F51" s="3">
        <v>1685.29</v>
      </c>
      <c r="G51" s="3">
        <v>2567.2800000000002</v>
      </c>
      <c r="H51" s="3">
        <v>1780</v>
      </c>
      <c r="I51" s="3">
        <v>1780</v>
      </c>
      <c r="J51" s="3">
        <v>3374.6</v>
      </c>
      <c r="K51" s="3">
        <v>2084.77</v>
      </c>
      <c r="L51" s="3">
        <v>1656.97</v>
      </c>
      <c r="M51" s="3">
        <v>1942.47</v>
      </c>
      <c r="N51" s="3">
        <v>1233.7115384615399</v>
      </c>
      <c r="O51" s="3">
        <v>1233.7115384615399</v>
      </c>
      <c r="P51" s="10"/>
      <c r="Q51" s="3">
        <f>SUM(OSRRefD21_0_6x)+IFERROR(SUM(OSRRefE21_0_6x),0)</f>
        <v>22656.923076923085</v>
      </c>
    </row>
    <row r="52" spans="1:17" s="42" customFormat="1" ht="15" hidden="1" customHeight="1" outlineLevel="1" x14ac:dyDescent="0.3">
      <c r="A52" s="34"/>
      <c r="B52" s="11" t="str">
        <f>CONCATENATE("          ","6119"," - ","SICK LEAVE")</f>
        <v xml:space="preserve">          6119 - SICK LEAVE</v>
      </c>
      <c r="C52" s="15"/>
      <c r="D52" s="3">
        <v>1120.42</v>
      </c>
      <c r="E52" s="3">
        <v>1120.42</v>
      </c>
      <c r="F52" s="3">
        <v>1120.42</v>
      </c>
      <c r="G52" s="3">
        <v>1680.63</v>
      </c>
      <c r="H52" s="3">
        <v>1165.22</v>
      </c>
      <c r="I52" s="3">
        <v>1165.22</v>
      </c>
      <c r="J52" s="3">
        <v>5294.1</v>
      </c>
      <c r="K52" s="3">
        <v>1933.93</v>
      </c>
      <c r="L52" s="3">
        <v>1237.52</v>
      </c>
      <c r="M52" s="3">
        <v>1806.69</v>
      </c>
      <c r="N52" s="3">
        <v>3068.6438384615399</v>
      </c>
      <c r="O52" s="3">
        <v>3068.6438384615399</v>
      </c>
      <c r="P52" s="10"/>
      <c r="Q52" s="3">
        <f>SUM(OSRRefD21_0_7x)+IFERROR(SUM(OSRRefE21_0_7x),0)</f>
        <v>23781.857676923079</v>
      </c>
    </row>
    <row r="53" spans="1:17" s="42" customFormat="1" ht="15" hidden="1" customHeight="1" outlineLevel="1" x14ac:dyDescent="0.3">
      <c r="A53" s="34"/>
      <c r="B53" s="11" t="str">
        <f>CONCATENATE("          ","6156"," - ","EMPLOYEE MEALS")</f>
        <v xml:space="preserve">          6156 - EMPLOYEE MEALS</v>
      </c>
      <c r="C53" s="15"/>
      <c r="D53" s="3">
        <v>387.73</v>
      </c>
      <c r="E53" s="3">
        <v>689.18</v>
      </c>
      <c r="F53" s="3">
        <v>793.87</v>
      </c>
      <c r="G53" s="3">
        <v>1107.44</v>
      </c>
      <c r="H53" s="3">
        <v>799.89</v>
      </c>
      <c r="I53" s="3">
        <v>794.47</v>
      </c>
      <c r="J53" s="3">
        <v>821.7</v>
      </c>
      <c r="K53" s="3">
        <v>961.69</v>
      </c>
      <c r="L53" s="3">
        <v>1062.54</v>
      </c>
      <c r="M53" s="3">
        <v>795.97</v>
      </c>
      <c r="N53" s="3">
        <v>875</v>
      </c>
      <c r="O53" s="3">
        <v>875</v>
      </c>
      <c r="P53" s="10"/>
      <c r="Q53" s="3">
        <f>SUM(OSRRefD21_0_8x)+IFERROR(SUM(OSRRefE21_0_8x),0)</f>
        <v>9964.48</v>
      </c>
    </row>
    <row r="54" spans="1:17" s="42" customFormat="1" ht="15" customHeight="1" collapsed="1" x14ac:dyDescent="0.3">
      <c r="A54" s="34"/>
      <c r="B54" s="15" t="str">
        <f>CONCATENATE("     ","*Payroll                                          ")</f>
        <v xml:space="preserve">     *Payroll                                          </v>
      </c>
      <c r="C54" s="15"/>
      <c r="D54" s="2">
        <f>SUM(OSRRefD21_1x_0)</f>
        <v>59216.320000000007</v>
      </c>
      <c r="E54" s="2">
        <f>SUM(OSRRefD21_1x_1)</f>
        <v>66607.640000000014</v>
      </c>
      <c r="F54" s="2">
        <f>SUM(OSRRefD21_1x_2)</f>
        <v>59644.810000000005</v>
      </c>
      <c r="G54" s="2">
        <f>SUM(OSRRefD21_1x_3)</f>
        <v>70773.72</v>
      </c>
      <c r="H54" s="2">
        <f>SUM(OSRRefD21_1x_4)</f>
        <v>58412.47</v>
      </c>
      <c r="I54" s="2">
        <f>SUM(OSRRefD21_1x_5)</f>
        <v>64683.39</v>
      </c>
      <c r="J54" s="2">
        <f>SUM(OSRRefD21_1x_6)</f>
        <v>78558.989999999991</v>
      </c>
      <c r="K54" s="2">
        <f>SUM(OSRRefD21_1x_7)</f>
        <v>83206.429999999993</v>
      </c>
      <c r="L54" s="2">
        <f>SUM(OSRRefD21_1x_8)</f>
        <v>80599.600000000006</v>
      </c>
      <c r="M54" s="2">
        <f>SUM(OSRRefD21_1x_9)</f>
        <v>93064.69</v>
      </c>
      <c r="N54" s="2">
        <f>SUM(OSRRefE21_1x_0)</f>
        <v>73653.905692307701</v>
      </c>
      <c r="O54" s="2">
        <f>SUM(OSRRefE21_1x_1)</f>
        <v>73653.905692307701</v>
      </c>
      <c r="Q54" s="3">
        <f>SUM(OSRRefD20_1x)+IFERROR(SUM(OSRRefE20_1x),0)</f>
        <v>862075.87138461543</v>
      </c>
    </row>
    <row r="55" spans="1:17" s="42" customFormat="1" ht="15" hidden="1" customHeight="1" outlineLevel="1" x14ac:dyDescent="0.3">
      <c r="A55" s="34"/>
      <c r="B55" s="11" t="str">
        <f>CONCATENATE("          ","6001"," - ","ADMINISTRATIVE SALARIES")</f>
        <v xml:space="preserve">          6001 - ADMINISTRATIVE SALARIES</v>
      </c>
      <c r="C55" s="15"/>
      <c r="D55" s="3"/>
      <c r="E55" s="3"/>
      <c r="F55" s="3"/>
      <c r="G55" s="3"/>
      <c r="H55" s="3"/>
      <c r="I55" s="3"/>
      <c r="J55" s="3"/>
      <c r="K55" s="3"/>
      <c r="L55" s="3"/>
      <c r="M55" s="3"/>
      <c r="N55" s="3">
        <v>0</v>
      </c>
      <c r="O55" s="3">
        <v>0</v>
      </c>
      <c r="P55" s="10"/>
      <c r="Q55" s="3">
        <f>SUM(OSRRefD21_1_0x)+IFERROR(SUM(OSRRefE21_1_0x),0)</f>
        <v>0</v>
      </c>
    </row>
    <row r="56" spans="1:17" s="42" customFormat="1" ht="15" hidden="1" customHeight="1" outlineLevel="1" x14ac:dyDescent="0.3">
      <c r="A56" s="34"/>
      <c r="B56" s="11" t="str">
        <f>CONCATENATE("          ","6002"," - ","STAFF SALARIES")</f>
        <v xml:space="preserve">          6002 - STAFF SALARIES</v>
      </c>
      <c r="C56" s="15"/>
      <c r="D56" s="3">
        <v>17125.82</v>
      </c>
      <c r="E56" s="3">
        <v>17127.64</v>
      </c>
      <c r="F56" s="3">
        <v>17490.93</v>
      </c>
      <c r="G56" s="3">
        <v>16163.64</v>
      </c>
      <c r="H56" s="3">
        <v>15374.72</v>
      </c>
      <c r="I56" s="3">
        <v>16571.2</v>
      </c>
      <c r="J56" s="3">
        <v>18768.439999999999</v>
      </c>
      <c r="K56" s="3">
        <v>13696.08</v>
      </c>
      <c r="L56" s="3">
        <v>11334.67</v>
      </c>
      <c r="M56" s="3">
        <v>14236.38</v>
      </c>
      <c r="N56" s="3">
        <v>14790.807692307701</v>
      </c>
      <c r="O56" s="3">
        <v>14790.807692307701</v>
      </c>
      <c r="P56" s="10"/>
      <c r="Q56" s="3">
        <f>SUM(OSRRefD21_1_1x)+IFERROR(SUM(OSRRefE21_1_1x),0)</f>
        <v>187471.13538461542</v>
      </c>
    </row>
    <row r="57" spans="1:17" s="42" customFormat="1" ht="15" hidden="1" customHeight="1" outlineLevel="1" x14ac:dyDescent="0.3">
      <c r="A57" s="34"/>
      <c r="B57" s="11" t="str">
        <f>CONCATENATE("          ","6003"," - ","STAFF HOURLY-9 MONTH")</f>
        <v xml:space="preserve">          6003 - STAFF HOURLY-9 MONTH</v>
      </c>
      <c r="C57" s="15"/>
      <c r="D57" s="3"/>
      <c r="E57" s="3"/>
      <c r="F57" s="3"/>
      <c r="G57" s="3"/>
      <c r="H57" s="3"/>
      <c r="I57" s="3"/>
      <c r="J57" s="3"/>
      <c r="K57" s="3"/>
      <c r="L57" s="3"/>
      <c r="M57" s="3"/>
      <c r="N57" s="3">
        <v>0</v>
      </c>
      <c r="O57" s="3">
        <v>0</v>
      </c>
      <c r="P57" s="10"/>
      <c r="Q57" s="3">
        <f>SUM(OSRRefD21_1_2x)+IFERROR(SUM(OSRRefE21_1_2x),0)</f>
        <v>0</v>
      </c>
    </row>
    <row r="58" spans="1:17" s="42" customFormat="1" ht="15" hidden="1" customHeight="1" outlineLevel="1" x14ac:dyDescent="0.3">
      <c r="A58" s="34"/>
      <c r="B58" s="11" t="str">
        <f>CONCATENATE("          ","6004"," - ","STAFF HOURLY")</f>
        <v xml:space="preserve">          6004 - STAFF HOURLY</v>
      </c>
      <c r="C58" s="15"/>
      <c r="D58" s="3">
        <v>8345.83</v>
      </c>
      <c r="E58" s="3">
        <v>8099.25</v>
      </c>
      <c r="F58" s="3">
        <v>8783.39</v>
      </c>
      <c r="G58" s="3">
        <v>12445.29</v>
      </c>
      <c r="H58" s="3">
        <v>8117.76</v>
      </c>
      <c r="I58" s="3">
        <v>8496.66</v>
      </c>
      <c r="J58" s="3">
        <v>6306.96</v>
      </c>
      <c r="K58" s="3">
        <v>13957.01</v>
      </c>
      <c r="L58" s="3">
        <v>9796.66</v>
      </c>
      <c r="M58" s="3">
        <v>20817.57</v>
      </c>
      <c r="N58" s="3">
        <v>20297.088</v>
      </c>
      <c r="O58" s="3">
        <v>20297.088</v>
      </c>
      <c r="P58" s="10"/>
      <c r="Q58" s="3">
        <f>SUM(OSRRefD21_1_3x)+IFERROR(SUM(OSRRefE21_1_3x),0)</f>
        <v>145760.55600000001</v>
      </c>
    </row>
    <row r="59" spans="1:17" s="42" customFormat="1" ht="15" hidden="1" customHeight="1" outlineLevel="1" x14ac:dyDescent="0.3">
      <c r="A59" s="34"/>
      <c r="B59" s="11" t="str">
        <f>CONCATENATE("          ","6005"," - ","TEMPORARY WAGES-HOURLY")</f>
        <v xml:space="preserve">          6005 - TEMPORARY WAGES-HOURLY</v>
      </c>
      <c r="C59" s="15"/>
      <c r="D59" s="3">
        <v>3365.77</v>
      </c>
      <c r="E59" s="3">
        <v>3244.26</v>
      </c>
      <c r="F59" s="3">
        <v>3686.9</v>
      </c>
      <c r="G59" s="3">
        <v>4453.17</v>
      </c>
      <c r="H59" s="3">
        <v>3232.62</v>
      </c>
      <c r="I59" s="3">
        <v>2228.7399999999998</v>
      </c>
      <c r="J59" s="3">
        <v>4908.21</v>
      </c>
      <c r="K59" s="3">
        <v>4048.6</v>
      </c>
      <c r="L59" s="3">
        <v>3483.62</v>
      </c>
      <c r="M59" s="3">
        <v>3478.64</v>
      </c>
      <c r="N59" s="3">
        <v>0</v>
      </c>
      <c r="O59" s="3">
        <v>0</v>
      </c>
      <c r="P59" s="10"/>
      <c r="Q59" s="3">
        <f>SUM(OSRRefD21_1_4x)+IFERROR(SUM(OSRRefE21_1_4x),0)</f>
        <v>36130.53</v>
      </c>
    </row>
    <row r="60" spans="1:17" s="42" customFormat="1" ht="15" hidden="1" customHeight="1" outlineLevel="1" x14ac:dyDescent="0.3">
      <c r="A60" s="34"/>
      <c r="B60" s="11" t="str">
        <f>CONCATENATE("          ","6006"," - ","TEMPORARY PART TIME")</f>
        <v xml:space="preserve">          6006 - TEMPORARY PART TIME</v>
      </c>
      <c r="C60" s="15"/>
      <c r="D60" s="3"/>
      <c r="E60" s="3"/>
      <c r="F60" s="3"/>
      <c r="G60" s="3"/>
      <c r="H60" s="3"/>
      <c r="I60" s="3"/>
      <c r="J60" s="3"/>
      <c r="K60" s="3"/>
      <c r="L60" s="3"/>
      <c r="M60" s="3"/>
      <c r="N60" s="3">
        <v>0</v>
      </c>
      <c r="O60" s="3">
        <v>0</v>
      </c>
      <c r="P60" s="10"/>
      <c r="Q60" s="3">
        <f>SUM(OSRRefD21_1_5x)+IFERROR(SUM(OSRRefE21_1_5x),0)</f>
        <v>0</v>
      </c>
    </row>
    <row r="61" spans="1:17" s="42" customFormat="1" ht="15" hidden="1" customHeight="1" outlineLevel="1" x14ac:dyDescent="0.3">
      <c r="A61" s="34"/>
      <c r="B61" s="11" t="str">
        <f>CONCATENATE("          ","6007"," - ","STUDENT HOURLY")</f>
        <v xml:space="preserve">          6007 - STUDENT HOURLY</v>
      </c>
      <c r="C61" s="15"/>
      <c r="D61" s="3">
        <v>22560.71</v>
      </c>
      <c r="E61" s="3">
        <v>28817.95</v>
      </c>
      <c r="F61" s="3">
        <v>24317.52</v>
      </c>
      <c r="G61" s="3">
        <v>29869.35</v>
      </c>
      <c r="H61" s="3">
        <v>25086.18</v>
      </c>
      <c r="I61" s="3">
        <v>31618.42</v>
      </c>
      <c r="J61" s="3">
        <v>43939.74</v>
      </c>
      <c r="K61" s="3">
        <v>38177.019999999997</v>
      </c>
      <c r="L61" s="3">
        <v>46824.38</v>
      </c>
      <c r="M61" s="3">
        <v>38513.11</v>
      </c>
      <c r="N61" s="3">
        <v>29532</v>
      </c>
      <c r="O61" s="3">
        <v>9034.01</v>
      </c>
      <c r="P61" s="10"/>
      <c r="Q61" s="3">
        <f>SUM(OSRRefD21_1_6x)+IFERROR(SUM(OSRRefE21_1_6x),0)</f>
        <v>368290.38999999996</v>
      </c>
    </row>
    <row r="62" spans="1:17" s="42" customFormat="1" ht="15" hidden="1" customHeight="1" outlineLevel="1" x14ac:dyDescent="0.3">
      <c r="A62" s="34"/>
      <c r="B62" s="11" t="str">
        <f>CONCATENATE("          ","6008"," - ","STUDENT HOURLY-FICA EXEMPT")</f>
        <v xml:space="preserve">          6008 - STUDENT HOURLY-FICA EXEMPT</v>
      </c>
      <c r="C62" s="15"/>
      <c r="D62" s="3">
        <v>7818.19</v>
      </c>
      <c r="E62" s="3">
        <v>9318.5400000000009</v>
      </c>
      <c r="F62" s="3">
        <v>5366.07</v>
      </c>
      <c r="G62" s="3">
        <v>7842.27</v>
      </c>
      <c r="H62" s="3">
        <v>6601.19</v>
      </c>
      <c r="I62" s="3">
        <v>5768.37</v>
      </c>
      <c r="J62" s="3">
        <v>4635.6400000000003</v>
      </c>
      <c r="K62" s="3">
        <v>13327.72</v>
      </c>
      <c r="L62" s="3">
        <v>9160.27</v>
      </c>
      <c r="M62" s="3">
        <v>16018.99</v>
      </c>
      <c r="N62" s="3">
        <v>9034.01</v>
      </c>
      <c r="O62" s="3">
        <v>29532</v>
      </c>
      <c r="P62" s="10"/>
      <c r="Q62" s="3">
        <f>SUM(OSRRefD21_1_7x)+IFERROR(SUM(OSRRefE21_1_7x),0)</f>
        <v>124423.26000000001</v>
      </c>
    </row>
    <row r="63" spans="1:17" s="42" customFormat="1" ht="15" hidden="1" customHeight="1" outlineLevel="1" x14ac:dyDescent="0.3">
      <c r="A63" s="34"/>
      <c r="B63" s="11" t="str">
        <f>CONCATENATE("          ","6009"," - ","TEMPORARY-SEASONAL")</f>
        <v xml:space="preserve">          6009 - TEMPORARY-SEASONAL</v>
      </c>
      <c r="C63" s="15"/>
      <c r="D63" s="3"/>
      <c r="E63" s="3"/>
      <c r="F63" s="3"/>
      <c r="G63" s="3"/>
      <c r="H63" s="3"/>
      <c r="I63" s="3"/>
      <c r="J63" s="3"/>
      <c r="K63" s="3"/>
      <c r="L63" s="3"/>
      <c r="M63" s="3"/>
      <c r="N63" s="3">
        <v>0</v>
      </c>
      <c r="O63" s="3">
        <v>0</v>
      </c>
      <c r="P63" s="10"/>
      <c r="Q63" s="3">
        <f>SUM(OSRRefD21_1_8x)+IFERROR(SUM(OSRRefE21_1_8x),0)</f>
        <v>0</v>
      </c>
    </row>
    <row r="64" spans="1:17" s="42" customFormat="1" ht="15" hidden="1" customHeight="1" outlineLevel="1" x14ac:dyDescent="0.3">
      <c r="A64" s="34"/>
      <c r="B64" s="11" t="str">
        <f>CONCATENATE("          ","6010"," - ","GRATUITY")</f>
        <v xml:space="preserve">          6010 - GRATUITY</v>
      </c>
      <c r="C64" s="15"/>
      <c r="D64" s="3"/>
      <c r="E64" s="3"/>
      <c r="F64" s="3"/>
      <c r="G64" s="3"/>
      <c r="H64" s="3"/>
      <c r="I64" s="3"/>
      <c r="J64" s="3"/>
      <c r="K64" s="3"/>
      <c r="L64" s="3"/>
      <c r="M64" s="3"/>
      <c r="N64" s="3">
        <v>0</v>
      </c>
      <c r="O64" s="3">
        <v>0</v>
      </c>
      <c r="P64" s="10"/>
      <c r="Q64" s="3">
        <f>SUM(OSRRefD21_1_9x)+IFERROR(SUM(OSRRefE21_1_9x),0)</f>
        <v>0</v>
      </c>
    </row>
    <row r="65" spans="1:17" s="42" customFormat="1" ht="15" customHeight="1" collapsed="1" x14ac:dyDescent="0.3">
      <c r="A65" s="34"/>
      <c r="B65" s="15" t="str">
        <f>CONCATENATE("     ","Advertising/Promo                                 ")</f>
        <v xml:space="preserve">     Advertising/Promo                                 </v>
      </c>
      <c r="C65" s="15"/>
      <c r="D65" s="2">
        <f>SUM(OSRRefD21_2x_0)</f>
        <v>493.63</v>
      </c>
      <c r="E65" s="2">
        <f>SUM(OSRRefD21_2x_1)</f>
        <v>1298.4000000000001</v>
      </c>
      <c r="F65" s="2">
        <f>SUM(OSRRefD21_2x_2)</f>
        <v>127.9</v>
      </c>
      <c r="G65" s="2">
        <f>SUM(OSRRefD21_2x_3)</f>
        <v>739.25</v>
      </c>
      <c r="H65" s="2">
        <f>SUM(OSRRefD21_2x_4)</f>
        <v>1682.05</v>
      </c>
      <c r="I65" s="2">
        <f>SUM(OSRRefD21_2x_5)</f>
        <v>158.76</v>
      </c>
      <c r="J65" s="2">
        <f>SUM(OSRRefD21_2x_6)</f>
        <v>1204.52</v>
      </c>
      <c r="K65" s="2">
        <f>SUM(OSRRefD21_2x_7)</f>
        <v>316.10000000000002</v>
      </c>
      <c r="L65" s="2">
        <f>SUM(OSRRefD21_2x_8)</f>
        <v>2355.75</v>
      </c>
      <c r="M65" s="2">
        <f>SUM(OSRRefD21_2x_9)</f>
        <v>2512.85</v>
      </c>
      <c r="N65" s="2">
        <f>SUM(OSRRefE21_2x_0)</f>
        <v>150</v>
      </c>
      <c r="O65" s="2">
        <f>SUM(OSRRefE21_2x_1)</f>
        <v>150</v>
      </c>
      <c r="Q65" s="3">
        <f>SUM(OSRRefD20_2x)+IFERROR(SUM(OSRRefE20_2x),0)</f>
        <v>11189.210000000001</v>
      </c>
    </row>
    <row r="66" spans="1:17" s="42" customFormat="1" ht="15" hidden="1" customHeight="1" outlineLevel="1" x14ac:dyDescent="0.3">
      <c r="A66" s="34"/>
      <c r="B66" s="11" t="str">
        <f>CONCATENATE("          ","6362"," - ","ADVERTISING EXPENSE")</f>
        <v xml:space="preserve">          6362 - ADVERTISING EXPENSE</v>
      </c>
      <c r="C66" s="15"/>
      <c r="D66" s="3">
        <v>493.63</v>
      </c>
      <c r="E66" s="3">
        <v>1298.4000000000001</v>
      </c>
      <c r="F66" s="3">
        <v>127.9</v>
      </c>
      <c r="G66" s="3">
        <v>739.25</v>
      </c>
      <c r="H66" s="3">
        <v>1682.05</v>
      </c>
      <c r="I66" s="3">
        <v>158.76</v>
      </c>
      <c r="J66" s="3">
        <v>1204.52</v>
      </c>
      <c r="K66" s="3">
        <v>316.10000000000002</v>
      </c>
      <c r="L66" s="3">
        <v>2355.75</v>
      </c>
      <c r="M66" s="3">
        <v>2512.85</v>
      </c>
      <c r="N66" s="3">
        <v>150</v>
      </c>
      <c r="O66" s="3">
        <v>150</v>
      </c>
      <c r="P66" s="10"/>
      <c r="Q66" s="3">
        <f>SUM(OSRRefD21_2_0x)+IFERROR(SUM(OSRRefE21_2_0x),0)</f>
        <v>11189.210000000001</v>
      </c>
    </row>
    <row r="67" spans="1:17" s="42" customFormat="1" ht="15" customHeight="1" collapsed="1" x14ac:dyDescent="0.3">
      <c r="A67" s="34"/>
      <c r="B67" s="15" t="str">
        <f>CONCATENATE("     ","Bad Debts/Over/Short                              ")</f>
        <v xml:space="preserve">     Bad Debts/Over/Short                              </v>
      </c>
      <c r="C67" s="15"/>
      <c r="D67" s="2">
        <f>SUM(OSRRefD21_3x_0)</f>
        <v>0.6</v>
      </c>
      <c r="E67" s="2">
        <f>SUM(OSRRefD21_3x_1)</f>
        <v>-1.59</v>
      </c>
      <c r="F67" s="2">
        <f>SUM(OSRRefD21_3x_2)</f>
        <v>-0.64</v>
      </c>
      <c r="G67" s="2">
        <f>SUM(OSRRefD21_3x_3)</f>
        <v>-9.6199999999999992</v>
      </c>
      <c r="H67" s="2">
        <f>SUM(OSRRefD21_3x_4)</f>
        <v>-1.24</v>
      </c>
      <c r="I67" s="2">
        <f>SUM(OSRRefD21_3x_5)</f>
        <v>-0.99</v>
      </c>
      <c r="J67" s="2">
        <f>SUM(OSRRefD21_3x_6)</f>
        <v>-8.1999999999999993</v>
      </c>
      <c r="K67" s="2">
        <f>SUM(OSRRefD21_3x_7)</f>
        <v>-20.39</v>
      </c>
      <c r="L67" s="2">
        <f>SUM(OSRRefD21_3x_8)</f>
        <v>-15.72</v>
      </c>
      <c r="M67" s="2">
        <f>SUM(OSRRefD21_3x_9)</f>
        <v>0.87</v>
      </c>
      <c r="N67" s="2">
        <f>SUM(OSRRefE21_3x_0)</f>
        <v>35</v>
      </c>
      <c r="O67" s="2">
        <f>SUM(OSRRefE21_3x_1)</f>
        <v>35</v>
      </c>
      <c r="Q67" s="3">
        <f>SUM(OSRRefD20_3x)+IFERROR(SUM(OSRRefE20_3x),0)</f>
        <v>13.079999999999998</v>
      </c>
    </row>
    <row r="68" spans="1:17" s="42" customFormat="1" ht="15" hidden="1" customHeight="1" outlineLevel="1" x14ac:dyDescent="0.3">
      <c r="A68" s="34"/>
      <c r="B68" s="11" t="str">
        <f>CONCATENATE("          ","6272"," - ","CASH (OVER/SHORT)")</f>
        <v xml:space="preserve">          6272 - CASH (OVER/SHORT)</v>
      </c>
      <c r="C68" s="15"/>
      <c r="D68" s="3">
        <v>0.6</v>
      </c>
      <c r="E68" s="3">
        <v>-1.59</v>
      </c>
      <c r="F68" s="3">
        <v>-0.64</v>
      </c>
      <c r="G68" s="3">
        <v>-9.6199999999999992</v>
      </c>
      <c r="H68" s="3">
        <v>-1.24</v>
      </c>
      <c r="I68" s="3">
        <v>-0.99</v>
      </c>
      <c r="J68" s="3">
        <v>-8.1999999999999993</v>
      </c>
      <c r="K68" s="3">
        <v>-20.39</v>
      </c>
      <c r="L68" s="3">
        <v>-15.72</v>
      </c>
      <c r="M68" s="3">
        <v>0.87</v>
      </c>
      <c r="N68" s="3">
        <v>35</v>
      </c>
      <c r="O68" s="3">
        <v>35</v>
      </c>
      <c r="P68" s="10"/>
      <c r="Q68" s="3">
        <f>SUM(OSRRefD21_3_0x)+IFERROR(SUM(OSRRefE21_3_0x),0)</f>
        <v>13.079999999999998</v>
      </c>
    </row>
    <row r="69" spans="1:17" s="42" customFormat="1" ht="15" customHeight="1" collapsed="1" x14ac:dyDescent="0.3">
      <c r="A69" s="34"/>
      <c r="B69" s="15" t="str">
        <f>CONCATENATE("     ","Bank/card Fees                                    ")</f>
        <v xml:space="preserve">     Bank/card Fees                                    </v>
      </c>
      <c r="C69" s="15"/>
      <c r="D69" s="2">
        <f>SUM(OSRRefD21_4x_0)</f>
        <v>492.32</v>
      </c>
      <c r="E69" s="2">
        <f>SUM(OSRRefD21_4x_1)</f>
        <v>614.21</v>
      </c>
      <c r="F69" s="2">
        <f>SUM(OSRRefD21_4x_2)</f>
        <v>395.45</v>
      </c>
      <c r="G69" s="2">
        <f>SUM(OSRRefD21_4x_3)</f>
        <v>419.96</v>
      </c>
      <c r="H69" s="2">
        <f>SUM(OSRRefD21_4x_4)</f>
        <v>552.5</v>
      </c>
      <c r="I69" s="2">
        <f>SUM(OSRRefD21_4x_5)</f>
        <v>1000.14</v>
      </c>
      <c r="J69" s="2">
        <f>SUM(OSRRefD21_4x_6)</f>
        <v>339.5</v>
      </c>
      <c r="K69" s="2">
        <f>SUM(OSRRefD21_4x_7)</f>
        <v>452.13</v>
      </c>
      <c r="L69" s="2">
        <f>SUM(OSRRefD21_4x_8)</f>
        <v>508.74</v>
      </c>
      <c r="M69" s="2">
        <f>SUM(OSRRefD21_4x_9)</f>
        <v>570.77</v>
      </c>
      <c r="N69" s="2">
        <f>SUM(OSRRefE21_4x_0)</f>
        <v>1471</v>
      </c>
      <c r="O69" s="2">
        <f>SUM(OSRRefE21_4x_1)</f>
        <v>1144</v>
      </c>
      <c r="Q69" s="3">
        <f>SUM(OSRRefD20_4x)+IFERROR(SUM(OSRRefE20_4x),0)</f>
        <v>7960.7199999999993</v>
      </c>
    </row>
    <row r="70" spans="1:17" s="42" customFormat="1" ht="15" hidden="1" customHeight="1" outlineLevel="1" x14ac:dyDescent="0.3">
      <c r="A70" s="34"/>
      <c r="B70" s="11" t="str">
        <f>CONCATENATE("          ","6381"," - ","BANK/CREDIT CARD FEES")</f>
        <v xml:space="preserve">          6381 - BANK/CREDIT CARD FEES</v>
      </c>
      <c r="C70" s="15"/>
      <c r="D70" s="3">
        <v>492.32</v>
      </c>
      <c r="E70" s="3">
        <v>614.21</v>
      </c>
      <c r="F70" s="3">
        <v>395.45</v>
      </c>
      <c r="G70" s="3">
        <v>419.96</v>
      </c>
      <c r="H70" s="3">
        <v>552.5</v>
      </c>
      <c r="I70" s="3">
        <v>1000.14</v>
      </c>
      <c r="J70" s="3">
        <v>339.5</v>
      </c>
      <c r="K70" s="3">
        <v>452.13</v>
      </c>
      <c r="L70" s="3">
        <v>508.74</v>
      </c>
      <c r="M70" s="3">
        <v>570.77</v>
      </c>
      <c r="N70" s="3">
        <v>1471</v>
      </c>
      <c r="O70" s="3">
        <v>1144</v>
      </c>
      <c r="P70" s="10"/>
      <c r="Q70" s="3">
        <f>SUM(OSRRefD21_4_0x)+IFERROR(SUM(OSRRefE21_4_0x),0)</f>
        <v>7960.7199999999993</v>
      </c>
    </row>
    <row r="71" spans="1:17" s="42" customFormat="1" ht="15" customHeight="1" collapsed="1" x14ac:dyDescent="0.3">
      <c r="A71" s="34"/>
      <c r="B71" s="15" t="str">
        <f>CONCATENATE("     ","Discounts and Markdowns                           ")</f>
        <v xml:space="preserve">     Discounts and Markdowns                           </v>
      </c>
      <c r="C71" s="15"/>
      <c r="D71" s="2">
        <f>SUM(OSRRefD21_5x_0)</f>
        <v>0</v>
      </c>
      <c r="E71" s="2">
        <f>SUM(OSRRefD21_5x_1)</f>
        <v>-135.49</v>
      </c>
      <c r="F71" s="2">
        <f>SUM(OSRRefD21_5x_2)</f>
        <v>135.49</v>
      </c>
      <c r="G71" s="2">
        <f>SUM(OSRRefD21_5x_3)</f>
        <v>-43.54</v>
      </c>
      <c r="H71" s="2">
        <f>SUM(OSRRefD21_5x_4)</f>
        <v>2.19</v>
      </c>
      <c r="I71" s="2">
        <f>SUM(OSRRefD21_5x_5)</f>
        <v>12.46</v>
      </c>
      <c r="J71" s="2">
        <f>SUM(OSRRefD21_5x_6)</f>
        <v>27.91</v>
      </c>
      <c r="K71" s="2">
        <f>SUM(OSRRefD21_5x_7)</f>
        <v>0.98</v>
      </c>
      <c r="L71" s="2">
        <f>SUM(OSRRefD21_5x_8)</f>
        <v>-0.67</v>
      </c>
      <c r="M71" s="2">
        <f>SUM(OSRRefD21_5x_9)</f>
        <v>-20.86</v>
      </c>
      <c r="N71" s="2">
        <f>SUM(OSRRefE21_5x_0)</f>
        <v>0</v>
      </c>
      <c r="O71" s="2">
        <f>SUM(OSRRefE21_5x_1)</f>
        <v>0</v>
      </c>
      <c r="Q71" s="3">
        <f>SUM(OSRRefD20_5x)+IFERROR(SUM(OSRRefE20_5x),0)</f>
        <v>-21.53</v>
      </c>
    </row>
    <row r="72" spans="1:17" s="42" customFormat="1" ht="15" hidden="1" customHeight="1" outlineLevel="1" x14ac:dyDescent="0.3">
      <c r="A72" s="34"/>
      <c r="B72" s="11" t="str">
        <f>CONCATENATE("          ","9175"," - ","EARNED DISCOUNTS")</f>
        <v xml:space="preserve">          9175 - EARNED DISCOUNTS</v>
      </c>
      <c r="C72" s="15"/>
      <c r="D72" s="3"/>
      <c r="E72" s="3">
        <v>-135.49</v>
      </c>
      <c r="F72" s="3">
        <v>135.49</v>
      </c>
      <c r="G72" s="3">
        <v>-43.54</v>
      </c>
      <c r="H72" s="3">
        <v>2.19</v>
      </c>
      <c r="I72" s="3">
        <v>12.46</v>
      </c>
      <c r="J72" s="3">
        <v>27.91</v>
      </c>
      <c r="K72" s="3">
        <v>0.98</v>
      </c>
      <c r="L72" s="3">
        <v>-0.67</v>
      </c>
      <c r="M72" s="3">
        <v>-20.86</v>
      </c>
      <c r="N72" s="3"/>
      <c r="O72" s="3"/>
      <c r="P72" s="10"/>
      <c r="Q72" s="3">
        <f>SUM(OSRRefD21_5_0x)+IFERROR(SUM(OSRRefE21_5_0x),0)</f>
        <v>-21.53</v>
      </c>
    </row>
    <row r="73" spans="1:17" s="42" customFormat="1" ht="15" customHeight="1" collapsed="1" x14ac:dyDescent="0.3">
      <c r="A73" s="34"/>
      <c r="B73" s="15" t="str">
        <f>CONCATENATE("     ","Employees' Appreciation                           ")</f>
        <v xml:space="preserve">     Employees' Appreciation                           </v>
      </c>
      <c r="C73" s="15"/>
      <c r="D73" s="2">
        <f>SUM(OSRRefD21_6x_0)</f>
        <v>216.44</v>
      </c>
      <c r="E73" s="2">
        <f>SUM(OSRRefD21_6x_1)</f>
        <v>0</v>
      </c>
      <c r="F73" s="2">
        <f>SUM(OSRRefD21_6x_2)</f>
        <v>0</v>
      </c>
      <c r="G73" s="2">
        <f>SUM(OSRRefD21_6x_3)</f>
        <v>0</v>
      </c>
      <c r="H73" s="2">
        <f>SUM(OSRRefD21_6x_4)</f>
        <v>0</v>
      </c>
      <c r="I73" s="2">
        <f>SUM(OSRRefD21_6x_5)</f>
        <v>0</v>
      </c>
      <c r="J73" s="2">
        <f>SUM(OSRRefD21_6x_6)</f>
        <v>0</v>
      </c>
      <c r="K73" s="2">
        <f>SUM(OSRRefD21_6x_7)</f>
        <v>0</v>
      </c>
      <c r="L73" s="2">
        <f>SUM(OSRRefD21_6x_8)</f>
        <v>74.69</v>
      </c>
      <c r="M73" s="2">
        <f>SUM(OSRRefD21_6x_9)</f>
        <v>0</v>
      </c>
      <c r="N73" s="2">
        <f>SUM(OSRRefE21_6x_0)</f>
        <v>75</v>
      </c>
      <c r="O73" s="2">
        <f>SUM(OSRRefE21_6x_1)</f>
        <v>75</v>
      </c>
      <c r="Q73" s="3">
        <f>SUM(OSRRefD20_6x)+IFERROR(SUM(OSRRefE20_6x),0)</f>
        <v>441.13</v>
      </c>
    </row>
    <row r="74" spans="1:17" s="42" customFormat="1" ht="15" hidden="1" customHeight="1" outlineLevel="1" x14ac:dyDescent="0.3">
      <c r="A74" s="34"/>
      <c r="B74" s="11" t="str">
        <f>CONCATENATE("          ","6277"," - ","EMPLOYEE APPRECIATION")</f>
        <v xml:space="preserve">          6277 - EMPLOYEE APPRECIATION</v>
      </c>
      <c r="C74" s="15"/>
      <c r="D74" s="3">
        <v>216.44</v>
      </c>
      <c r="E74" s="3"/>
      <c r="F74" s="3"/>
      <c r="G74" s="3"/>
      <c r="H74" s="3"/>
      <c r="I74" s="3"/>
      <c r="J74" s="3"/>
      <c r="K74" s="3"/>
      <c r="L74" s="3">
        <v>74.69</v>
      </c>
      <c r="M74" s="3"/>
      <c r="N74" s="3">
        <v>75</v>
      </c>
      <c r="O74" s="3">
        <v>75</v>
      </c>
      <c r="P74" s="10"/>
      <c r="Q74" s="3">
        <f>SUM(OSRRefD21_6_0x)+IFERROR(SUM(OSRRefE21_6_0x),0)</f>
        <v>441.13</v>
      </c>
    </row>
    <row r="75" spans="1:17" s="42" customFormat="1" ht="15" customHeight="1" collapsed="1" x14ac:dyDescent="0.3">
      <c r="A75" s="34"/>
      <c r="B75" s="15" t="str">
        <f>CONCATENATE("     ","Equipment Rental                                  ")</f>
        <v xml:space="preserve">     Equipment Rental                                  </v>
      </c>
      <c r="C75" s="15"/>
      <c r="D75" s="2">
        <f>SUM(OSRRefD21_7x_0)</f>
        <v>0</v>
      </c>
      <c r="E75" s="2">
        <f>SUM(OSRRefD21_7x_1)</f>
        <v>0</v>
      </c>
      <c r="F75" s="2">
        <f>SUM(OSRRefD21_7x_2)</f>
        <v>0</v>
      </c>
      <c r="G75" s="2">
        <f>SUM(OSRRefD21_7x_3)</f>
        <v>0</v>
      </c>
      <c r="H75" s="2">
        <f>SUM(OSRRefD21_7x_4)</f>
        <v>0</v>
      </c>
      <c r="I75" s="2">
        <f>SUM(OSRRefD21_7x_5)</f>
        <v>118.91</v>
      </c>
      <c r="J75" s="2">
        <f>SUM(OSRRefD21_7x_6)</f>
        <v>0</v>
      </c>
      <c r="K75" s="2">
        <f>SUM(OSRRefD21_7x_7)</f>
        <v>0</v>
      </c>
      <c r="L75" s="2">
        <f>SUM(OSRRefD21_7x_8)</f>
        <v>0</v>
      </c>
      <c r="M75" s="2">
        <f>SUM(OSRRefD21_7x_9)</f>
        <v>0</v>
      </c>
      <c r="N75" s="2">
        <f>SUM(OSRRefE21_7x_0)</f>
        <v>0</v>
      </c>
      <c r="O75" s="2">
        <f>SUM(OSRRefE21_7x_1)</f>
        <v>0</v>
      </c>
      <c r="Q75" s="3">
        <f>SUM(OSRRefD20_7x)+IFERROR(SUM(OSRRefE20_7x),0)</f>
        <v>118.91</v>
      </c>
    </row>
    <row r="76" spans="1:17" s="42" customFormat="1" ht="15" hidden="1" customHeight="1" outlineLevel="1" x14ac:dyDescent="0.3">
      <c r="A76" s="34"/>
      <c r="B76" s="11" t="str">
        <f>CONCATENATE("          ","6351"," - ","EQUIPMENT RENTAL")</f>
        <v xml:space="preserve">          6351 - EQUIPMENT RENTAL</v>
      </c>
      <c r="C76" s="15"/>
      <c r="D76" s="3"/>
      <c r="E76" s="3"/>
      <c r="F76" s="3"/>
      <c r="G76" s="3"/>
      <c r="H76" s="3"/>
      <c r="I76" s="3">
        <v>118.91</v>
      </c>
      <c r="J76" s="3"/>
      <c r="K76" s="3"/>
      <c r="L76" s="3"/>
      <c r="M76" s="3"/>
      <c r="N76" s="3"/>
      <c r="O76" s="3"/>
      <c r="P76" s="10"/>
      <c r="Q76" s="3">
        <f>SUM(OSRRefD21_7_0x)+IFERROR(SUM(OSRRefE21_7_0x),0)</f>
        <v>118.91</v>
      </c>
    </row>
    <row r="77" spans="1:17" s="42" customFormat="1" ht="15" customHeight="1" collapsed="1" x14ac:dyDescent="0.3">
      <c r="A77" s="34"/>
      <c r="B77" s="15" t="str">
        <f>CONCATENATE("     ","Freight out/Postage                               ")</f>
        <v xml:space="preserve">     Freight out/Postage                               </v>
      </c>
      <c r="C77" s="15"/>
      <c r="D77" s="2">
        <f>SUM(OSRRefD21_8x_0)</f>
        <v>857.13</v>
      </c>
      <c r="E77" s="2">
        <f>SUM(OSRRefD21_8x_1)</f>
        <v>36.159999999999997</v>
      </c>
      <c r="F77" s="2">
        <f>SUM(OSRRefD21_8x_2)</f>
        <v>67.16</v>
      </c>
      <c r="G77" s="2">
        <f>SUM(OSRRefD21_8x_3)</f>
        <v>19.82</v>
      </c>
      <c r="H77" s="2">
        <f>SUM(OSRRefD21_8x_4)</f>
        <v>3.52</v>
      </c>
      <c r="I77" s="2">
        <f>SUM(OSRRefD21_8x_5)</f>
        <v>0</v>
      </c>
      <c r="J77" s="2">
        <f>SUM(OSRRefD21_8x_6)</f>
        <v>0</v>
      </c>
      <c r="K77" s="2">
        <f>SUM(OSRRefD21_8x_7)</f>
        <v>0</v>
      </c>
      <c r="L77" s="2">
        <f>SUM(OSRRefD21_8x_8)</f>
        <v>0</v>
      </c>
      <c r="M77" s="2">
        <f>SUM(OSRRefD21_8x_9)</f>
        <v>0</v>
      </c>
      <c r="N77" s="2">
        <f>SUM(OSRRefE21_8x_0)</f>
        <v>50</v>
      </c>
      <c r="O77" s="2">
        <f>SUM(OSRRefE21_8x_1)</f>
        <v>50</v>
      </c>
      <c r="Q77" s="3">
        <f>SUM(OSRRefD20_8x)+IFERROR(SUM(OSRRefE20_8x),0)</f>
        <v>1083.79</v>
      </c>
    </row>
    <row r="78" spans="1:17" s="42" customFormat="1" ht="15" hidden="1" customHeight="1" outlineLevel="1" x14ac:dyDescent="0.3">
      <c r="A78" s="34"/>
      <c r="B78" s="11" t="str">
        <f>CONCATENATE("          ","6305"," - ","FREIGHT OUT")</f>
        <v xml:space="preserve">          6305 - FREIGHT OUT</v>
      </c>
      <c r="C78" s="15"/>
      <c r="D78" s="3">
        <v>845.71</v>
      </c>
      <c r="E78" s="3">
        <v>16.16</v>
      </c>
      <c r="F78" s="3">
        <v>8.66</v>
      </c>
      <c r="G78" s="3">
        <v>19.82</v>
      </c>
      <c r="H78" s="3">
        <v>3.52</v>
      </c>
      <c r="I78" s="3"/>
      <c r="J78" s="3"/>
      <c r="K78" s="3"/>
      <c r="L78" s="3"/>
      <c r="M78" s="3"/>
      <c r="N78" s="3">
        <v>50</v>
      </c>
      <c r="O78" s="3">
        <v>50</v>
      </c>
      <c r="P78" s="10"/>
      <c r="Q78" s="3">
        <f>SUM(OSRRefD21_8_0x)+IFERROR(SUM(OSRRefE21_8_0x),0)</f>
        <v>993.87</v>
      </c>
    </row>
    <row r="79" spans="1:17" s="42" customFormat="1" ht="15" hidden="1" customHeight="1" outlineLevel="1" x14ac:dyDescent="0.3">
      <c r="A79" s="34"/>
      <c r="B79" s="11" t="str">
        <f>CONCATENATE("          ","6307"," - ","POSTAGE")</f>
        <v xml:space="preserve">          6307 - POSTAGE</v>
      </c>
      <c r="C79" s="15"/>
      <c r="D79" s="3">
        <v>11.42</v>
      </c>
      <c r="E79" s="3">
        <v>20</v>
      </c>
      <c r="F79" s="3">
        <v>58.5</v>
      </c>
      <c r="G79" s="3"/>
      <c r="H79" s="3"/>
      <c r="I79" s="3"/>
      <c r="J79" s="3"/>
      <c r="K79" s="3"/>
      <c r="L79" s="3"/>
      <c r="M79" s="3"/>
      <c r="N79" s="3"/>
      <c r="O79" s="3"/>
      <c r="P79" s="10"/>
      <c r="Q79" s="3">
        <f>SUM(OSRRefD21_8_1x)+IFERROR(SUM(OSRRefE21_8_1x),0)</f>
        <v>89.92</v>
      </c>
    </row>
    <row r="80" spans="1:17" s="42" customFormat="1" ht="15" customHeight="1" collapsed="1" x14ac:dyDescent="0.3">
      <c r="A80" s="34"/>
      <c r="B80" s="15" t="str">
        <f>CONCATENATE("     ","General                                           ")</f>
        <v xml:space="preserve">     General                                           </v>
      </c>
      <c r="C80" s="15"/>
      <c r="D80" s="2">
        <f>SUM(OSRRefD21_9x_0)</f>
        <v>0</v>
      </c>
      <c r="E80" s="2">
        <f>SUM(OSRRefD21_9x_1)</f>
        <v>228.04</v>
      </c>
      <c r="F80" s="2">
        <f>SUM(OSRRefD21_9x_2)</f>
        <v>0</v>
      </c>
      <c r="G80" s="2">
        <f>SUM(OSRRefD21_9x_3)</f>
        <v>0</v>
      </c>
      <c r="H80" s="2">
        <f>SUM(OSRRefD21_9x_4)</f>
        <v>1135.0899999999999</v>
      </c>
      <c r="I80" s="2">
        <f>SUM(OSRRefD21_9x_5)</f>
        <v>320</v>
      </c>
      <c r="J80" s="2">
        <f>SUM(OSRRefD21_9x_6)</f>
        <v>0</v>
      </c>
      <c r="K80" s="2">
        <f>SUM(OSRRefD21_9x_7)</f>
        <v>1157.1099999999999</v>
      </c>
      <c r="L80" s="2">
        <f>SUM(OSRRefD21_9x_8)</f>
        <v>119.1</v>
      </c>
      <c r="M80" s="2">
        <f>SUM(OSRRefD21_9x_9)</f>
        <v>565.61</v>
      </c>
      <c r="N80" s="2">
        <f>SUM(OSRRefE21_9x_0)</f>
        <v>0</v>
      </c>
      <c r="O80" s="2">
        <f>SUM(OSRRefE21_9x_1)</f>
        <v>1000</v>
      </c>
      <c r="Q80" s="3">
        <f>SUM(OSRRefD20_9x)+IFERROR(SUM(OSRRefE20_9x),0)</f>
        <v>4524.95</v>
      </c>
    </row>
    <row r="81" spans="1:17" s="42" customFormat="1" ht="15" hidden="1" customHeight="1" outlineLevel="1" x14ac:dyDescent="0.3">
      <c r="A81" s="34"/>
      <c r="B81" s="11" t="str">
        <f>CONCATENATE("          ","6279"," - ","GENERAL EXPENSE")</f>
        <v xml:space="preserve">          6279 - GENERAL EXPENSE</v>
      </c>
      <c r="C81" s="15"/>
      <c r="D81" s="3"/>
      <c r="E81" s="3">
        <v>228.04</v>
      </c>
      <c r="F81" s="3"/>
      <c r="G81" s="3"/>
      <c r="H81" s="3">
        <v>1135.0899999999999</v>
      </c>
      <c r="I81" s="3">
        <v>320</v>
      </c>
      <c r="J81" s="3"/>
      <c r="K81" s="3">
        <v>1157.1099999999999</v>
      </c>
      <c r="L81" s="3">
        <v>119.1</v>
      </c>
      <c r="M81" s="3">
        <v>565.61</v>
      </c>
      <c r="N81" s="3">
        <v>0</v>
      </c>
      <c r="O81" s="3">
        <v>1000</v>
      </c>
      <c r="P81" s="10"/>
      <c r="Q81" s="3">
        <f>SUM(OSRRefD21_9_0x)+IFERROR(SUM(OSRRefE21_9_0x),0)</f>
        <v>4524.95</v>
      </c>
    </row>
    <row r="82" spans="1:17" s="42" customFormat="1" ht="15" customHeight="1" collapsed="1" x14ac:dyDescent="0.3">
      <c r="A82" s="34"/>
      <c r="B82" s="15" t="str">
        <f>CONCATENATE("     ","Insurance                                         ")</f>
        <v xml:space="preserve">     Insurance                                         </v>
      </c>
      <c r="C82" s="15"/>
      <c r="D82" s="2">
        <f>SUM(OSRRefD21_10x_0)</f>
        <v>219.08</v>
      </c>
      <c r="E82" s="2">
        <f>SUM(OSRRefD21_10x_1)</f>
        <v>219.08</v>
      </c>
      <c r="F82" s="2">
        <f>SUM(OSRRefD21_10x_2)</f>
        <v>219.08</v>
      </c>
      <c r="G82" s="2">
        <f>SUM(OSRRefD21_10x_3)</f>
        <v>219.08</v>
      </c>
      <c r="H82" s="2">
        <f>SUM(OSRRefD21_10x_4)</f>
        <v>219.08</v>
      </c>
      <c r="I82" s="2">
        <f>SUM(OSRRefD21_10x_5)</f>
        <v>219.08</v>
      </c>
      <c r="J82" s="2">
        <f>SUM(OSRRefD21_10x_6)</f>
        <v>219.08</v>
      </c>
      <c r="K82" s="2">
        <f>SUM(OSRRefD21_10x_7)</f>
        <v>219.08</v>
      </c>
      <c r="L82" s="2">
        <f>SUM(OSRRefD21_10x_8)</f>
        <v>219.08</v>
      </c>
      <c r="M82" s="2">
        <f>SUM(OSRRefD21_10x_9)</f>
        <v>219.08</v>
      </c>
      <c r="N82" s="2">
        <f>SUM(OSRRefE21_10x_0)</f>
        <v>175</v>
      </c>
      <c r="O82" s="2">
        <f>SUM(OSRRefE21_10x_1)</f>
        <v>175</v>
      </c>
      <c r="Q82" s="3">
        <f>SUM(OSRRefD20_10x)+IFERROR(SUM(OSRRefE20_10x),0)</f>
        <v>2540.7999999999997</v>
      </c>
    </row>
    <row r="83" spans="1:17" s="42" customFormat="1" ht="15" hidden="1" customHeight="1" outlineLevel="1" x14ac:dyDescent="0.3">
      <c r="A83" s="34"/>
      <c r="B83" s="11" t="str">
        <f>CONCATENATE("          ","6314"," - ","LIABILITY INSURANCE")</f>
        <v xml:space="preserve">          6314 - LIABILITY INSURANCE</v>
      </c>
      <c r="C83" s="15"/>
      <c r="D83" s="3">
        <v>219.08</v>
      </c>
      <c r="E83" s="3">
        <v>219.08</v>
      </c>
      <c r="F83" s="3">
        <v>219.08</v>
      </c>
      <c r="G83" s="3">
        <v>219.08</v>
      </c>
      <c r="H83" s="3">
        <v>219.08</v>
      </c>
      <c r="I83" s="3">
        <v>219.08</v>
      </c>
      <c r="J83" s="3">
        <v>219.08</v>
      </c>
      <c r="K83" s="3">
        <v>219.08</v>
      </c>
      <c r="L83" s="3">
        <v>219.08</v>
      </c>
      <c r="M83" s="3">
        <v>219.08</v>
      </c>
      <c r="N83" s="3">
        <v>175</v>
      </c>
      <c r="O83" s="3">
        <v>175</v>
      </c>
      <c r="P83" s="10"/>
      <c r="Q83" s="3">
        <f>SUM(OSRRefD21_10_0x)+IFERROR(SUM(OSRRefE21_10_0x),0)</f>
        <v>2540.7999999999997</v>
      </c>
    </row>
    <row r="84" spans="1:17" s="42" customFormat="1" ht="15" customHeight="1" collapsed="1" x14ac:dyDescent="0.3">
      <c r="A84" s="34"/>
      <c r="B84" s="15" t="str">
        <f>CONCATENATE("     ","Inventory Adjustment                              ")</f>
        <v xml:space="preserve">     Inventory Adjustment                              </v>
      </c>
      <c r="C84" s="15"/>
      <c r="D84" s="2">
        <f>SUM(OSRRefD21_11x_0)</f>
        <v>4100</v>
      </c>
      <c r="E84" s="2">
        <f>SUM(OSRRefD21_11x_1)</f>
        <v>4100</v>
      </c>
      <c r="F84" s="2">
        <f>SUM(OSRRefD21_11x_2)</f>
        <v>4100</v>
      </c>
      <c r="G84" s="2">
        <f>SUM(OSRRefD21_11x_3)</f>
        <v>4100</v>
      </c>
      <c r="H84" s="2">
        <f>SUM(OSRRefD21_11x_4)</f>
        <v>4100</v>
      </c>
      <c r="I84" s="2">
        <f>SUM(OSRRefD21_11x_5)</f>
        <v>4100</v>
      </c>
      <c r="J84" s="2">
        <f>SUM(OSRRefD21_11x_6)</f>
        <v>4100</v>
      </c>
      <c r="K84" s="2">
        <f>SUM(OSRRefD21_11x_7)</f>
        <v>4100</v>
      </c>
      <c r="L84" s="2">
        <f>SUM(OSRRefD21_11x_8)</f>
        <v>4100</v>
      </c>
      <c r="M84" s="2">
        <f>SUM(OSRRefD21_11x_9)</f>
        <v>4100</v>
      </c>
      <c r="N84" s="2">
        <f>SUM(OSRRefE21_11x_0)</f>
        <v>4100</v>
      </c>
      <c r="O84" s="2">
        <f>SUM(OSRRefE21_11x_1)</f>
        <v>4100</v>
      </c>
      <c r="Q84" s="3">
        <f>SUM(OSRRefD20_11x)+IFERROR(SUM(OSRRefE20_11x),0)</f>
        <v>49200</v>
      </c>
    </row>
    <row r="85" spans="1:17" s="42" customFormat="1" ht="15" hidden="1" customHeight="1" outlineLevel="1" x14ac:dyDescent="0.3">
      <c r="A85" s="34"/>
      <c r="B85" s="11" t="str">
        <f>CONCATENATE("          ","6408"," - ","INVENTORY ADJUSTMENT")</f>
        <v xml:space="preserve">          6408 - INVENTORY ADJUSTMENT</v>
      </c>
      <c r="C85" s="15"/>
      <c r="D85" s="3">
        <v>4100</v>
      </c>
      <c r="E85" s="3">
        <v>4100</v>
      </c>
      <c r="F85" s="3">
        <v>4100</v>
      </c>
      <c r="G85" s="3">
        <v>4100</v>
      </c>
      <c r="H85" s="3">
        <v>4100</v>
      </c>
      <c r="I85" s="3">
        <v>4100</v>
      </c>
      <c r="J85" s="3">
        <v>4100</v>
      </c>
      <c r="K85" s="3">
        <v>4100</v>
      </c>
      <c r="L85" s="3">
        <v>4100</v>
      </c>
      <c r="M85" s="3">
        <v>4100</v>
      </c>
      <c r="N85" s="3">
        <v>4100</v>
      </c>
      <c r="O85" s="3">
        <v>4100</v>
      </c>
      <c r="P85" s="10"/>
      <c r="Q85" s="3">
        <f>SUM(OSRRefD21_11_0x)+IFERROR(SUM(OSRRefE21_11_0x),0)</f>
        <v>49200</v>
      </c>
    </row>
    <row r="86" spans="1:17" s="42" customFormat="1" ht="15" customHeight="1" collapsed="1" x14ac:dyDescent="0.3">
      <c r="A86" s="34"/>
      <c r="B86" s="15" t="str">
        <f>CONCATENATE("     ","Professional Services                             ")</f>
        <v xml:space="preserve">     Professional Services                             </v>
      </c>
      <c r="C86" s="15"/>
      <c r="D86" s="2">
        <f>SUM(OSRRefD21_12x_0)</f>
        <v>0</v>
      </c>
      <c r="E86" s="2">
        <f>SUM(OSRRefD21_12x_1)</f>
        <v>0</v>
      </c>
      <c r="F86" s="2">
        <f>SUM(OSRRefD21_12x_2)</f>
        <v>0</v>
      </c>
      <c r="G86" s="2">
        <f>SUM(OSRRefD21_12x_3)</f>
        <v>669.1</v>
      </c>
      <c r="H86" s="2">
        <f>SUM(OSRRefD21_12x_4)</f>
        <v>0</v>
      </c>
      <c r="I86" s="2">
        <f>SUM(OSRRefD21_12x_5)</f>
        <v>0</v>
      </c>
      <c r="J86" s="2">
        <f>SUM(OSRRefD21_12x_6)</f>
        <v>0</v>
      </c>
      <c r="K86" s="2">
        <f>SUM(OSRRefD21_12x_7)</f>
        <v>390</v>
      </c>
      <c r="L86" s="2">
        <f>SUM(OSRRefD21_12x_8)</f>
        <v>1050</v>
      </c>
      <c r="M86" s="2">
        <f>SUM(OSRRefD21_12x_9)</f>
        <v>0</v>
      </c>
      <c r="N86" s="2">
        <f>SUM(OSRRefE21_12x_0)</f>
        <v>0</v>
      </c>
      <c r="O86" s="2">
        <f>SUM(OSRRefE21_12x_1)</f>
        <v>0</v>
      </c>
      <c r="Q86" s="3">
        <f>SUM(OSRRefD20_12x)+IFERROR(SUM(OSRRefE20_12x),0)</f>
        <v>2109.1</v>
      </c>
    </row>
    <row r="87" spans="1:17" s="42" customFormat="1" ht="15" hidden="1" customHeight="1" outlineLevel="1" x14ac:dyDescent="0.3">
      <c r="A87" s="34"/>
      <c r="B87" s="11" t="str">
        <f>CONCATENATE("          ","6336"," - ","PROFESSIONAL SERVICES")</f>
        <v xml:space="preserve">          6336 - PROFESSIONAL SERVICES</v>
      </c>
      <c r="C87" s="15"/>
      <c r="D87" s="3"/>
      <c r="E87" s="3"/>
      <c r="F87" s="3"/>
      <c r="G87" s="3">
        <v>669.1</v>
      </c>
      <c r="H87" s="3"/>
      <c r="I87" s="3"/>
      <c r="J87" s="3"/>
      <c r="K87" s="3">
        <v>390</v>
      </c>
      <c r="L87" s="3">
        <v>1050</v>
      </c>
      <c r="M87" s="3"/>
      <c r="N87" s="3">
        <v>0</v>
      </c>
      <c r="O87" s="3">
        <v>0</v>
      </c>
      <c r="P87" s="10"/>
      <c r="Q87" s="3">
        <f>SUM(OSRRefD21_12_0x)+IFERROR(SUM(OSRRefE21_12_0x),0)</f>
        <v>2109.1</v>
      </c>
    </row>
    <row r="88" spans="1:17" s="42" customFormat="1" ht="15" customHeight="1" collapsed="1" x14ac:dyDescent="0.3">
      <c r="A88" s="34"/>
      <c r="B88" s="15" t="str">
        <f>CONCATENATE("     ","Rent                                              ")</f>
        <v xml:space="preserve">     Rent                                              </v>
      </c>
      <c r="C88" s="15"/>
      <c r="D88" s="2">
        <f>SUM(OSRRefD21_13x_0)</f>
        <v>6900</v>
      </c>
      <c r="E88" s="2">
        <f>SUM(OSRRefD21_13x_1)</f>
        <v>6900</v>
      </c>
      <c r="F88" s="2">
        <f>SUM(OSRRefD21_13x_2)</f>
        <v>6900</v>
      </c>
      <c r="G88" s="2">
        <f>SUM(OSRRefD21_13x_3)</f>
        <v>6900</v>
      </c>
      <c r="H88" s="2">
        <f>SUM(OSRRefD21_13x_4)</f>
        <v>6900</v>
      </c>
      <c r="I88" s="2">
        <f>SUM(OSRRefD21_13x_5)</f>
        <v>6900</v>
      </c>
      <c r="J88" s="2">
        <f>SUM(OSRRefD21_13x_6)</f>
        <v>6900</v>
      </c>
      <c r="K88" s="2">
        <f>SUM(OSRRefD21_13x_7)</f>
        <v>6900</v>
      </c>
      <c r="L88" s="2">
        <f>SUM(OSRRefD21_13x_8)</f>
        <v>6900</v>
      </c>
      <c r="M88" s="2">
        <f>SUM(OSRRefD21_13x_9)</f>
        <v>6900</v>
      </c>
      <c r="N88" s="2">
        <f>SUM(OSRRefE21_13x_0)</f>
        <v>6900</v>
      </c>
      <c r="O88" s="2">
        <f>SUM(OSRRefE21_13x_1)</f>
        <v>6900</v>
      </c>
      <c r="Q88" s="3">
        <f>SUM(OSRRefD20_13x)+IFERROR(SUM(OSRRefE20_13x),0)</f>
        <v>82800</v>
      </c>
    </row>
    <row r="89" spans="1:17" s="42" customFormat="1" ht="15" hidden="1" customHeight="1" outlineLevel="1" x14ac:dyDescent="0.3">
      <c r="A89" s="34"/>
      <c r="B89" s="11" t="str">
        <f>CONCATENATE("          ","6273"," - ","RENT")</f>
        <v xml:space="preserve">          6273 - RENT</v>
      </c>
      <c r="C89" s="15"/>
      <c r="D89" s="3">
        <v>6900</v>
      </c>
      <c r="E89" s="3">
        <v>6900</v>
      </c>
      <c r="F89" s="3">
        <v>6900</v>
      </c>
      <c r="G89" s="3">
        <v>6900</v>
      </c>
      <c r="H89" s="3">
        <v>6900</v>
      </c>
      <c r="I89" s="3">
        <v>6900</v>
      </c>
      <c r="J89" s="3">
        <v>6900</v>
      </c>
      <c r="K89" s="3">
        <v>6900</v>
      </c>
      <c r="L89" s="3">
        <v>6900</v>
      </c>
      <c r="M89" s="3">
        <v>6900</v>
      </c>
      <c r="N89" s="3">
        <v>6900</v>
      </c>
      <c r="O89" s="3">
        <v>6900</v>
      </c>
      <c r="P89" s="10"/>
      <c r="Q89" s="3">
        <f>SUM(OSRRefD21_13_0x)+IFERROR(SUM(OSRRefE21_13_0x),0)</f>
        <v>82800</v>
      </c>
    </row>
    <row r="90" spans="1:17" s="42" customFormat="1" ht="15" customHeight="1" collapsed="1" x14ac:dyDescent="0.3">
      <c r="A90" s="34"/>
      <c r="B90" s="15" t="str">
        <f>CONCATENATE("     ","Repair and Maintenance                            ")</f>
        <v xml:space="preserve">     Repair and Maintenance                            </v>
      </c>
      <c r="C90" s="15"/>
      <c r="D90" s="2">
        <f>SUM(OSRRefD21_14x_0)</f>
        <v>0</v>
      </c>
      <c r="E90" s="2">
        <f>SUM(OSRRefD21_14x_1)</f>
        <v>955.74</v>
      </c>
      <c r="F90" s="2">
        <f>SUM(OSRRefD21_14x_2)</f>
        <v>292.01</v>
      </c>
      <c r="G90" s="2">
        <f>SUM(OSRRefD21_14x_3)</f>
        <v>9.5399999999999991</v>
      </c>
      <c r="H90" s="2">
        <f>SUM(OSRRefD21_14x_4)</f>
        <v>0</v>
      </c>
      <c r="I90" s="2">
        <f>SUM(OSRRefD21_14x_5)</f>
        <v>2097.0299999999997</v>
      </c>
      <c r="J90" s="2">
        <f>SUM(OSRRefD21_14x_6)</f>
        <v>0</v>
      </c>
      <c r="K90" s="2">
        <f>SUM(OSRRefD21_14x_7)</f>
        <v>20.29</v>
      </c>
      <c r="L90" s="2">
        <f>SUM(OSRRefD21_14x_8)</f>
        <v>906.79</v>
      </c>
      <c r="M90" s="2">
        <f>SUM(OSRRefD21_14x_9)</f>
        <v>2154.4699999999998</v>
      </c>
      <c r="N90" s="2">
        <f>SUM(OSRRefE21_14x_0)</f>
        <v>115</v>
      </c>
      <c r="O90" s="2">
        <f>SUM(OSRRefE21_14x_1)</f>
        <v>115</v>
      </c>
      <c r="Q90" s="3">
        <f>SUM(OSRRefD20_14x)+IFERROR(SUM(OSRRefE20_14x),0)</f>
        <v>6665.869999999999</v>
      </c>
    </row>
    <row r="91" spans="1:17" s="42" customFormat="1" ht="15" hidden="1" customHeight="1" outlineLevel="1" x14ac:dyDescent="0.3">
      <c r="A91" s="34"/>
      <c r="B91" s="11" t="str">
        <f>CONCATENATE("          ","6373"," - ","MAINTENANCE CONTRACTS")</f>
        <v xml:space="preserve">          6373 - MAINTENANCE CONTRACTS</v>
      </c>
      <c r="C91" s="15"/>
      <c r="D91" s="3"/>
      <c r="E91" s="3">
        <v>5.7</v>
      </c>
      <c r="F91" s="3">
        <v>292.01</v>
      </c>
      <c r="G91" s="3"/>
      <c r="H91" s="3"/>
      <c r="I91" s="3">
        <v>371.99</v>
      </c>
      <c r="J91" s="3"/>
      <c r="K91" s="3">
        <v>12.04</v>
      </c>
      <c r="L91" s="3">
        <v>371.99</v>
      </c>
      <c r="M91" s="3"/>
      <c r="N91" s="3">
        <v>115</v>
      </c>
      <c r="O91" s="3">
        <v>115</v>
      </c>
      <c r="P91" s="10"/>
      <c r="Q91" s="3">
        <f>SUM(OSRRefD21_14_0x)+IFERROR(SUM(OSRRefE21_14_0x),0)</f>
        <v>1283.73</v>
      </c>
    </row>
    <row r="92" spans="1:17" s="42" customFormat="1" ht="15" hidden="1" customHeight="1" outlineLevel="1" x14ac:dyDescent="0.3">
      <c r="A92" s="34"/>
      <c r="B92" s="11" t="str">
        <f>CONCATENATE("          ","6375"," - ","OUTSIDE REPAIRS &amp; MAINTENANCE")</f>
        <v xml:space="preserve">          6375 - OUTSIDE REPAIRS &amp; MAINTENANCE</v>
      </c>
      <c r="C92" s="15"/>
      <c r="D92" s="3"/>
      <c r="E92" s="3">
        <v>950.04</v>
      </c>
      <c r="F92" s="3"/>
      <c r="G92" s="3">
        <v>9.5399999999999991</v>
      </c>
      <c r="H92" s="3"/>
      <c r="I92" s="3">
        <v>1725.04</v>
      </c>
      <c r="J92" s="3"/>
      <c r="K92" s="3">
        <v>8.25</v>
      </c>
      <c r="L92" s="3">
        <v>534.79999999999995</v>
      </c>
      <c r="M92" s="3">
        <v>2154.4699999999998</v>
      </c>
      <c r="N92" s="3">
        <v>0</v>
      </c>
      <c r="O92" s="3">
        <v>0</v>
      </c>
      <c r="P92" s="10"/>
      <c r="Q92" s="3">
        <f>SUM(OSRRefD21_14_1x)+IFERROR(SUM(OSRRefE21_14_1x),0)</f>
        <v>5382.1399999999994</v>
      </c>
    </row>
    <row r="93" spans="1:17" s="42" customFormat="1" ht="15" customHeight="1" collapsed="1" x14ac:dyDescent="0.3">
      <c r="A93" s="34"/>
      <c r="B93" s="15" t="str">
        <f>CONCATENATE("     ","Royalty &amp; Commissions                             ")</f>
        <v xml:space="preserve">     Royalty &amp; Commissions                             </v>
      </c>
      <c r="C93" s="15"/>
      <c r="D93" s="2">
        <f>SUM(OSRRefD21_15x_0)</f>
        <v>7349.0400000000009</v>
      </c>
      <c r="E93" s="2">
        <f>SUM(OSRRefD21_15x_1)</f>
        <v>0</v>
      </c>
      <c r="F93" s="2">
        <f>SUM(OSRRefD21_15x_2)</f>
        <v>0</v>
      </c>
      <c r="G93" s="2">
        <f>SUM(OSRRefD21_15x_3)</f>
        <v>8783.75</v>
      </c>
      <c r="H93" s="2">
        <f>SUM(OSRRefD21_15x_4)</f>
        <v>0</v>
      </c>
      <c r="I93" s="2">
        <f>SUM(OSRRefD21_15x_5)</f>
        <v>0</v>
      </c>
      <c r="J93" s="2">
        <f>SUM(OSRRefD21_15x_6)</f>
        <v>23450.06</v>
      </c>
      <c r="K93" s="2">
        <f>SUM(OSRRefD21_15x_7)</f>
        <v>3147.46</v>
      </c>
      <c r="L93" s="2">
        <f>SUM(OSRRefD21_15x_8)</f>
        <v>0</v>
      </c>
      <c r="M93" s="2">
        <f>SUM(OSRRefD21_15x_9)</f>
        <v>26841.57</v>
      </c>
      <c r="N93" s="2">
        <f>SUM(OSRRefE21_15x_0)</f>
        <v>3156</v>
      </c>
      <c r="O93" s="2">
        <f>SUM(OSRRefE21_15x_1)</f>
        <v>3322</v>
      </c>
      <c r="Q93" s="3">
        <f>SUM(OSRRefD20_15x)+IFERROR(SUM(OSRRefE20_15x),0)</f>
        <v>76049.88</v>
      </c>
    </row>
    <row r="94" spans="1:17" s="42" customFormat="1" ht="15" hidden="1" customHeight="1" outlineLevel="1" x14ac:dyDescent="0.3">
      <c r="A94" s="34"/>
      <c r="B94" s="11" t="str">
        <f>CONCATENATE("          ","6252"," - ","ROYALTY DUE CSTV")</f>
        <v xml:space="preserve">          6252 - ROYALTY DUE CSTV</v>
      </c>
      <c r="C94" s="15"/>
      <c r="D94" s="3"/>
      <c r="E94" s="3"/>
      <c r="F94" s="3"/>
      <c r="G94" s="3"/>
      <c r="H94" s="3"/>
      <c r="I94" s="3"/>
      <c r="J94" s="3"/>
      <c r="K94" s="3"/>
      <c r="L94" s="3"/>
      <c r="M94" s="3"/>
      <c r="N94" s="3">
        <v>2156</v>
      </c>
      <c r="O94" s="3">
        <v>3322</v>
      </c>
      <c r="P94" s="10"/>
      <c r="Q94" s="3">
        <f>SUM(OSRRefD21_15_0x)+IFERROR(SUM(OSRRefE21_15_0x),0)</f>
        <v>5478</v>
      </c>
    </row>
    <row r="95" spans="1:17" s="42" customFormat="1" ht="15" hidden="1" customHeight="1" outlineLevel="1" x14ac:dyDescent="0.3">
      <c r="A95" s="34"/>
      <c r="B95" s="11" t="str">
        <f>CONCATENATE("          ","6253"," - ","ROYALTY DUE ATHLETICS-LRG")</f>
        <v xml:space="preserve">          6253 - ROYALTY DUE ATHLETICS-LRG</v>
      </c>
      <c r="C95" s="15"/>
      <c r="D95" s="3">
        <v>14376.54</v>
      </c>
      <c r="E95" s="3"/>
      <c r="F95" s="3"/>
      <c r="G95" s="3">
        <v>8783.75</v>
      </c>
      <c r="H95" s="3"/>
      <c r="I95" s="3"/>
      <c r="J95" s="3">
        <v>16060.87</v>
      </c>
      <c r="K95" s="3"/>
      <c r="L95" s="3"/>
      <c r="M95" s="3">
        <v>15944.33</v>
      </c>
      <c r="N95" s="3">
        <v>0</v>
      </c>
      <c r="O95" s="3">
        <v>0</v>
      </c>
      <c r="P95" s="10"/>
      <c r="Q95" s="3">
        <f>SUM(OSRRefD21_15_1x)+IFERROR(SUM(OSRRefE21_15_1x),0)</f>
        <v>55165.490000000005</v>
      </c>
    </row>
    <row r="96" spans="1:17" s="42" customFormat="1" ht="15" hidden="1" customHeight="1" outlineLevel="1" x14ac:dyDescent="0.3">
      <c r="A96" s="34"/>
      <c r="B96" s="11" t="str">
        <f>CONCATENATE("          ","6254"," - ","ROYALTY &amp; COMMISSIONS")</f>
        <v xml:space="preserve">          6254 - ROYALTY &amp; COMMISSIONS</v>
      </c>
      <c r="C96" s="15"/>
      <c r="D96" s="3">
        <v>-7027.5</v>
      </c>
      <c r="E96" s="3"/>
      <c r="F96" s="3"/>
      <c r="G96" s="3"/>
      <c r="H96" s="3"/>
      <c r="I96" s="3">
        <v>0</v>
      </c>
      <c r="J96" s="3">
        <v>7389.19</v>
      </c>
      <c r="K96" s="3">
        <v>3147.46</v>
      </c>
      <c r="L96" s="3"/>
      <c r="M96" s="3">
        <v>10897.24</v>
      </c>
      <c r="N96" s="3">
        <v>1000</v>
      </c>
      <c r="O96" s="3">
        <v>0</v>
      </c>
      <c r="P96" s="10"/>
      <c r="Q96" s="3">
        <f>SUM(OSRRefD21_15_2x)+IFERROR(SUM(OSRRefE21_15_2x),0)</f>
        <v>15406.39</v>
      </c>
    </row>
    <row r="97" spans="1:17" s="42" customFormat="1" ht="15" customHeight="1" collapsed="1" x14ac:dyDescent="0.3">
      <c r="A97" s="34"/>
      <c r="B97" s="15" t="str">
        <f>CONCATENATE("     ","Services                                          ")</f>
        <v xml:space="preserve">     Services                                          </v>
      </c>
      <c r="C97" s="15"/>
      <c r="D97" s="2">
        <f>SUM(OSRRefD21_16x_0)</f>
        <v>155.59</v>
      </c>
      <c r="E97" s="2">
        <f>SUM(OSRRefD21_16x_1)</f>
        <v>2464.21</v>
      </c>
      <c r="F97" s="2">
        <f>SUM(OSRRefD21_16x_2)</f>
        <v>475.17</v>
      </c>
      <c r="G97" s="2">
        <f>SUM(OSRRefD21_16x_3)</f>
        <v>588.77</v>
      </c>
      <c r="H97" s="2">
        <f>SUM(OSRRefD21_16x_4)</f>
        <v>286.16999999999996</v>
      </c>
      <c r="I97" s="2">
        <f>SUM(OSRRefD21_16x_5)</f>
        <v>497.26</v>
      </c>
      <c r="J97" s="2">
        <f>SUM(OSRRefD21_16x_6)</f>
        <v>389.96</v>
      </c>
      <c r="K97" s="2">
        <f>SUM(OSRRefD21_16x_7)</f>
        <v>428.26</v>
      </c>
      <c r="L97" s="2">
        <f>SUM(OSRRefD21_16x_8)</f>
        <v>473.53</v>
      </c>
      <c r="M97" s="2">
        <f>SUM(OSRRefD21_16x_9)</f>
        <v>278.56</v>
      </c>
      <c r="N97" s="2">
        <f>SUM(OSRRefE21_16x_0)</f>
        <v>60</v>
      </c>
      <c r="O97" s="2">
        <f>SUM(OSRRefE21_16x_1)</f>
        <v>120</v>
      </c>
      <c r="Q97" s="3">
        <f>SUM(OSRRefD20_16x)+IFERROR(SUM(OSRRefE20_16x),0)</f>
        <v>6217.4800000000005</v>
      </c>
    </row>
    <row r="98" spans="1:17" s="42" customFormat="1" ht="15" hidden="1" customHeight="1" outlineLevel="1" x14ac:dyDescent="0.3">
      <c r="A98" s="34"/>
      <c r="B98" s="11" t="str">
        <f>CONCATENATE("          ","6282"," - ","JANITORIAL/EXTERMINATOR EXPENS")</f>
        <v xml:space="preserve">          6282 - JANITORIAL/EXTERMINATOR EXPENS</v>
      </c>
      <c r="C98" s="15"/>
      <c r="D98" s="3"/>
      <c r="E98" s="3"/>
      <c r="F98" s="3">
        <v>271.3</v>
      </c>
      <c r="G98" s="3">
        <v>220.3</v>
      </c>
      <c r="H98" s="3"/>
      <c r="I98" s="3">
        <v>138</v>
      </c>
      <c r="J98" s="3">
        <v>69</v>
      </c>
      <c r="K98" s="3">
        <v>69</v>
      </c>
      <c r="L98" s="3">
        <v>69</v>
      </c>
      <c r="M98" s="3">
        <v>69</v>
      </c>
      <c r="N98" s="3"/>
      <c r="O98" s="3"/>
      <c r="P98" s="10"/>
      <c r="Q98" s="3">
        <f>SUM(OSRRefD21_16_0x)+IFERROR(SUM(OSRRefE21_16_0x),0)</f>
        <v>905.6</v>
      </c>
    </row>
    <row r="99" spans="1:17" s="42" customFormat="1" ht="15" hidden="1" customHeight="1" outlineLevel="1" x14ac:dyDescent="0.3">
      <c r="A99" s="34"/>
      <c r="B99" s="11" t="str">
        <f>CONCATENATE("          ","6284"," - ","TRASH REMOVAL EXPENSE")</f>
        <v xml:space="preserve">          6284 - TRASH REMOVAL EXPENSE</v>
      </c>
      <c r="C99" s="15"/>
      <c r="D99" s="3">
        <v>142.57</v>
      </c>
      <c r="E99" s="3">
        <v>149.69999999999999</v>
      </c>
      <c r="F99" s="3">
        <v>149.69999999999999</v>
      </c>
      <c r="G99" s="3">
        <v>149.69999999999999</v>
      </c>
      <c r="H99" s="3">
        <v>149.69999999999999</v>
      </c>
      <c r="I99" s="3">
        <v>149.69999999999999</v>
      </c>
      <c r="J99" s="3">
        <v>149.69999999999999</v>
      </c>
      <c r="K99" s="3">
        <v>149.69999999999999</v>
      </c>
      <c r="L99" s="3">
        <v>149.69999999999999</v>
      </c>
      <c r="M99" s="3"/>
      <c r="N99" s="3">
        <v>60</v>
      </c>
      <c r="O99" s="3">
        <v>120</v>
      </c>
      <c r="P99" s="10"/>
      <c r="Q99" s="3">
        <f>SUM(OSRRefD21_16_1x)+IFERROR(SUM(OSRRefE21_16_1x),0)</f>
        <v>1520.17</v>
      </c>
    </row>
    <row r="100" spans="1:17" s="42" customFormat="1" ht="15" hidden="1" customHeight="1" outlineLevel="1" x14ac:dyDescent="0.3">
      <c r="A100" s="34"/>
      <c r="B100" s="11" t="str">
        <f>CONCATENATE("          ","6285"," - ","JANITORIAL SERVICES")</f>
        <v xml:space="preserve">          6285 - JANITORIAL SERVICES</v>
      </c>
      <c r="C100" s="15"/>
      <c r="D100" s="3">
        <v>13.02</v>
      </c>
      <c r="E100" s="3">
        <v>2314.5100000000002</v>
      </c>
      <c r="F100" s="3">
        <v>54.17</v>
      </c>
      <c r="G100" s="3">
        <v>218.77</v>
      </c>
      <c r="H100" s="3">
        <v>136.47</v>
      </c>
      <c r="I100" s="3">
        <v>209.56</v>
      </c>
      <c r="J100" s="3">
        <v>171.26</v>
      </c>
      <c r="K100" s="3">
        <v>209.56</v>
      </c>
      <c r="L100" s="3">
        <v>254.83</v>
      </c>
      <c r="M100" s="3">
        <v>209.56</v>
      </c>
      <c r="N100" s="3"/>
      <c r="O100" s="3"/>
      <c r="P100" s="10"/>
      <c r="Q100" s="3">
        <f>SUM(OSRRefD21_16_2x)+IFERROR(SUM(OSRRefE21_16_2x),0)</f>
        <v>3791.71</v>
      </c>
    </row>
    <row r="101" spans="1:17" s="42" customFormat="1" ht="15" customHeight="1" collapsed="1" x14ac:dyDescent="0.3">
      <c r="A101" s="34"/>
      <c r="B101" s="15" t="str">
        <f>CONCATENATE("     ","Subscriptions &amp; Dues                              ")</f>
        <v xml:space="preserve">     Subscriptions &amp; Dues                              </v>
      </c>
      <c r="C101" s="15"/>
      <c r="D101" s="2">
        <f>SUM(OSRRefD21_17x_0)</f>
        <v>0</v>
      </c>
      <c r="E101" s="2">
        <f>SUM(OSRRefD21_17x_1)</f>
        <v>0</v>
      </c>
      <c r="F101" s="2">
        <f>SUM(OSRRefD21_17x_2)</f>
        <v>0</v>
      </c>
      <c r="G101" s="2">
        <f>SUM(OSRRefD21_17x_3)</f>
        <v>0</v>
      </c>
      <c r="H101" s="2">
        <f>SUM(OSRRefD21_17x_4)</f>
        <v>0</v>
      </c>
      <c r="I101" s="2">
        <f>SUM(OSRRefD21_17x_5)</f>
        <v>0</v>
      </c>
      <c r="J101" s="2">
        <f>SUM(OSRRefD21_17x_6)</f>
        <v>0</v>
      </c>
      <c r="K101" s="2">
        <f>SUM(OSRRefD21_17x_7)</f>
        <v>45.27</v>
      </c>
      <c r="L101" s="2">
        <f>SUM(OSRRefD21_17x_8)</f>
        <v>125</v>
      </c>
      <c r="M101" s="2">
        <f>SUM(OSRRefD21_17x_9)</f>
        <v>0</v>
      </c>
      <c r="N101" s="2">
        <f>SUM(OSRRefE21_17x_0)</f>
        <v>181</v>
      </c>
      <c r="O101" s="2">
        <f>SUM(OSRRefE21_17x_1)</f>
        <v>361</v>
      </c>
      <c r="Q101" s="3">
        <f>SUM(OSRRefD20_17x)+IFERROR(SUM(OSRRefE20_17x),0)</f>
        <v>712.27</v>
      </c>
    </row>
    <row r="102" spans="1:17" s="42" customFormat="1" ht="15" hidden="1" customHeight="1" outlineLevel="1" x14ac:dyDescent="0.3">
      <c r="A102" s="34"/>
      <c r="B102" s="11" t="str">
        <f>CONCATENATE("          ","6258"," - ","MEMBERSHIP DUES")</f>
        <v xml:space="preserve">          6258 - MEMBERSHIP DUES</v>
      </c>
      <c r="C102" s="15"/>
      <c r="D102" s="3"/>
      <c r="E102" s="3"/>
      <c r="F102" s="3"/>
      <c r="G102" s="3"/>
      <c r="H102" s="3"/>
      <c r="I102" s="3"/>
      <c r="J102" s="3"/>
      <c r="K102" s="3">
        <v>45.27</v>
      </c>
      <c r="L102" s="3">
        <v>125</v>
      </c>
      <c r="M102" s="3"/>
      <c r="N102" s="3">
        <v>0</v>
      </c>
      <c r="O102" s="3">
        <v>200</v>
      </c>
      <c r="P102" s="10"/>
      <c r="Q102" s="3">
        <f>SUM(OSRRefD21_17_0x)+IFERROR(SUM(OSRRefE21_17_0x),0)</f>
        <v>370.27</v>
      </c>
    </row>
    <row r="103" spans="1:17" s="42" customFormat="1" ht="15" hidden="1" customHeight="1" outlineLevel="1" x14ac:dyDescent="0.3">
      <c r="A103" s="34"/>
      <c r="B103" s="11" t="str">
        <f>CONCATENATE("          ","6275"," - ","SUBSCRIPTIONS")</f>
        <v xml:space="preserve">          6275 - SUBSCRIPTIONS</v>
      </c>
      <c r="C103" s="15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>
        <v>181</v>
      </c>
      <c r="O103" s="3">
        <v>161</v>
      </c>
      <c r="P103" s="10"/>
      <c r="Q103" s="3">
        <f>SUM(OSRRefD21_17_1x)+IFERROR(SUM(OSRRefE21_17_1x),0)</f>
        <v>342</v>
      </c>
    </row>
    <row r="104" spans="1:17" s="42" customFormat="1" ht="15" customHeight="1" collapsed="1" x14ac:dyDescent="0.3">
      <c r="A104" s="34"/>
      <c r="B104" s="15" t="str">
        <f>CONCATENATE("     ","Supplies                                          ")</f>
        <v xml:space="preserve">     Supplies                                          </v>
      </c>
      <c r="C104" s="15"/>
      <c r="D104" s="2">
        <f>SUM(OSRRefD21_18x_0)</f>
        <v>2772.92</v>
      </c>
      <c r="E104" s="2">
        <f>SUM(OSRRefD21_18x_1)</f>
        <v>3246.42</v>
      </c>
      <c r="F104" s="2">
        <f>SUM(OSRRefD21_18x_2)</f>
        <v>473.38</v>
      </c>
      <c r="G104" s="2">
        <f>SUM(OSRRefD21_18x_3)</f>
        <v>2648.43</v>
      </c>
      <c r="H104" s="2">
        <f>SUM(OSRRefD21_18x_4)</f>
        <v>230.13000000000002</v>
      </c>
      <c r="I104" s="2">
        <f>SUM(OSRRefD21_18x_5)</f>
        <v>962.77</v>
      </c>
      <c r="J104" s="2">
        <f>SUM(OSRRefD21_18x_6)</f>
        <v>137.04</v>
      </c>
      <c r="K104" s="2">
        <f>SUM(OSRRefD21_18x_7)</f>
        <v>473.25</v>
      </c>
      <c r="L104" s="2">
        <f>SUM(OSRRefD21_18x_8)</f>
        <v>326.77000000000004</v>
      </c>
      <c r="M104" s="2">
        <f>SUM(OSRRefD21_18x_9)</f>
        <v>794.12</v>
      </c>
      <c r="N104" s="2">
        <f>SUM(OSRRefE21_18x_0)</f>
        <v>220</v>
      </c>
      <c r="O104" s="2">
        <f>SUM(OSRRefE21_18x_1)</f>
        <v>180</v>
      </c>
      <c r="Q104" s="3">
        <f>SUM(OSRRefD20_18x)+IFERROR(SUM(OSRRefE20_18x),0)</f>
        <v>12465.230000000001</v>
      </c>
    </row>
    <row r="105" spans="1:17" s="42" customFormat="1" ht="15" hidden="1" customHeight="1" outlineLevel="1" x14ac:dyDescent="0.3">
      <c r="A105" s="34"/>
      <c r="B105" s="11" t="str">
        <f>CONCATENATE("          ","6234"," - ","EXPENDABLE SUPPLIES &amp; EQUIPMEN")</f>
        <v xml:space="preserve">          6234 - EXPENDABLE SUPPLIES &amp; EQUIPMEN</v>
      </c>
      <c r="C105" s="15"/>
      <c r="D105" s="3"/>
      <c r="E105" s="3"/>
      <c r="F105" s="3"/>
      <c r="G105" s="3">
        <v>1347.52</v>
      </c>
      <c r="H105" s="3">
        <v>46.03</v>
      </c>
      <c r="I105" s="3"/>
      <c r="J105" s="3"/>
      <c r="K105" s="3"/>
      <c r="L105" s="3"/>
      <c r="M105" s="3"/>
      <c r="N105" s="3"/>
      <c r="O105" s="3"/>
      <c r="P105" s="10"/>
      <c r="Q105" s="3">
        <f>SUM(OSRRefD21_18_0x)+IFERROR(SUM(OSRRefE21_18_0x),0)</f>
        <v>1393.55</v>
      </c>
    </row>
    <row r="106" spans="1:17" s="42" customFormat="1" ht="15" hidden="1" customHeight="1" outlineLevel="1" x14ac:dyDescent="0.3">
      <c r="A106" s="34"/>
      <c r="B106" s="11" t="str">
        <f>CONCATENATE("          ","6235"," - ","COVID-19 EXPENSES")</f>
        <v xml:space="preserve">          6235 - COVID-19 EXPENSES</v>
      </c>
      <c r="C106" s="15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>
        <v>25</v>
      </c>
      <c r="O106" s="3">
        <v>25</v>
      </c>
      <c r="P106" s="10"/>
      <c r="Q106" s="3">
        <f>SUM(OSRRefD21_18_1x)+IFERROR(SUM(OSRRefE21_18_1x),0)</f>
        <v>50</v>
      </c>
    </row>
    <row r="107" spans="1:17" s="42" customFormat="1" ht="15" hidden="1" customHeight="1" outlineLevel="1" x14ac:dyDescent="0.3">
      <c r="A107" s="34"/>
      <c r="B107" s="11" t="str">
        <f>CONCATENATE("          ","6237"," - ","JANITORIAL SUPPLIES")</f>
        <v xml:space="preserve">          6237 - JANITORIAL SUPPLIES</v>
      </c>
      <c r="C107" s="15"/>
      <c r="D107" s="3"/>
      <c r="E107" s="3">
        <v>77.17</v>
      </c>
      <c r="F107" s="3"/>
      <c r="G107" s="3"/>
      <c r="H107" s="3"/>
      <c r="I107" s="3"/>
      <c r="J107" s="3"/>
      <c r="K107" s="3"/>
      <c r="L107" s="3"/>
      <c r="M107" s="3">
        <v>692.84</v>
      </c>
      <c r="N107" s="3">
        <v>50</v>
      </c>
      <c r="O107" s="3">
        <v>10</v>
      </c>
      <c r="P107" s="10"/>
      <c r="Q107" s="3">
        <f>SUM(OSRRefD21_18_2x)+IFERROR(SUM(OSRRefE21_18_2x),0)</f>
        <v>830.01</v>
      </c>
    </row>
    <row r="108" spans="1:17" s="42" customFormat="1" ht="15" hidden="1" customHeight="1" outlineLevel="1" x14ac:dyDescent="0.3">
      <c r="A108" s="34"/>
      <c r="B108" s="11" t="str">
        <f>CONCATENATE("          ","6241"," - ","OFFICE EXPENSE")</f>
        <v xml:space="preserve">          6241 - OFFICE EXPENSE</v>
      </c>
      <c r="C108" s="15"/>
      <c r="D108" s="3">
        <v>131.47999999999999</v>
      </c>
      <c r="E108" s="3">
        <v>94.57</v>
      </c>
      <c r="F108" s="3">
        <v>267.68</v>
      </c>
      <c r="G108" s="3">
        <v>269.39</v>
      </c>
      <c r="H108" s="3">
        <v>164.36</v>
      </c>
      <c r="I108" s="3">
        <v>496.53</v>
      </c>
      <c r="J108" s="3">
        <v>137.04</v>
      </c>
      <c r="K108" s="3">
        <v>473.25</v>
      </c>
      <c r="L108" s="3">
        <v>258.54000000000002</v>
      </c>
      <c r="M108" s="3">
        <v>344.18</v>
      </c>
      <c r="N108" s="3">
        <v>70</v>
      </c>
      <c r="O108" s="3">
        <v>70</v>
      </c>
      <c r="P108" s="10"/>
      <c r="Q108" s="3">
        <f>SUM(OSRRefD21_18_3x)+IFERROR(SUM(OSRRefE21_18_3x),0)</f>
        <v>2777.02</v>
      </c>
    </row>
    <row r="109" spans="1:17" s="42" customFormat="1" ht="15" hidden="1" customHeight="1" outlineLevel="1" x14ac:dyDescent="0.3">
      <c r="A109" s="34"/>
      <c r="B109" s="11" t="str">
        <f>CONCATENATE("          ","6245"," - ","PRINTING")</f>
        <v xml:space="preserve">          6245 - PRINTING</v>
      </c>
      <c r="C109" s="15"/>
      <c r="D109" s="3"/>
      <c r="E109" s="3"/>
      <c r="F109" s="3"/>
      <c r="G109" s="3"/>
      <c r="H109" s="3"/>
      <c r="I109" s="3">
        <v>24.75</v>
      </c>
      <c r="J109" s="3"/>
      <c r="K109" s="3"/>
      <c r="L109" s="3">
        <v>10.8</v>
      </c>
      <c r="M109" s="3"/>
      <c r="N109" s="3"/>
      <c r="O109" s="3"/>
      <c r="P109" s="10"/>
      <c r="Q109" s="3">
        <f>SUM(OSRRefD21_18_4x)+IFERROR(SUM(OSRRefE21_18_4x),0)</f>
        <v>35.549999999999997</v>
      </c>
    </row>
    <row r="110" spans="1:17" s="42" customFormat="1" ht="15" hidden="1" customHeight="1" outlineLevel="1" x14ac:dyDescent="0.3">
      <c r="A110" s="34"/>
      <c r="B110" s="11" t="str">
        <f>CONCATENATE("          ","6247"," - ","STORE SUPPLIES")</f>
        <v xml:space="preserve">          6247 - STORE SUPPLIES</v>
      </c>
      <c r="C110" s="15"/>
      <c r="D110" s="3">
        <v>2641.44</v>
      </c>
      <c r="E110" s="3">
        <v>3074.68</v>
      </c>
      <c r="F110" s="3">
        <v>205.7</v>
      </c>
      <c r="G110" s="3">
        <v>1031.52</v>
      </c>
      <c r="H110" s="3">
        <v>19.739999999999998</v>
      </c>
      <c r="I110" s="3">
        <v>441.49</v>
      </c>
      <c r="J110" s="3"/>
      <c r="K110" s="3"/>
      <c r="L110" s="3">
        <v>57.43</v>
      </c>
      <c r="M110" s="3">
        <v>-242.9</v>
      </c>
      <c r="N110" s="3">
        <v>75</v>
      </c>
      <c r="O110" s="3">
        <v>75</v>
      </c>
      <c r="P110" s="10"/>
      <c r="Q110" s="3">
        <f>SUM(OSRRefD21_18_5x)+IFERROR(SUM(OSRRefE21_18_5x),0)</f>
        <v>7379.1</v>
      </c>
    </row>
    <row r="111" spans="1:17" s="42" customFormat="1" ht="15" customHeight="1" collapsed="1" x14ac:dyDescent="0.3">
      <c r="A111" s="34"/>
      <c r="B111" s="15" t="str">
        <f>CONCATENATE("     ","Telephone/Data Lines                              ")</f>
        <v xml:space="preserve">     Telephone/Data Lines                              </v>
      </c>
      <c r="C111" s="15"/>
      <c r="D111" s="2">
        <f>SUM(OSRRefD21_19x_0)</f>
        <v>279.89</v>
      </c>
      <c r="E111" s="2">
        <f>SUM(OSRRefD21_19x_1)</f>
        <v>605.29</v>
      </c>
      <c r="F111" s="2">
        <f>SUM(OSRRefD21_19x_2)</f>
        <v>357.49</v>
      </c>
      <c r="G111" s="2">
        <f>SUM(OSRRefD21_19x_3)</f>
        <v>1006.29</v>
      </c>
      <c r="H111" s="2">
        <f>SUM(OSRRefD21_19x_4)</f>
        <v>599.69000000000005</v>
      </c>
      <c r="I111" s="2">
        <f>SUM(OSRRefD21_19x_5)</f>
        <v>462.69</v>
      </c>
      <c r="J111" s="2">
        <f>SUM(OSRRefD21_19x_6)</f>
        <v>602.58000000000004</v>
      </c>
      <c r="K111" s="2">
        <f>SUM(OSRRefD21_19x_7)</f>
        <v>583.14</v>
      </c>
      <c r="L111" s="2">
        <f>SUM(OSRRefD21_19x_8)</f>
        <v>573.69000000000005</v>
      </c>
      <c r="M111" s="2">
        <f>SUM(OSRRefD21_19x_9)</f>
        <v>721.84</v>
      </c>
      <c r="N111" s="2">
        <f>SUM(OSRRefE21_19x_0)</f>
        <v>610</v>
      </c>
      <c r="O111" s="2">
        <f>SUM(OSRRefE21_19x_1)</f>
        <v>610</v>
      </c>
      <c r="Q111" s="3">
        <f>SUM(OSRRefD20_19x)+IFERROR(SUM(OSRRefE20_19x),0)</f>
        <v>7012.59</v>
      </c>
    </row>
    <row r="112" spans="1:17" s="42" customFormat="1" ht="15" hidden="1" customHeight="1" outlineLevel="1" x14ac:dyDescent="0.3">
      <c r="A112" s="34"/>
      <c r="B112" s="11" t="str">
        <f>CONCATENATE("          ","6309"," - ","TELEPHONE")</f>
        <v xml:space="preserve">          6309 - TELEPHONE</v>
      </c>
      <c r="C112" s="15"/>
      <c r="D112" s="3">
        <v>279.89</v>
      </c>
      <c r="E112" s="3">
        <v>605.29</v>
      </c>
      <c r="F112" s="3">
        <v>357.49</v>
      </c>
      <c r="G112" s="3">
        <v>1006.29</v>
      </c>
      <c r="H112" s="3">
        <v>599.69000000000005</v>
      </c>
      <c r="I112" s="3">
        <v>462.69</v>
      </c>
      <c r="J112" s="3">
        <v>602.58000000000004</v>
      </c>
      <c r="K112" s="3">
        <v>583.14</v>
      </c>
      <c r="L112" s="3">
        <v>573.69000000000005</v>
      </c>
      <c r="M112" s="3">
        <v>721.84</v>
      </c>
      <c r="N112" s="3">
        <v>610</v>
      </c>
      <c r="O112" s="3">
        <v>610</v>
      </c>
      <c r="P112" s="10"/>
      <c r="Q112" s="3">
        <f>SUM(OSRRefD21_19_0x)+IFERROR(SUM(OSRRefE21_19_0x),0)</f>
        <v>7012.59</v>
      </c>
    </row>
    <row r="113" spans="1:17" s="42" customFormat="1" ht="15" customHeight="1" collapsed="1" x14ac:dyDescent="0.3">
      <c r="A113" s="34"/>
      <c r="B113" s="15" t="str">
        <f>CONCATENATE("     ","Training                                          ")</f>
        <v xml:space="preserve">     Training                                          </v>
      </c>
      <c r="C113" s="15"/>
      <c r="D113" s="2">
        <f>SUM(OSRRefD21_20x_0)</f>
        <v>0</v>
      </c>
      <c r="E113" s="2">
        <f>SUM(OSRRefD21_20x_1)</f>
        <v>0</v>
      </c>
      <c r="F113" s="2">
        <f>SUM(OSRRefD21_20x_2)</f>
        <v>0</v>
      </c>
      <c r="G113" s="2">
        <f>SUM(OSRRefD21_20x_3)</f>
        <v>0</v>
      </c>
      <c r="H113" s="2">
        <f>SUM(OSRRefD21_20x_4)</f>
        <v>0</v>
      </c>
      <c r="I113" s="2">
        <f>SUM(OSRRefD21_20x_5)</f>
        <v>0</v>
      </c>
      <c r="J113" s="2">
        <f>SUM(OSRRefD21_20x_6)</f>
        <v>0</v>
      </c>
      <c r="K113" s="2">
        <f>SUM(OSRRefD21_20x_7)</f>
        <v>300</v>
      </c>
      <c r="L113" s="2">
        <f>SUM(OSRRefD21_20x_8)</f>
        <v>0</v>
      </c>
      <c r="M113" s="2">
        <f>SUM(OSRRefD21_20x_9)</f>
        <v>0</v>
      </c>
      <c r="N113" s="2">
        <f>SUM(OSRRefE21_20x_0)</f>
        <v>0</v>
      </c>
      <c r="O113" s="2">
        <f>SUM(OSRRefE21_20x_1)</f>
        <v>0</v>
      </c>
      <c r="Q113" s="3">
        <f>SUM(OSRRefD20_20x)+IFERROR(SUM(OSRRefE20_20x),0)</f>
        <v>300</v>
      </c>
    </row>
    <row r="114" spans="1:17" s="42" customFormat="1" ht="15" hidden="1" customHeight="1" outlineLevel="1" x14ac:dyDescent="0.3">
      <c r="A114" s="34"/>
      <c r="B114" s="11" t="str">
        <f>CONCATENATE("          ","6376"," - ","TRAINING")</f>
        <v xml:space="preserve">          6376 - TRAINING</v>
      </c>
      <c r="C114" s="15"/>
      <c r="D114" s="3"/>
      <c r="E114" s="3"/>
      <c r="F114" s="3"/>
      <c r="G114" s="3"/>
      <c r="H114" s="3"/>
      <c r="I114" s="3"/>
      <c r="J114" s="3"/>
      <c r="K114" s="3">
        <v>300</v>
      </c>
      <c r="L114" s="3"/>
      <c r="M114" s="3"/>
      <c r="N114" s="3"/>
      <c r="O114" s="3"/>
      <c r="P114" s="10"/>
      <c r="Q114" s="3">
        <f>SUM(OSRRefD21_20_0x)+IFERROR(SUM(OSRRefE21_20_0x),0)</f>
        <v>300</v>
      </c>
    </row>
    <row r="115" spans="1:17" s="42" customFormat="1" ht="15" customHeight="1" collapsed="1" x14ac:dyDescent="0.3">
      <c r="A115" s="34"/>
      <c r="B115" s="15" t="str">
        <f>CONCATENATE("     ","Travel                                            ")</f>
        <v xml:space="preserve">     Travel                                            </v>
      </c>
      <c r="C115" s="15"/>
      <c r="D115" s="2">
        <f>SUM(OSRRefD21_21x_0)</f>
        <v>188.14</v>
      </c>
      <c r="E115" s="2">
        <f>SUM(OSRRefD21_21x_1)</f>
        <v>0</v>
      </c>
      <c r="F115" s="2">
        <f>SUM(OSRRefD21_21x_2)</f>
        <v>27.39</v>
      </c>
      <c r="G115" s="2">
        <f>SUM(OSRRefD21_21x_3)</f>
        <v>0</v>
      </c>
      <c r="H115" s="2">
        <f>SUM(OSRRefD21_21x_4)</f>
        <v>0</v>
      </c>
      <c r="I115" s="2">
        <f>SUM(OSRRefD21_21x_5)</f>
        <v>24.4</v>
      </c>
      <c r="J115" s="2">
        <f>SUM(OSRRefD21_21x_6)</f>
        <v>0</v>
      </c>
      <c r="K115" s="2">
        <f>SUM(OSRRefD21_21x_7)</f>
        <v>116.74</v>
      </c>
      <c r="L115" s="2">
        <f>SUM(OSRRefD21_21x_8)</f>
        <v>46.81</v>
      </c>
      <c r="M115" s="2">
        <f>SUM(OSRRefD21_21x_9)</f>
        <v>0</v>
      </c>
      <c r="N115" s="2">
        <f>SUM(OSRRefE21_21x_0)</f>
        <v>50</v>
      </c>
      <c r="O115" s="2">
        <f>SUM(OSRRefE21_21x_1)</f>
        <v>50</v>
      </c>
      <c r="Q115" s="3">
        <f>SUM(OSRRefD20_21x)+IFERROR(SUM(OSRRefE20_21x),0)</f>
        <v>503.47999999999996</v>
      </c>
    </row>
    <row r="116" spans="1:17" s="42" customFormat="1" ht="15" hidden="1" customHeight="1" outlineLevel="1" x14ac:dyDescent="0.3">
      <c r="A116" s="34"/>
      <c r="B116" s="11" t="str">
        <f>CONCATENATE("          ","6294"," - ","TRAVEL OPERATIONAL")</f>
        <v xml:space="preserve">          6294 - TRAVEL OPERATIONAL</v>
      </c>
      <c r="C116" s="15"/>
      <c r="D116" s="3">
        <v>188.14</v>
      </c>
      <c r="E116" s="3"/>
      <c r="F116" s="3">
        <v>27.39</v>
      </c>
      <c r="G116" s="3"/>
      <c r="H116" s="3"/>
      <c r="I116" s="3">
        <v>24.4</v>
      </c>
      <c r="J116" s="3"/>
      <c r="K116" s="3">
        <v>116.74</v>
      </c>
      <c r="L116" s="3">
        <v>46.81</v>
      </c>
      <c r="M116" s="3"/>
      <c r="N116" s="3">
        <v>25</v>
      </c>
      <c r="O116" s="3">
        <v>25</v>
      </c>
      <c r="P116" s="10"/>
      <c r="Q116" s="3">
        <f>SUM(OSRRefD21_21_0x)+IFERROR(SUM(OSRRefE21_21_0x),0)</f>
        <v>453.47999999999996</v>
      </c>
    </row>
    <row r="117" spans="1:17" s="42" customFormat="1" ht="15" hidden="1" customHeight="1" outlineLevel="1" x14ac:dyDescent="0.3">
      <c r="A117" s="34"/>
      <c r="B117" s="11" t="str">
        <f>CONCATENATE("          ","6298"," - ","VEHICLE MILEAGE")</f>
        <v xml:space="preserve">          6298 - VEHICLE MILEAGE</v>
      </c>
      <c r="C117" s="15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>
        <v>25</v>
      </c>
      <c r="O117" s="3">
        <v>25</v>
      </c>
      <c r="P117" s="10"/>
      <c r="Q117" s="3">
        <f>SUM(OSRRefD21_21_1x)+IFERROR(SUM(OSRRefE21_21_1x),0)</f>
        <v>50</v>
      </c>
    </row>
    <row r="118" spans="1:17" s="42" customFormat="1" ht="15" customHeight="1" collapsed="1" x14ac:dyDescent="0.3">
      <c r="A118" s="34"/>
      <c r="B118" s="15" t="str">
        <f>CONCATENATE("     ","Utilities                                         ")</f>
        <v xml:space="preserve">     Utilities                                         </v>
      </c>
      <c r="C118" s="15"/>
      <c r="D118" s="2">
        <f>SUM(OSRRefD21_22x_0)</f>
        <v>36.49</v>
      </c>
      <c r="E118" s="2">
        <f>SUM(OSRRefD21_22x_1)</f>
        <v>37.29</v>
      </c>
      <c r="F118" s="2">
        <f>SUM(OSRRefD21_22x_2)</f>
        <v>37.6</v>
      </c>
      <c r="G118" s="2">
        <f>SUM(OSRRefD21_22x_3)</f>
        <v>38.6</v>
      </c>
      <c r="H118" s="2">
        <f>SUM(OSRRefD21_22x_4)</f>
        <v>33.61</v>
      </c>
      <c r="I118" s="2">
        <f>SUM(OSRRefD21_22x_5)</f>
        <v>62.92</v>
      </c>
      <c r="J118" s="2">
        <f>SUM(OSRRefD21_22x_6)</f>
        <v>292.91000000000003</v>
      </c>
      <c r="K118" s="2">
        <f>SUM(OSRRefD21_22x_7)</f>
        <v>355.65</v>
      </c>
      <c r="L118" s="2">
        <f>SUM(OSRRefD21_22x_8)</f>
        <v>137.83000000000001</v>
      </c>
      <c r="M118" s="2">
        <f>SUM(OSRRefD21_22x_9)</f>
        <v>254.32</v>
      </c>
      <c r="N118" s="2">
        <f>SUM(OSRRefE21_22x_0)</f>
        <v>120</v>
      </c>
      <c r="O118" s="2">
        <f>SUM(OSRRefE21_22x_1)</f>
        <v>120</v>
      </c>
      <c r="Q118" s="3">
        <f>SUM(OSRRefD20_22x)+IFERROR(SUM(OSRRefE20_22x),0)</f>
        <v>1527.22</v>
      </c>
    </row>
    <row r="119" spans="1:17" s="42" customFormat="1" ht="15" hidden="1" customHeight="1" outlineLevel="1" x14ac:dyDescent="0.3">
      <c r="A119" s="34"/>
      <c r="B119" s="11" t="str">
        <f>CONCATENATE("          ","6274"," - ","UTILITIES")</f>
        <v xml:space="preserve">          6274 - UTILITIES</v>
      </c>
      <c r="C119" s="15"/>
      <c r="D119" s="3">
        <v>36.49</v>
      </c>
      <c r="E119" s="3">
        <v>37.29</v>
      </c>
      <c r="F119" s="3">
        <v>37.6</v>
      </c>
      <c r="G119" s="3">
        <v>38.6</v>
      </c>
      <c r="H119" s="3">
        <v>33.61</v>
      </c>
      <c r="I119" s="3">
        <v>62.92</v>
      </c>
      <c r="J119" s="3">
        <v>292.91000000000003</v>
      </c>
      <c r="K119" s="3">
        <v>355.65</v>
      </c>
      <c r="L119" s="3">
        <v>137.83000000000001</v>
      </c>
      <c r="M119" s="3">
        <v>254.32</v>
      </c>
      <c r="N119" s="3">
        <v>120</v>
      </c>
      <c r="O119" s="3">
        <v>120</v>
      </c>
      <c r="P119" s="10"/>
      <c r="Q119" s="3">
        <f>SUM(OSRRefD21_22_0x)+IFERROR(SUM(OSRRefE21_22_0x),0)</f>
        <v>1527.22</v>
      </c>
    </row>
    <row r="120" spans="1:17" s="40" customFormat="1" ht="15" customHeight="1" x14ac:dyDescent="0.3">
      <c r="A120" s="22"/>
      <c r="B120" s="22"/>
      <c r="C120" s="2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Q120" s="2"/>
    </row>
    <row r="121" spans="1:17" s="39" customFormat="1" ht="15" customHeight="1" x14ac:dyDescent="0.3">
      <c r="A121" s="24"/>
      <c r="B121" s="17" t="s">
        <v>287</v>
      </c>
      <c r="C121" s="23"/>
      <c r="D121" s="4">
        <f>--35082.02</f>
        <v>35082.019999999997</v>
      </c>
      <c r="E121" s="4">
        <f>--56991</f>
        <v>56991</v>
      </c>
      <c r="F121" s="4">
        <f>-308.7</f>
        <v>-308.7</v>
      </c>
      <c r="G121" s="4">
        <f>--27298.8</f>
        <v>27298.799999999999</v>
      </c>
      <c r="H121" s="4">
        <f>0</f>
        <v>0</v>
      </c>
      <c r="I121" s="4">
        <f>--290</f>
        <v>290</v>
      </c>
      <c r="J121" s="4">
        <f>--39149.25</f>
        <v>39149.25</v>
      </c>
      <c r="K121" s="4">
        <f>--145</f>
        <v>145</v>
      </c>
      <c r="L121" s="4">
        <f>--175055</f>
        <v>175055</v>
      </c>
      <c r="M121" s="4">
        <f>--33877.66</f>
        <v>33877.660000000003</v>
      </c>
      <c r="N121" s="4">
        <v>250000</v>
      </c>
      <c r="O121" s="4">
        <v>208334</v>
      </c>
      <c r="Q121" s="3">
        <f>SUM(OSRRefD23_0x)+IFERROR(SUM(OSRRefE23_0x),0)</f>
        <v>825914.03</v>
      </c>
    </row>
    <row r="122" spans="1:17" ht="15" customHeight="1" x14ac:dyDescent="0.3">
      <c r="A122" s="6"/>
      <c r="B122" s="7"/>
      <c r="C122" s="7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Q122" s="4"/>
    </row>
    <row r="123" spans="1:17" s="37" customFormat="1" ht="15" customHeight="1" x14ac:dyDescent="0.3">
      <c r="A123" s="7"/>
      <c r="B123" s="18" t="s">
        <v>288</v>
      </c>
      <c r="C123" s="18"/>
      <c r="D123" s="9">
        <f t="shared" ref="D123:O123" si="2">IFERROR(+D40-D43+D121,0)</f>
        <v>11258.139999999948</v>
      </c>
      <c r="E123" s="9">
        <f t="shared" si="2"/>
        <v>211974.66000000006</v>
      </c>
      <c r="F123" s="9">
        <f t="shared" si="2"/>
        <v>86652.619999999952</v>
      </c>
      <c r="G123" s="9">
        <f t="shared" si="2"/>
        <v>130169.40000000005</v>
      </c>
      <c r="H123" s="9">
        <f t="shared" si="2"/>
        <v>59807.76999999996</v>
      </c>
      <c r="I123" s="9">
        <f t="shared" si="2"/>
        <v>128218.46000000002</v>
      </c>
      <c r="J123" s="9">
        <f t="shared" si="2"/>
        <v>-213.67999999997846</v>
      </c>
      <c r="K123" s="9">
        <f t="shared" si="2"/>
        <v>193629.20000000007</v>
      </c>
      <c r="L123" s="9">
        <f t="shared" si="2"/>
        <v>372921.87999999995</v>
      </c>
      <c r="M123" s="9">
        <f t="shared" si="2"/>
        <v>319226.89999999991</v>
      </c>
      <c r="N123" s="9">
        <f t="shared" si="2"/>
        <v>277077.04856610764</v>
      </c>
      <c r="O123" s="9">
        <f t="shared" si="2"/>
        <v>219022.75974080767</v>
      </c>
      <c r="Q123" s="9">
        <f>IFERROR(+Q40-Q43+Q121,0)</f>
        <v>2009745.158306916</v>
      </c>
    </row>
    <row r="124" spans="1:17" s="38" customFormat="1" ht="15" customHeight="1" x14ac:dyDescent="0.3">
      <c r="B124" s="17"/>
      <c r="C124" s="17"/>
      <c r="D124" s="5">
        <f t="shared" ref="D124:O124" si="3">IFERROR(D123/D10,0)</f>
        <v>7.2236281180301953E-2</v>
      </c>
      <c r="E124" s="5">
        <f t="shared" si="3"/>
        <v>0.47402542251783486</v>
      </c>
      <c r="F124" s="5">
        <f t="shared" si="3"/>
        <v>0.25978191750073415</v>
      </c>
      <c r="G124" s="5">
        <f t="shared" si="3"/>
        <v>0.25858154703753522</v>
      </c>
      <c r="H124" s="5">
        <f t="shared" si="3"/>
        <v>0.21354358097481038</v>
      </c>
      <c r="I124" s="5">
        <f t="shared" si="3"/>
        <v>0.28975896316118671</v>
      </c>
      <c r="J124" s="5">
        <f t="shared" si="3"/>
        <v>-1.1745604110916278E-3</v>
      </c>
      <c r="K124" s="5">
        <f t="shared" si="3"/>
        <v>0.33617380509276518</v>
      </c>
      <c r="L124" s="5">
        <f t="shared" si="3"/>
        <v>0.6758659878970722</v>
      </c>
      <c r="M124" s="5">
        <f t="shared" si="3"/>
        <v>0.40295878609149927</v>
      </c>
      <c r="N124" s="5">
        <f t="shared" si="3"/>
        <v>0.9979292371965901</v>
      </c>
      <c r="O124" s="5">
        <f t="shared" si="3"/>
        <v>0.85328112785345223</v>
      </c>
      <c r="P124" s="19"/>
      <c r="Q124" s="5">
        <f>IFERROR(Q123/Q10,0)</f>
        <v>0.41880370990669546</v>
      </c>
    </row>
    <row r="125" spans="1:17" ht="15" customHeight="1" x14ac:dyDescent="0.3">
      <c r="A125" s="6"/>
      <c r="B125" s="7"/>
      <c r="C125" s="6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Q125" s="4"/>
    </row>
    <row r="126" spans="1:17" s="37" customFormat="1" ht="15" customHeight="1" x14ac:dyDescent="0.3">
      <c r="A126" s="26"/>
      <c r="B126" s="7" t="s">
        <v>289</v>
      </c>
      <c r="C126" s="7"/>
      <c r="D126" s="4">
        <v>72002.8</v>
      </c>
      <c r="E126" s="4">
        <v>18110.04</v>
      </c>
      <c r="F126" s="4">
        <v>25814.26</v>
      </c>
      <c r="G126" s="4">
        <v>50523.67</v>
      </c>
      <c r="H126" s="4">
        <v>38428.730000000003</v>
      </c>
      <c r="I126" s="4">
        <v>55429.8</v>
      </c>
      <c r="J126" s="4">
        <v>50024.08</v>
      </c>
      <c r="K126" s="4">
        <v>54206.92</v>
      </c>
      <c r="L126" s="4">
        <v>49862.26</v>
      </c>
      <c r="M126" s="4">
        <v>68689.850000000006</v>
      </c>
      <c r="N126" s="4">
        <v>37416</v>
      </c>
      <c r="O126" s="4">
        <v>-7252</v>
      </c>
      <c r="Q126" s="3">
        <f>SUM(OSRRefD28_0x)+IFERROR(SUM(OSRRefE28_0x),0)</f>
        <v>513256.41000000003</v>
      </c>
    </row>
    <row r="127" spans="1:17" ht="15" customHeight="1" x14ac:dyDescent="0.3">
      <c r="A127" s="6"/>
      <c r="B127" s="7"/>
      <c r="C127" s="7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Q127" s="4"/>
    </row>
    <row r="128" spans="1:17" s="37" customFormat="1" ht="15.75" customHeight="1" x14ac:dyDescent="0.3">
      <c r="A128" s="7"/>
      <c r="B128" s="18" t="s">
        <v>290</v>
      </c>
      <c r="C128" s="18"/>
      <c r="D128" s="8">
        <f t="shared" ref="D128:O128" si="4">IFERROR(+D123-D126,0)</f>
        <v>-60744.660000000054</v>
      </c>
      <c r="E128" s="8">
        <f t="shared" si="4"/>
        <v>193864.62000000005</v>
      </c>
      <c r="F128" s="8">
        <f t="shared" si="4"/>
        <v>60838.359999999957</v>
      </c>
      <c r="G128" s="8">
        <f t="shared" si="4"/>
        <v>79645.730000000054</v>
      </c>
      <c r="H128" s="8">
        <f t="shared" si="4"/>
        <v>21379.039999999957</v>
      </c>
      <c r="I128" s="8">
        <f t="shared" si="4"/>
        <v>72788.660000000018</v>
      </c>
      <c r="J128" s="8">
        <f t="shared" si="4"/>
        <v>-50237.75999999998</v>
      </c>
      <c r="K128" s="8">
        <f t="shared" si="4"/>
        <v>139422.28000000009</v>
      </c>
      <c r="L128" s="8">
        <f t="shared" si="4"/>
        <v>323059.61999999994</v>
      </c>
      <c r="M128" s="8">
        <f t="shared" si="4"/>
        <v>250537.0499999999</v>
      </c>
      <c r="N128" s="8">
        <f t="shared" si="4"/>
        <v>239661.04856610764</v>
      </c>
      <c r="O128" s="8">
        <f t="shared" si="4"/>
        <v>226274.75974080767</v>
      </c>
      <c r="Q128" s="8">
        <f>IFERROR(+Q123-Q126,0)</f>
        <v>1496488.7483069161</v>
      </c>
    </row>
    <row r="129" spans="1:17" ht="15.75" customHeight="1" x14ac:dyDescent="0.3">
      <c r="A129" s="6"/>
      <c r="B129" s="6"/>
      <c r="C129" s="6"/>
      <c r="D129" s="5">
        <f t="shared" ref="D129:O129" si="5">IFERROR(D128/D10,0)</f>
        <v>-0.38975961748227195</v>
      </c>
      <c r="E129" s="5">
        <f t="shared" si="5"/>
        <v>0.43352709426098146</v>
      </c>
      <c r="F129" s="5">
        <f t="shared" si="5"/>
        <v>0.18239155167379778</v>
      </c>
      <c r="G129" s="5">
        <f t="shared" si="5"/>
        <v>0.15821626341009359</v>
      </c>
      <c r="H129" s="5">
        <f t="shared" si="5"/>
        <v>7.6333840225169799E-2</v>
      </c>
      <c r="I129" s="5">
        <f t="shared" si="5"/>
        <v>0.16449399448014074</v>
      </c>
      <c r="J129" s="5">
        <f t="shared" si="5"/>
        <v>-0.27614790358446489</v>
      </c>
      <c r="K129" s="5">
        <f t="shared" si="5"/>
        <v>0.24206120968484582</v>
      </c>
      <c r="L129" s="5">
        <f t="shared" si="5"/>
        <v>0.58549798478156534</v>
      </c>
      <c r="M129" s="5">
        <f t="shared" si="5"/>
        <v>0.31625187457242876</v>
      </c>
      <c r="N129" s="5">
        <f t="shared" si="5"/>
        <v>0.86317061849404164</v>
      </c>
      <c r="O129" s="5">
        <f t="shared" si="5"/>
        <v>0.88153387540588068</v>
      </c>
      <c r="P129" s="19"/>
      <c r="Q129" s="5">
        <f>IFERROR(Q128/Q10,0)</f>
        <v>0.31184801567207077</v>
      </c>
    </row>
    <row r="130" spans="1:17" ht="15" customHeight="1" x14ac:dyDescent="0.3">
      <c r="A130" s="6"/>
      <c r="B130" s="6"/>
      <c r="C130" s="6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Q130" s="4"/>
    </row>
    <row r="131" spans="1:17" ht="15" customHeight="1" x14ac:dyDescent="0.3">
      <c r="A131" s="6"/>
      <c r="B131" s="6"/>
      <c r="C131" s="6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Q131" s="4"/>
    </row>
    <row r="132" spans="1:17" s="37" customFormat="1" ht="15.75" customHeight="1" x14ac:dyDescent="0.3">
      <c r="A132" s="7"/>
      <c r="B132" s="18" t="s">
        <v>293</v>
      </c>
      <c r="C132" s="18"/>
      <c r="D132" s="8">
        <f t="shared" ref="D132:O132" si="6">IFERROR(SUM(D128:D131),0)</f>
        <v>-60745.049759617534</v>
      </c>
      <c r="E132" s="8">
        <f t="shared" si="6"/>
        <v>193865.05352709431</v>
      </c>
      <c r="F132" s="8">
        <f t="shared" si="6"/>
        <v>60838.542391551629</v>
      </c>
      <c r="G132" s="8">
        <f t="shared" si="6"/>
        <v>79645.888216263469</v>
      </c>
      <c r="H132" s="8">
        <f t="shared" si="6"/>
        <v>21379.116333840182</v>
      </c>
      <c r="I132" s="8">
        <f t="shared" si="6"/>
        <v>72788.8244939945</v>
      </c>
      <c r="J132" s="8">
        <f t="shared" si="6"/>
        <v>-50238.036147903564</v>
      </c>
      <c r="K132" s="8">
        <f t="shared" si="6"/>
        <v>139422.52206120978</v>
      </c>
      <c r="L132" s="8">
        <f t="shared" si="6"/>
        <v>323060.20549798472</v>
      </c>
      <c r="M132" s="8">
        <f t="shared" si="6"/>
        <v>250537.36625187448</v>
      </c>
      <c r="N132" s="8">
        <f t="shared" si="6"/>
        <v>239661.91173672612</v>
      </c>
      <c r="O132" s="8">
        <f t="shared" si="6"/>
        <v>226275.64127468306</v>
      </c>
      <c r="Q132" s="8">
        <f>IFERROR(SUM(Q128:Q131),0)</f>
        <v>1496489.0601549319</v>
      </c>
    </row>
    <row r="133" spans="1:17" ht="15.75" customHeight="1" x14ac:dyDescent="0.3">
      <c r="A133" s="6"/>
      <c r="C133" s="6"/>
      <c r="D133" s="5">
        <f t="shared" ref="D133:O133" si="7">IFERROR(D132/D10,0)</f>
        <v>-0.38976211832036073</v>
      </c>
      <c r="E133" s="5">
        <f t="shared" si="7"/>
        <v>0.43352806372999264</v>
      </c>
      <c r="F133" s="5">
        <f t="shared" si="7"/>
        <v>0.18239209847811863</v>
      </c>
      <c r="G133" s="5">
        <f t="shared" si="7"/>
        <v>0.15821657770674213</v>
      </c>
      <c r="H133" s="5">
        <f t="shared" si="7"/>
        <v>7.6334112775067436E-2</v>
      </c>
      <c r="I133" s="5">
        <f t="shared" si="7"/>
        <v>0.16449436621763694</v>
      </c>
      <c r="J133" s="5">
        <f t="shared" si="7"/>
        <v>-0.27614942151967248</v>
      </c>
      <c r="K133" s="5">
        <f t="shared" si="7"/>
        <v>0.24206162994500249</v>
      </c>
      <c r="L133" s="5">
        <f t="shared" si="7"/>
        <v>0.58549904591043733</v>
      </c>
      <c r="M133" s="5">
        <f t="shared" si="7"/>
        <v>0.31625227377585263</v>
      </c>
      <c r="N133" s="5">
        <f t="shared" si="7"/>
        <v>0.86317372731594266</v>
      </c>
      <c r="O133" s="5">
        <f t="shared" si="7"/>
        <v>0.88153730973489897</v>
      </c>
      <c r="P133" s="19"/>
      <c r="Q133" s="5">
        <f>IFERROR(Q132/Q10,0)</f>
        <v>0.31184808065697961</v>
      </c>
    </row>
    <row r="134" spans="1:17" ht="15" customHeight="1" x14ac:dyDescent="0.3">
      <c r="A134" s="6"/>
      <c r="B134" s="33">
        <v>44694.892861840279</v>
      </c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Q134" s="14"/>
    </row>
    <row r="135" spans="1:17" ht="15" customHeight="1" x14ac:dyDescent="0.3">
      <c r="A135" s="6"/>
      <c r="B135" s="31" t="s">
        <v>294</v>
      </c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Q135" s="14"/>
    </row>
    <row r="136" spans="1:17" ht="15" customHeight="1" x14ac:dyDescent="0.3">
      <c r="A136" s="6"/>
      <c r="B136" s="27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Q136" s="14"/>
    </row>
    <row r="137" spans="1:17" ht="15" customHeight="1" x14ac:dyDescent="0.3"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Q137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6C385-E3F6-7992-3698-D20C1041FAEE}">
  <sheetPr>
    <tabColor rgb="FF92D050"/>
    <outlinePr summaryBelow="0" summaryRight="0"/>
    <pageSetUpPr fitToPage="1"/>
  </sheetPr>
  <dimension ref="A2:R99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","307"," - ","Art Store")</f>
        <v>Department 307 - Art Store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0</v>
      </c>
      <c r="E10" s="4">
        <f>SUM(OSRRefD11x_1)</f>
        <v>16514.54</v>
      </c>
      <c r="F10" s="4">
        <f>SUM(OSRRefD11x_2)</f>
        <v>25660.770000000004</v>
      </c>
      <c r="G10" s="4">
        <f>SUM(OSRRefD11x_3)</f>
        <v>25367.03</v>
      </c>
      <c r="H10" s="4">
        <f>SUM(OSRRefD11x_4)</f>
        <v>14784.730000000001</v>
      </c>
      <c r="I10" s="4">
        <f>SUM(OSRRefD11x_5)</f>
        <v>11601.25</v>
      </c>
      <c r="J10" s="4">
        <f>SUM(OSRRefD11x_6)</f>
        <v>6007.46</v>
      </c>
      <c r="K10" s="4">
        <f>SUM(OSRRefD11x_7)</f>
        <v>43788.46</v>
      </c>
      <c r="L10" s="4">
        <f>SUM(OSRRefD11x_8)</f>
        <v>42474.009999999995</v>
      </c>
      <c r="M10" s="4">
        <f>SUM(OSRRefD11x_9)</f>
        <v>40501.600000000006</v>
      </c>
      <c r="N10" s="4">
        <f>SUM(OSRRefE11x_0)</f>
        <v>13349</v>
      </c>
      <c r="O10" s="4">
        <f>SUM(OSRRefE11x_1)</f>
        <v>1274</v>
      </c>
      <c r="P10" s="25"/>
      <c r="Q10" s="4">
        <f>SUM(OSRRefG11x)</f>
        <v>241322.85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0</f>
        <v>0</v>
      </c>
      <c r="E11" s="3">
        <f>--15152.58</f>
        <v>15152.58</v>
      </c>
      <c r="F11" s="3">
        <f>--19683.79</f>
        <v>19683.79</v>
      </c>
      <c r="G11" s="3">
        <f>--16412.68</f>
        <v>16412.68</v>
      </c>
      <c r="H11" s="3">
        <f>--9822.43</f>
        <v>9822.43</v>
      </c>
      <c r="I11" s="3">
        <f>--8671.83</f>
        <v>8671.83</v>
      </c>
      <c r="J11" s="3">
        <f>--5795.29</f>
        <v>5795.29</v>
      </c>
      <c r="K11" s="3">
        <f>--30152.61</f>
        <v>30152.61</v>
      </c>
      <c r="L11" s="3">
        <f>--23784.59</f>
        <v>23784.59</v>
      </c>
      <c r="M11" s="3">
        <f>--21337.1</f>
        <v>21337.1</v>
      </c>
      <c r="N11" s="3">
        <v>6188</v>
      </c>
      <c r="O11" s="3">
        <v>1274</v>
      </c>
      <c r="Q11" s="3">
        <f>SUM(OSRRefD11_0x)+IFERROR(SUM(OSRRefE11_0x),0)</f>
        <v>158274.9</v>
      </c>
    </row>
    <row r="12" spans="1:18" s="39" customFormat="1" ht="15" hidden="1" customHeight="1" outlineLevel="1" x14ac:dyDescent="0.3">
      <c r="A12" s="24"/>
      <c r="B12" s="11" t="str">
        <f>CONCATENATE("          ","4100"," - ","NON-TAXABLE SALES")</f>
        <v xml:space="preserve">          4100 - NON-TAXABLE SALES</v>
      </c>
      <c r="C12" s="23"/>
      <c r="D12" s="3">
        <f>0</f>
        <v>0</v>
      </c>
      <c r="E12" s="3">
        <f>--1628.53</f>
        <v>1628.53</v>
      </c>
      <c r="F12" s="3">
        <f>--6374.4</f>
        <v>6374.4</v>
      </c>
      <c r="G12" s="3">
        <f>--9316.24</f>
        <v>9316.24</v>
      </c>
      <c r="H12" s="3">
        <f>--5218.66</f>
        <v>5218.66</v>
      </c>
      <c r="I12" s="3">
        <f>--4265.13</f>
        <v>4265.13</v>
      </c>
      <c r="J12" s="3">
        <f>--518.25</f>
        <v>518.25</v>
      </c>
      <c r="K12" s="3">
        <f>--14257.33</f>
        <v>14257.33</v>
      </c>
      <c r="L12" s="3">
        <f>--19155.39</f>
        <v>19155.39</v>
      </c>
      <c r="M12" s="3">
        <f>--19511.33</f>
        <v>19511.330000000002</v>
      </c>
      <c r="N12" s="3">
        <v>7161</v>
      </c>
      <c r="O12" s="3">
        <v>0</v>
      </c>
      <c r="Q12" s="3">
        <f>SUM(OSRRefD11_1x)+IFERROR(SUM(OSRRefE11_1x),0)</f>
        <v>87406.260000000009</v>
      </c>
    </row>
    <row r="13" spans="1:18" s="39" customFormat="1" ht="15" hidden="1" customHeight="1" outlineLevel="1" x14ac:dyDescent="0.3">
      <c r="A13" s="24"/>
      <c r="B13" s="11" t="str">
        <f>CONCATENATE("          ","4200"," - ","TAXABLE RETURNS")</f>
        <v xml:space="preserve">          4200 - TAXABLE RETURNS</v>
      </c>
      <c r="C13" s="23"/>
      <c r="D13" s="3">
        <f>0</f>
        <v>0</v>
      </c>
      <c r="E13" s="3">
        <f>-266.57</f>
        <v>-266.57</v>
      </c>
      <c r="F13" s="3">
        <f>-397.42</f>
        <v>-397.42</v>
      </c>
      <c r="G13" s="3">
        <f>-211.3</f>
        <v>-211.3</v>
      </c>
      <c r="H13" s="3">
        <f>-97.23</f>
        <v>-97.23</v>
      </c>
      <c r="I13" s="3">
        <f>-53.97</f>
        <v>-53.97</v>
      </c>
      <c r="J13" s="3">
        <f>-191.36</f>
        <v>-191.36</v>
      </c>
      <c r="K13" s="3">
        <f>-455.26</f>
        <v>-455.26</v>
      </c>
      <c r="L13" s="3">
        <f>-328.73</f>
        <v>-328.73</v>
      </c>
      <c r="M13" s="3">
        <f>-176.49</f>
        <v>-176.49</v>
      </c>
      <c r="N13" s="3"/>
      <c r="O13" s="3"/>
      <c r="Q13" s="3">
        <f>SUM(OSRRefD11_2x)+IFERROR(SUM(OSRRefE11_2x),0)</f>
        <v>-2178.33</v>
      </c>
    </row>
    <row r="14" spans="1:18" s="39" customFormat="1" ht="15" hidden="1" customHeight="1" outlineLevel="1" x14ac:dyDescent="0.3">
      <c r="A14" s="24"/>
      <c r="B14" s="11" t="str">
        <f>CONCATENATE("          ","4500"," - ","SALES DISCOUNT")</f>
        <v xml:space="preserve">          4500 - SALES DISCOUNT</v>
      </c>
      <c r="C14" s="23"/>
      <c r="D14" s="3">
        <f>0</f>
        <v>0</v>
      </c>
      <c r="E14" s="3">
        <f>0</f>
        <v>0</v>
      </c>
      <c r="F14" s="3">
        <f>0</f>
        <v>0</v>
      </c>
      <c r="G14" s="3">
        <f>-150.59</f>
        <v>-150.59</v>
      </c>
      <c r="H14" s="3">
        <f>-159.13</f>
        <v>-159.13</v>
      </c>
      <c r="I14" s="3">
        <f>-1281.74</f>
        <v>-1281.74</v>
      </c>
      <c r="J14" s="3">
        <f>-114.72</f>
        <v>-114.72</v>
      </c>
      <c r="K14" s="3">
        <f>-166.22</f>
        <v>-166.22</v>
      </c>
      <c r="L14" s="3">
        <f>-137.24</f>
        <v>-137.24</v>
      </c>
      <c r="M14" s="3">
        <f>-170.34</f>
        <v>-170.34</v>
      </c>
      <c r="N14" s="3"/>
      <c r="O14" s="3"/>
      <c r="Q14" s="3">
        <f>SUM(OSRRefD11_3x)+IFERROR(SUM(OSRRefE11_3x),0)</f>
        <v>-2179.98</v>
      </c>
    </row>
    <row r="15" spans="1:18" ht="15" customHeight="1" x14ac:dyDescent="0.3">
      <c r="A15" s="6"/>
      <c r="B15" s="7"/>
      <c r="C15" s="6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Q15" s="4"/>
    </row>
    <row r="16" spans="1:18" s="39" customFormat="1" ht="15" customHeight="1" collapsed="1" x14ac:dyDescent="0.3">
      <c r="A16" s="24"/>
      <c r="B16" s="17" t="s">
        <v>284</v>
      </c>
      <c r="C16" s="23"/>
      <c r="D16" s="4">
        <f>SUM(OSRRefD14x_0)</f>
        <v>0</v>
      </c>
      <c r="E16" s="4">
        <f>SUM(OSRRefD14x_1)</f>
        <v>9685.5600000000013</v>
      </c>
      <c r="F16" s="4">
        <f>SUM(OSRRefD14x_2)</f>
        <v>14774.61</v>
      </c>
      <c r="G16" s="4">
        <f>SUM(OSRRefD14x_3)</f>
        <v>13841.29</v>
      </c>
      <c r="H16" s="4">
        <f>SUM(OSRRefD14x_4)</f>
        <v>8191.56</v>
      </c>
      <c r="I16" s="4">
        <f>SUM(OSRRefD14x_5)</f>
        <v>7098.52</v>
      </c>
      <c r="J16" s="4">
        <f>SUM(OSRRefD14x_6)</f>
        <v>3646.9500000000003</v>
      </c>
      <c r="K16" s="4">
        <f>SUM(OSRRefD14x_7)</f>
        <v>24480.45</v>
      </c>
      <c r="L16" s="4">
        <f>SUM(OSRRefD14x_8)</f>
        <v>22858.059999999998</v>
      </c>
      <c r="M16" s="4">
        <f>SUM(OSRRefD14x_9)</f>
        <v>21695.61</v>
      </c>
      <c r="N16" s="4">
        <f>SUM(OSRRefE14x_0)</f>
        <v>7003</v>
      </c>
      <c r="O16" s="4">
        <f>SUM(OSRRefE14x_1)</f>
        <v>836</v>
      </c>
      <c r="Q16" s="4">
        <f>SUM(OSRRefG14x)</f>
        <v>134111.61000000002</v>
      </c>
    </row>
    <row r="17" spans="1:17" s="39" customFormat="1" ht="15" hidden="1" customHeight="1" outlineLevel="1" x14ac:dyDescent="0.3">
      <c r="A17" s="24"/>
      <c r="B17" s="11" t="str">
        <f>CONCATENATE("          ","5000"," - ","PURCHASES @ COST")</f>
        <v xml:space="preserve">          5000 - PURCHASES @ COST</v>
      </c>
      <c r="C17" s="23"/>
      <c r="D17" s="3"/>
      <c r="E17" s="3">
        <v>13695.29</v>
      </c>
      <c r="F17" s="3">
        <v>11537.82</v>
      </c>
      <c r="G17" s="3">
        <v>22158.639999999999</v>
      </c>
      <c r="H17" s="3">
        <v>25133.41</v>
      </c>
      <c r="I17" s="3">
        <v>9742.81</v>
      </c>
      <c r="J17" s="3">
        <v>19939.46</v>
      </c>
      <c r="K17" s="3">
        <v>5459.01</v>
      </c>
      <c r="L17" s="3">
        <v>22343.05</v>
      </c>
      <c r="M17" s="3">
        <v>18186.14</v>
      </c>
      <c r="N17" s="3">
        <v>7003</v>
      </c>
      <c r="O17" s="3">
        <v>836</v>
      </c>
      <c r="Q17" s="3">
        <f>SUM(OSRRefD14_0x)+IFERROR(SUM(OSRRefE14_0x),0)</f>
        <v>156034.63</v>
      </c>
    </row>
    <row r="18" spans="1:17" s="39" customFormat="1" ht="15" hidden="1" customHeight="1" outlineLevel="1" x14ac:dyDescent="0.3">
      <c r="A18" s="24"/>
      <c r="B18" s="11" t="str">
        <f>CONCATENATE("          ","5026"," - ","PURCHASES @ COST-WRITING INSTR")</f>
        <v xml:space="preserve">          5026 - PURCHASES @ COST-WRITING INSTR</v>
      </c>
      <c r="C18" s="23"/>
      <c r="D18" s="3"/>
      <c r="E18" s="3">
        <v>0</v>
      </c>
      <c r="F18" s="3"/>
      <c r="G18" s="3"/>
      <c r="H18" s="3"/>
      <c r="I18" s="3"/>
      <c r="J18" s="3"/>
      <c r="K18" s="3"/>
      <c r="L18" s="3"/>
      <c r="M18" s="3"/>
      <c r="N18" s="3"/>
      <c r="O18" s="3"/>
      <c r="Q18" s="3">
        <f>SUM(OSRRefD14_1x)+IFERROR(SUM(OSRRefE14_1x),0)</f>
        <v>0</v>
      </c>
    </row>
    <row r="19" spans="1:17" s="39" customFormat="1" ht="15" hidden="1" customHeight="1" outlineLevel="1" x14ac:dyDescent="0.3">
      <c r="A19" s="24"/>
      <c r="B19" s="11" t="str">
        <f>CONCATENATE("          ","5027"," - ","PURCHASES @ COST-SCHOOL SUPPLI")</f>
        <v xml:space="preserve">          5027 - PURCHASES @ COST-SCHOOL SUPPLI</v>
      </c>
      <c r="C19" s="23"/>
      <c r="D19" s="3"/>
      <c r="E19" s="3">
        <v>0</v>
      </c>
      <c r="F19" s="3"/>
      <c r="G19" s="3"/>
      <c r="H19" s="3"/>
      <c r="I19" s="3"/>
      <c r="J19" s="3"/>
      <c r="K19" s="3"/>
      <c r="L19" s="3"/>
      <c r="M19" s="3"/>
      <c r="N19" s="3"/>
      <c r="O19" s="3"/>
      <c r="Q19" s="3">
        <f>SUM(OSRRefD14_2x)+IFERROR(SUM(OSRRefE14_2x),0)</f>
        <v>0</v>
      </c>
    </row>
    <row r="20" spans="1:17" s="39" customFormat="1" ht="15" hidden="1" customHeight="1" outlineLevel="1" x14ac:dyDescent="0.3">
      <c r="A20" s="24"/>
      <c r="B20" s="11" t="str">
        <f>CONCATENATE("          ","5028"," - ","PURCHASES @ COST-ART/TECH")</f>
        <v xml:space="preserve">          5028 - PURCHASES @ COST-ART/TECH</v>
      </c>
      <c r="C20" s="23"/>
      <c r="D20" s="3"/>
      <c r="E20" s="3">
        <v>0</v>
      </c>
      <c r="F20" s="3">
        <v>0</v>
      </c>
      <c r="G20" s="3"/>
      <c r="H20" s="3"/>
      <c r="I20" s="3"/>
      <c r="J20" s="3"/>
      <c r="K20" s="3"/>
      <c r="L20" s="3"/>
      <c r="M20" s="3"/>
      <c r="N20" s="3"/>
      <c r="O20" s="3"/>
      <c r="Q20" s="3">
        <f>SUM(OSRRefD14_3x)+IFERROR(SUM(OSRRefE14_3x),0)</f>
        <v>0</v>
      </c>
    </row>
    <row r="21" spans="1:17" s="39" customFormat="1" ht="15" hidden="1" customHeight="1" outlineLevel="1" x14ac:dyDescent="0.3">
      <c r="A21" s="24"/>
      <c r="B21" s="11" t="str">
        <f>CONCATENATE("          ","5031"," - ","PURCHASES @ COST-FOOD")</f>
        <v xml:space="preserve">          5031 - PURCHASES @ COST-FOOD</v>
      </c>
      <c r="C21" s="23"/>
      <c r="D21" s="3"/>
      <c r="E21" s="3">
        <v>0</v>
      </c>
      <c r="F21" s="3">
        <v>0</v>
      </c>
      <c r="G21" s="3"/>
      <c r="H21" s="3"/>
      <c r="I21" s="3"/>
      <c r="J21" s="3"/>
      <c r="K21" s="3"/>
      <c r="L21" s="3"/>
      <c r="M21" s="3"/>
      <c r="N21" s="3"/>
      <c r="O21" s="3"/>
      <c r="Q21" s="3">
        <f>SUM(OSRRefD14_4x)+IFERROR(SUM(OSRRefE14_4x),0)</f>
        <v>0</v>
      </c>
    </row>
    <row r="22" spans="1:17" s="39" customFormat="1" ht="15" hidden="1" customHeight="1" outlineLevel="1" x14ac:dyDescent="0.3">
      <c r="A22" s="24"/>
      <c r="B22" s="11" t="str">
        <f>CONCATENATE("          ","5042"," - ","PURCHASES @ COST-EVERYDAY GIFT")</f>
        <v xml:space="preserve">          5042 - PURCHASES @ COST-EVERYDAY GIFT</v>
      </c>
      <c r="C22" s="23"/>
      <c r="D22" s="3"/>
      <c r="E22" s="3">
        <v>0</v>
      </c>
      <c r="F22" s="3"/>
      <c r="G22" s="3"/>
      <c r="H22" s="3"/>
      <c r="I22" s="3"/>
      <c r="J22" s="3"/>
      <c r="K22" s="3"/>
      <c r="L22" s="3"/>
      <c r="M22" s="3"/>
      <c r="N22" s="3"/>
      <c r="O22" s="3"/>
      <c r="Q22" s="3">
        <f>SUM(OSRRefD14_5x)+IFERROR(SUM(OSRRefE14_5x),0)</f>
        <v>0</v>
      </c>
    </row>
    <row r="23" spans="1:17" s="39" customFormat="1" ht="15" hidden="1" customHeight="1" outlineLevel="1" x14ac:dyDescent="0.3">
      <c r="A23" s="24"/>
      <c r="B23" s="11" t="str">
        <f>CONCATENATE("          ","5200"," - ","PURCHASES OFFSET")</f>
        <v xml:space="preserve">          5200 - PURCHASES OFFSET</v>
      </c>
      <c r="C23" s="23"/>
      <c r="D23" s="3"/>
      <c r="E23" s="3">
        <v>-13837.74</v>
      </c>
      <c r="F23" s="3">
        <v>-11589.14</v>
      </c>
      <c r="G23" s="3">
        <v>-22717.1</v>
      </c>
      <c r="H23" s="3">
        <v>-25192.57</v>
      </c>
      <c r="I23" s="3">
        <v>-9920.89</v>
      </c>
      <c r="J23" s="3">
        <v>-20077.689999999999</v>
      </c>
      <c r="K23" s="3">
        <v>-5459.01</v>
      </c>
      <c r="L23" s="3">
        <v>-22518.080000000002</v>
      </c>
      <c r="M23" s="3">
        <v>-18246.14</v>
      </c>
      <c r="N23" s="3"/>
      <c r="O23" s="3"/>
      <c r="Q23" s="3">
        <f>SUM(OSRRefD14_6x)+IFERROR(SUM(OSRRefE14_6x),0)</f>
        <v>-149558.35999999999</v>
      </c>
    </row>
    <row r="24" spans="1:17" s="39" customFormat="1" ht="15" hidden="1" customHeight="1" outlineLevel="1" x14ac:dyDescent="0.3">
      <c r="A24" s="24"/>
      <c r="B24" s="11" t="str">
        <f>CONCATENATE("          ","5300"," - ","COG$ OFFSET")</f>
        <v xml:space="preserve">          5300 - COG$ OFFSET</v>
      </c>
      <c r="C24" s="23"/>
      <c r="D24" s="3"/>
      <c r="E24" s="3">
        <v>9685.56</v>
      </c>
      <c r="F24" s="3">
        <v>14774.61</v>
      </c>
      <c r="G24" s="3">
        <v>13841.29</v>
      </c>
      <c r="H24" s="3">
        <v>8191.56</v>
      </c>
      <c r="I24" s="3">
        <v>7098.52</v>
      </c>
      <c r="J24" s="3">
        <v>3646.95</v>
      </c>
      <c r="K24" s="3">
        <v>24480.45</v>
      </c>
      <c r="L24" s="3">
        <v>22858.06</v>
      </c>
      <c r="M24" s="3">
        <v>21695.61</v>
      </c>
      <c r="N24" s="3"/>
      <c r="O24" s="3"/>
      <c r="Q24" s="3">
        <f>SUM(OSRRefD14_7x)+IFERROR(SUM(OSRRefE14_7x),0)</f>
        <v>126272.60999999999</v>
      </c>
    </row>
    <row r="25" spans="1:17" s="39" customFormat="1" ht="15" hidden="1" customHeight="1" outlineLevel="1" x14ac:dyDescent="0.3">
      <c r="A25" s="24"/>
      <c r="B25" s="11" t="str">
        <f>CONCATENATE("          ","5500"," - ","FREIGHT-IN")</f>
        <v xml:space="preserve">          5500 - FREIGHT-IN</v>
      </c>
      <c r="C25" s="23"/>
      <c r="D25" s="3"/>
      <c r="E25" s="3">
        <v>142.44999999999999</v>
      </c>
      <c r="F25" s="3">
        <v>51.32</v>
      </c>
      <c r="G25" s="3">
        <v>558.46</v>
      </c>
      <c r="H25" s="3">
        <v>59.16</v>
      </c>
      <c r="I25" s="3">
        <v>178.08</v>
      </c>
      <c r="J25" s="3">
        <v>138.22999999999999</v>
      </c>
      <c r="K25" s="3"/>
      <c r="L25" s="3">
        <v>175.03</v>
      </c>
      <c r="M25" s="3">
        <v>60</v>
      </c>
      <c r="N25" s="3"/>
      <c r="O25" s="3"/>
      <c r="Q25" s="3">
        <f>SUM(OSRRefD14_8x)+IFERROR(SUM(OSRRefE14_8x),0)</f>
        <v>1362.73</v>
      </c>
    </row>
    <row r="26" spans="1:17" s="39" customFormat="1" ht="15" hidden="1" customHeight="1" outlineLevel="1" x14ac:dyDescent="0.3">
      <c r="A26" s="24"/>
      <c r="B26" s="11" t="str">
        <f>CONCATENATE("          ","5528"," - ","FREIGHT-IN-ART/TECH")</f>
        <v xml:space="preserve">          5528 - FREIGHT-IN-ART/TECH</v>
      </c>
      <c r="C26" s="23"/>
      <c r="D26" s="3"/>
      <c r="E26" s="3">
        <v>0</v>
      </c>
      <c r="F26" s="3">
        <v>0</v>
      </c>
      <c r="G26" s="3"/>
      <c r="H26" s="3"/>
      <c r="I26" s="3"/>
      <c r="J26" s="3"/>
      <c r="K26" s="3"/>
      <c r="L26" s="3"/>
      <c r="M26" s="3"/>
      <c r="N26" s="3"/>
      <c r="O26" s="3"/>
      <c r="Q26" s="3">
        <f>SUM(OSRRefD14_9x)+IFERROR(SUM(OSRRefE14_9x),0)</f>
        <v>0</v>
      </c>
    </row>
    <row r="27" spans="1:17" ht="15" customHeight="1" x14ac:dyDescent="0.3">
      <c r="A27" s="6"/>
      <c r="B27" s="7"/>
      <c r="C27" s="7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Q27" s="4"/>
    </row>
    <row r="28" spans="1:17" s="37" customFormat="1" ht="15" customHeight="1" x14ac:dyDescent="0.3">
      <c r="A28" s="7"/>
      <c r="B28" s="18" t="s">
        <v>285</v>
      </c>
      <c r="C28" s="18"/>
      <c r="D28" s="9">
        <f t="shared" ref="D28:O28" si="0">IFERROR(+D10-D16,0)</f>
        <v>0</v>
      </c>
      <c r="E28" s="9">
        <f t="shared" si="0"/>
        <v>6828.98</v>
      </c>
      <c r="F28" s="9">
        <f t="shared" si="0"/>
        <v>10886.160000000003</v>
      </c>
      <c r="G28" s="9">
        <f t="shared" si="0"/>
        <v>11525.739999999998</v>
      </c>
      <c r="H28" s="9">
        <f t="shared" si="0"/>
        <v>6593.170000000001</v>
      </c>
      <c r="I28" s="9">
        <f t="shared" si="0"/>
        <v>4502.7299999999996</v>
      </c>
      <c r="J28" s="9">
        <f t="shared" si="0"/>
        <v>2360.5099999999998</v>
      </c>
      <c r="K28" s="9">
        <f t="shared" si="0"/>
        <v>19308.009999999998</v>
      </c>
      <c r="L28" s="9">
        <f t="shared" si="0"/>
        <v>19615.949999999997</v>
      </c>
      <c r="M28" s="9">
        <f t="shared" si="0"/>
        <v>18805.990000000005</v>
      </c>
      <c r="N28" s="9">
        <f t="shared" si="0"/>
        <v>6346</v>
      </c>
      <c r="O28" s="9">
        <f t="shared" si="0"/>
        <v>438</v>
      </c>
      <c r="Q28" s="9">
        <f>IFERROR(+Q10-Q16,0)</f>
        <v>107211.23999999999</v>
      </c>
    </row>
    <row r="29" spans="1:17" s="38" customFormat="1" ht="15" customHeight="1" x14ac:dyDescent="0.3">
      <c r="B29" s="17"/>
      <c r="C29" s="17"/>
      <c r="D29" s="5">
        <f t="shared" ref="D29:O29" si="1">IFERROR(D28/D10,0)</f>
        <v>0</v>
      </c>
      <c r="E29" s="5">
        <f t="shared" si="1"/>
        <v>0.41351318292849809</v>
      </c>
      <c r="F29" s="5">
        <f t="shared" si="1"/>
        <v>0.42423356742607499</v>
      </c>
      <c r="G29" s="5">
        <f t="shared" si="1"/>
        <v>0.4543590637138048</v>
      </c>
      <c r="H29" s="5">
        <f t="shared" si="1"/>
        <v>0.44594456577834024</v>
      </c>
      <c r="I29" s="5">
        <f t="shared" si="1"/>
        <v>0.3881245555435836</v>
      </c>
      <c r="J29" s="5">
        <f t="shared" si="1"/>
        <v>0.39292979062698707</v>
      </c>
      <c r="K29" s="5">
        <f t="shared" si="1"/>
        <v>0.44093832027890451</v>
      </c>
      <c r="L29" s="5">
        <f t="shared" si="1"/>
        <v>0.46183418989636249</v>
      </c>
      <c r="M29" s="5">
        <f t="shared" si="1"/>
        <v>0.46432708831256053</v>
      </c>
      <c r="N29" s="5">
        <f t="shared" si="1"/>
        <v>0.47539141508727245</v>
      </c>
      <c r="O29" s="5">
        <f t="shared" si="1"/>
        <v>0.34379905808477235</v>
      </c>
      <c r="P29" s="19"/>
      <c r="Q29" s="5">
        <f>IFERROR(Q28/Q10,0)</f>
        <v>0.44426476813115701</v>
      </c>
    </row>
    <row r="30" spans="1:17" ht="15" customHeight="1" x14ac:dyDescent="0.3">
      <c r="A30" s="6"/>
      <c r="B30" s="7"/>
      <c r="C30" s="6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Q30" s="2"/>
    </row>
    <row r="31" spans="1:17" s="37" customFormat="1" ht="15" customHeight="1" x14ac:dyDescent="0.3">
      <c r="A31" s="7"/>
      <c r="B31" s="17" t="s">
        <v>286</v>
      </c>
      <c r="C31" s="7"/>
      <c r="D31" s="12" cm="1">
        <f t="array" ref="D31">SUM(OSRRefD20x_0)</f>
        <v>763</v>
      </c>
      <c r="E31" s="12" cm="1">
        <f t="array" ref="E31">SUM(OSRRefD20x_1)</f>
        <v>3490.5</v>
      </c>
      <c r="F31" s="12" cm="1">
        <f t="array" ref="F31">SUM(OSRRefD20x_2)</f>
        <v>1344.8000000000002</v>
      </c>
      <c r="G31" s="12" cm="1">
        <f t="array" ref="G31">SUM(OSRRefD20x_3)</f>
        <v>8618.59</v>
      </c>
      <c r="H31" s="12" cm="1">
        <f t="array" ref="H31">SUM(OSRRefD20x_4)</f>
        <v>6777.83</v>
      </c>
      <c r="I31" s="12" cm="1">
        <f t="array" ref="I31">SUM(OSRRefD20x_5)</f>
        <v>6524.0100000000011</v>
      </c>
      <c r="J31" s="12" cm="1">
        <f t="array" ref="J31">SUM(OSRRefD20x_6)</f>
        <v>6605.99</v>
      </c>
      <c r="K31" s="12" cm="1">
        <f t="array" ref="K31">SUM(OSRRefD20x_7)</f>
        <v>7086.5800000000008</v>
      </c>
      <c r="L31" s="12" cm="1">
        <f t="array" ref="L31">SUM(OSRRefD20x_8)</f>
        <v>7957.9999999999991</v>
      </c>
      <c r="M31" s="12" cm="1">
        <f t="array" ref="M31">SUM(OSRRefD20x_9)</f>
        <v>10679.669999999998</v>
      </c>
      <c r="N31" s="12" cm="1">
        <f t="array" ref="N31">SUM(OSRRefE20x_0)</f>
        <v>10322.848692</v>
      </c>
      <c r="O31" s="12" cm="1">
        <f t="array" ref="O31">SUM(OSRRefE20x_1)</f>
        <v>10616.186454000001</v>
      </c>
      <c r="Q31" s="12" cm="1">
        <f t="array" ref="Q31">SUM(OSRRefG20x)</f>
        <v>80788.00514600001</v>
      </c>
    </row>
    <row r="32" spans="1:17" s="42" customFormat="1" ht="15" customHeight="1" collapsed="1" x14ac:dyDescent="0.3">
      <c r="A32" s="34"/>
      <c r="B32" s="15" t="str">
        <f>CONCATENATE("     ","*Benefits                                         ")</f>
        <v xml:space="preserve">     *Benefits                                         </v>
      </c>
      <c r="C32" s="15"/>
      <c r="D32" s="2">
        <f>SUM(OSRRefD21_0x_0)</f>
        <v>0</v>
      </c>
      <c r="E32" s="2">
        <f>SUM(OSRRefD21_0x_1)</f>
        <v>0</v>
      </c>
      <c r="F32" s="2">
        <f>SUM(OSRRefD21_0x_2)</f>
        <v>0</v>
      </c>
      <c r="G32" s="2">
        <f>SUM(OSRRefD21_0x_3)</f>
        <v>130.36000000000001</v>
      </c>
      <c r="H32" s="2">
        <f>SUM(OSRRefD21_0x_4)</f>
        <v>95.39</v>
      </c>
      <c r="I32" s="2">
        <f>SUM(OSRRefD21_0x_5)</f>
        <v>153.04999999999998</v>
      </c>
      <c r="J32" s="2">
        <f>SUM(OSRRefD21_0x_6)</f>
        <v>113.92</v>
      </c>
      <c r="K32" s="2">
        <f>SUM(OSRRefD21_0x_7)</f>
        <v>161.65</v>
      </c>
      <c r="L32" s="2">
        <f>SUM(OSRRefD21_0x_8)</f>
        <v>265.07000000000005</v>
      </c>
      <c r="M32" s="2">
        <f>SUM(OSRRefD21_0x_9)</f>
        <v>598.40000000000009</v>
      </c>
      <c r="N32" s="2">
        <f>SUM(OSRRefE21_0x_0)</f>
        <v>613.76869199999999</v>
      </c>
      <c r="O32" s="2">
        <f>SUM(OSRRefE21_0x_1)</f>
        <v>1123.106454</v>
      </c>
      <c r="Q32" s="3">
        <f>SUM(OSRRefD20_0x)+IFERROR(SUM(OSRRefE20_0x),0)</f>
        <v>3254.715146</v>
      </c>
    </row>
    <row r="33" spans="1:17" s="42" customFormat="1" ht="15" hidden="1" customHeight="1" outlineLevel="1" x14ac:dyDescent="0.3">
      <c r="A33" s="34"/>
      <c r="B33" s="11" t="str">
        <f>CONCATENATE("          ","6111"," - ","F.I.C.A.")</f>
        <v xml:space="preserve">          6111 - F.I.C.A.</v>
      </c>
      <c r="C33" s="15"/>
      <c r="D33" s="3"/>
      <c r="E33" s="3"/>
      <c r="F33" s="3"/>
      <c r="G33" s="3">
        <v>10.31</v>
      </c>
      <c r="H33" s="3"/>
      <c r="I33" s="3">
        <v>59.97</v>
      </c>
      <c r="J33" s="3">
        <v>43.64</v>
      </c>
      <c r="K33" s="3">
        <v>72.290000000000006</v>
      </c>
      <c r="L33" s="3">
        <v>156.9</v>
      </c>
      <c r="M33" s="3">
        <v>293.87</v>
      </c>
      <c r="N33" s="3">
        <v>157.223232</v>
      </c>
      <c r="O33" s="3">
        <v>666.56099400000005</v>
      </c>
      <c r="P33" s="10"/>
      <c r="Q33" s="3">
        <f>SUM(OSRRefD21_0_0x)+IFERROR(SUM(OSRRefE21_0_0x),0)</f>
        <v>1460.764226</v>
      </c>
    </row>
    <row r="34" spans="1:17" s="42" customFormat="1" ht="15" hidden="1" customHeight="1" outlineLevel="1" x14ac:dyDescent="0.3">
      <c r="A34" s="34"/>
      <c r="B34" s="11" t="str">
        <f>CONCATENATE("          ","6112"," - ","COMPENSATION INSURANCE")</f>
        <v xml:space="preserve">          6112 - COMPENSATION INSURANCE</v>
      </c>
      <c r="C34" s="15"/>
      <c r="D34" s="3"/>
      <c r="E34" s="3"/>
      <c r="F34" s="3"/>
      <c r="G34" s="3">
        <v>102.11</v>
      </c>
      <c r="H34" s="3">
        <v>81.14</v>
      </c>
      <c r="I34" s="3">
        <v>79.17</v>
      </c>
      <c r="J34" s="3">
        <v>59.78</v>
      </c>
      <c r="K34" s="3">
        <v>76.010000000000005</v>
      </c>
      <c r="L34" s="3">
        <v>92.01</v>
      </c>
      <c r="M34" s="3">
        <v>94.67</v>
      </c>
      <c r="N34" s="3">
        <v>135.87288000000001</v>
      </c>
      <c r="O34" s="3">
        <v>135.87288000000001</v>
      </c>
      <c r="P34" s="10"/>
      <c r="Q34" s="3">
        <f>SUM(OSRRefD21_0_1x)+IFERROR(SUM(OSRRefE21_0_1x),0)</f>
        <v>856.63576</v>
      </c>
    </row>
    <row r="35" spans="1:17" s="42" customFormat="1" ht="15" hidden="1" customHeight="1" outlineLevel="1" x14ac:dyDescent="0.3">
      <c r="A35" s="34"/>
      <c r="B35" s="11" t="str">
        <f>CONCATENATE("          ","6113"," - ","GROUP INSURANCE")</f>
        <v xml:space="preserve">          6113 - GROUP INSURANCE</v>
      </c>
      <c r="C35" s="15"/>
      <c r="D35" s="3"/>
      <c r="E35" s="3"/>
      <c r="F35" s="3"/>
      <c r="G35" s="3"/>
      <c r="H35" s="3"/>
      <c r="I35" s="3"/>
      <c r="J35" s="3"/>
      <c r="K35" s="3"/>
      <c r="L35" s="3"/>
      <c r="M35" s="3"/>
      <c r="N35" s="3">
        <v>0</v>
      </c>
      <c r="O35" s="3">
        <v>0</v>
      </c>
      <c r="P35" s="10"/>
      <c r="Q35" s="3">
        <f>SUM(OSRRefD21_0_2x)+IFERROR(SUM(OSRRefE21_0_2x),0)</f>
        <v>0</v>
      </c>
    </row>
    <row r="36" spans="1:17" s="42" customFormat="1" ht="15" hidden="1" customHeight="1" outlineLevel="1" x14ac:dyDescent="0.3">
      <c r="A36" s="34"/>
      <c r="B36" s="11" t="str">
        <f>CONCATENATE("          ","6114"," - ","STATE UNEMPLOYMENT INSURANCE")</f>
        <v xml:space="preserve">          6114 - STATE UNEMPLOYMENT INSURANCE</v>
      </c>
      <c r="C36" s="15"/>
      <c r="D36" s="3"/>
      <c r="E36" s="3"/>
      <c r="F36" s="3"/>
      <c r="G36" s="3">
        <v>17.940000000000001</v>
      </c>
      <c r="H36" s="3">
        <v>14.25</v>
      </c>
      <c r="I36" s="3">
        <v>13.91</v>
      </c>
      <c r="J36" s="3">
        <v>10.5</v>
      </c>
      <c r="K36" s="3">
        <v>13.35</v>
      </c>
      <c r="L36" s="3">
        <v>16.16</v>
      </c>
      <c r="M36" s="3">
        <v>16.63</v>
      </c>
      <c r="N36" s="3">
        <v>18.290579999999999</v>
      </c>
      <c r="O36" s="3">
        <v>18.290579999999999</v>
      </c>
      <c r="P36" s="10"/>
      <c r="Q36" s="3">
        <f>SUM(OSRRefD21_0_3x)+IFERROR(SUM(OSRRefE21_0_3x),0)</f>
        <v>139.32115999999996</v>
      </c>
    </row>
    <row r="37" spans="1:17" s="42" customFormat="1" ht="15" hidden="1" customHeight="1" outlineLevel="1" x14ac:dyDescent="0.3">
      <c r="A37" s="34"/>
      <c r="B37" s="11" t="str">
        <f>CONCATENATE("          ","6115"," - ","P.E.R.S.")</f>
        <v xml:space="preserve">          6115 - P.E.R.S.</v>
      </c>
      <c r="C37" s="15"/>
      <c r="D37" s="3"/>
      <c r="E37" s="3"/>
      <c r="F37" s="3"/>
      <c r="G37" s="3"/>
      <c r="H37" s="3"/>
      <c r="I37" s="3"/>
      <c r="J37" s="3"/>
      <c r="K37" s="3"/>
      <c r="L37" s="3"/>
      <c r="M37" s="3"/>
      <c r="N37" s="3">
        <v>0</v>
      </c>
      <c r="O37" s="3">
        <v>0</v>
      </c>
      <c r="P37" s="10"/>
      <c r="Q37" s="3">
        <f>SUM(OSRRefD21_0_4x)+IFERROR(SUM(OSRRefE21_0_4x),0)</f>
        <v>0</v>
      </c>
    </row>
    <row r="38" spans="1:17" s="42" customFormat="1" ht="15" hidden="1" customHeight="1" outlineLevel="1" x14ac:dyDescent="0.3">
      <c r="A38" s="34"/>
      <c r="B38" s="11" t="str">
        <f>CONCATENATE("          ","6116"," - ","EDUCATIONAL BENEFITS")</f>
        <v xml:space="preserve">          6116 - EDUCATIONAL BENEFITS</v>
      </c>
      <c r="C38" s="15"/>
      <c r="D38" s="3"/>
      <c r="E38" s="3"/>
      <c r="F38" s="3"/>
      <c r="G38" s="3"/>
      <c r="H38" s="3"/>
      <c r="I38" s="3"/>
      <c r="J38" s="3"/>
      <c r="K38" s="3"/>
      <c r="L38" s="3"/>
      <c r="M38" s="3"/>
      <c r="N38" s="3">
        <v>0</v>
      </c>
      <c r="O38" s="3">
        <v>0</v>
      </c>
      <c r="P38" s="10"/>
      <c r="Q38" s="3">
        <f>SUM(OSRRefD21_0_5x)+IFERROR(SUM(OSRRefE21_0_5x),0)</f>
        <v>0</v>
      </c>
    </row>
    <row r="39" spans="1:17" s="42" customFormat="1" ht="15" hidden="1" customHeight="1" outlineLevel="1" x14ac:dyDescent="0.3">
      <c r="A39" s="34"/>
      <c r="B39" s="11" t="str">
        <f>CONCATENATE("          ","6118"," - ","VACATION")</f>
        <v xml:space="preserve">          6118 - VACATION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>
        <v>73.92</v>
      </c>
      <c r="N39" s="3">
        <v>0</v>
      </c>
      <c r="O39" s="3">
        <v>0</v>
      </c>
      <c r="P39" s="10"/>
      <c r="Q39" s="3">
        <f>SUM(OSRRefD21_0_6x)+IFERROR(SUM(OSRRefE21_0_6x),0)</f>
        <v>73.92</v>
      </c>
    </row>
    <row r="40" spans="1:17" s="42" customFormat="1" ht="15" hidden="1" customHeight="1" outlineLevel="1" x14ac:dyDescent="0.3">
      <c r="A40" s="34"/>
      <c r="B40" s="11" t="str">
        <f>CONCATENATE("          ","6119"," - ","SICK LEAVE")</f>
        <v xml:space="preserve">          6119 - SICK LEAVE</v>
      </c>
      <c r="C40" s="15"/>
      <c r="D40" s="3"/>
      <c r="E40" s="3"/>
      <c r="F40" s="3"/>
      <c r="G40" s="3"/>
      <c r="H40" s="3"/>
      <c r="I40" s="3"/>
      <c r="J40" s="3"/>
      <c r="K40" s="3"/>
      <c r="L40" s="3"/>
      <c r="M40" s="3">
        <v>88.56</v>
      </c>
      <c r="N40" s="3">
        <v>302.38200000000001</v>
      </c>
      <c r="O40" s="3">
        <v>302.38200000000001</v>
      </c>
      <c r="P40" s="10"/>
      <c r="Q40" s="3">
        <f>SUM(OSRRefD21_0_7x)+IFERROR(SUM(OSRRefE21_0_7x),0)</f>
        <v>693.32400000000007</v>
      </c>
    </row>
    <row r="41" spans="1:17" s="42" customFormat="1" ht="15" hidden="1" customHeight="1" outlineLevel="1" x14ac:dyDescent="0.3">
      <c r="A41" s="34"/>
      <c r="B41" s="11" t="str">
        <f>CONCATENATE("          ","6156"," - ","EMPLOYEE MEALS")</f>
        <v xml:space="preserve">          6156 - EMPLOYEE MEALS</v>
      </c>
      <c r="C41" s="15"/>
      <c r="D41" s="3"/>
      <c r="E41" s="3"/>
      <c r="F41" s="3"/>
      <c r="G41" s="3"/>
      <c r="H41" s="3"/>
      <c r="I41" s="3"/>
      <c r="J41" s="3"/>
      <c r="K41" s="3"/>
      <c r="L41" s="3"/>
      <c r="M41" s="3">
        <v>30.75</v>
      </c>
      <c r="N41" s="3"/>
      <c r="O41" s="3"/>
      <c r="P41" s="10"/>
      <c r="Q41" s="3">
        <f>SUM(OSRRefD21_0_8x)+IFERROR(SUM(OSRRefE21_0_8x),0)</f>
        <v>30.75</v>
      </c>
    </row>
    <row r="42" spans="1:17" s="42" customFormat="1" ht="15" customHeight="1" collapsed="1" x14ac:dyDescent="0.3">
      <c r="A42" s="34"/>
      <c r="B42" s="15" t="str">
        <f>CONCATENATE("     ","*Payroll                                          ")</f>
        <v xml:space="preserve">     *Payroll                                          </v>
      </c>
      <c r="C42" s="15"/>
      <c r="D42" s="2">
        <f>SUM(OSRRefD21_1x_0)</f>
        <v>0</v>
      </c>
      <c r="E42" s="2">
        <f>SUM(OSRRefD21_1x_1)</f>
        <v>0</v>
      </c>
      <c r="F42" s="2">
        <f>SUM(OSRRefD21_1x_2)</f>
        <v>0</v>
      </c>
      <c r="G42" s="2">
        <f>SUM(OSRRefD21_1x_3)</f>
        <v>5956.91</v>
      </c>
      <c r="H42" s="2">
        <f>SUM(OSRRefD21_1x_4)</f>
        <v>4766.68</v>
      </c>
      <c r="I42" s="2">
        <f>SUM(OSRRefD21_1x_5)</f>
        <v>5071.58</v>
      </c>
      <c r="J42" s="2">
        <f>SUM(OSRRefD21_1x_6)</f>
        <v>5010.21</v>
      </c>
      <c r="K42" s="2">
        <f>SUM(OSRRefD21_1x_7)</f>
        <v>5987.2400000000007</v>
      </c>
      <c r="L42" s="2">
        <f>SUM(OSRRefD21_1x_8)</f>
        <v>6083.2</v>
      </c>
      <c r="M42" s="2">
        <f>SUM(OSRRefD21_1x_9)</f>
        <v>8302.7900000000009</v>
      </c>
      <c r="N42" s="2">
        <f>SUM(OSRRefE21_1x_0)</f>
        <v>8607.08</v>
      </c>
      <c r="O42" s="2">
        <f>SUM(OSRRefE21_1x_1)</f>
        <v>8607.08</v>
      </c>
      <c r="Q42" s="3">
        <f>SUM(OSRRefD20_1x)+IFERROR(SUM(OSRRefE20_1x),0)</f>
        <v>58392.770000000004</v>
      </c>
    </row>
    <row r="43" spans="1:17" s="42" customFormat="1" ht="15" hidden="1" customHeight="1" outlineLevel="1" x14ac:dyDescent="0.3">
      <c r="A43" s="34"/>
      <c r="B43" s="11" t="str">
        <f>CONCATENATE("          ","6001"," - ","ADMINISTRATIVE SALARIES")</f>
        <v xml:space="preserve">          6001 - ADMINISTRATIVE SALARIES</v>
      </c>
      <c r="C43" s="15"/>
      <c r="D43" s="3"/>
      <c r="E43" s="3"/>
      <c r="F43" s="3"/>
      <c r="G43" s="3"/>
      <c r="H43" s="3"/>
      <c r="I43" s="3"/>
      <c r="J43" s="3"/>
      <c r="K43" s="3"/>
      <c r="L43" s="3"/>
      <c r="M43" s="3"/>
      <c r="N43" s="3">
        <v>0</v>
      </c>
      <c r="O43" s="3">
        <v>0</v>
      </c>
      <c r="P43" s="10"/>
      <c r="Q43" s="3">
        <f>SUM(OSRRefD21_1_0x)+IFERROR(SUM(OSRRefE21_1_0x),0)</f>
        <v>0</v>
      </c>
    </row>
    <row r="44" spans="1:17" s="42" customFormat="1" ht="15" hidden="1" customHeight="1" outlineLevel="1" x14ac:dyDescent="0.3">
      <c r="A44" s="34"/>
      <c r="B44" s="11" t="str">
        <f>CONCATENATE("          ","6002"," - ","STAFF SALARIES")</f>
        <v xml:space="preserve">          6002 - STAFF SALARIES</v>
      </c>
      <c r="C44" s="15"/>
      <c r="D44" s="3"/>
      <c r="E44" s="3"/>
      <c r="F44" s="3"/>
      <c r="G44" s="3"/>
      <c r="H44" s="3"/>
      <c r="I44" s="3"/>
      <c r="J44" s="3"/>
      <c r="K44" s="3"/>
      <c r="L44" s="3"/>
      <c r="M44" s="3"/>
      <c r="N44" s="3">
        <v>0</v>
      </c>
      <c r="O44" s="3">
        <v>0</v>
      </c>
      <c r="P44" s="10"/>
      <c r="Q44" s="3">
        <f>SUM(OSRRefD21_1_1x)+IFERROR(SUM(OSRRefE21_1_1x),0)</f>
        <v>0</v>
      </c>
    </row>
    <row r="45" spans="1:17" s="42" customFormat="1" ht="15" hidden="1" customHeight="1" outlineLevel="1" x14ac:dyDescent="0.3">
      <c r="A45" s="34"/>
      <c r="B45" s="11" t="str">
        <f>CONCATENATE("          ","6003"," - ","STAFF HOURLY-9 MONTH")</f>
        <v xml:space="preserve">          6003 - STAFF HOURLY-9 MONTH</v>
      </c>
      <c r="C45" s="15"/>
      <c r="D45" s="3"/>
      <c r="E45" s="3"/>
      <c r="F45" s="3"/>
      <c r="G45" s="3"/>
      <c r="H45" s="3"/>
      <c r="I45" s="3"/>
      <c r="J45" s="3"/>
      <c r="K45" s="3"/>
      <c r="L45" s="3"/>
      <c r="M45" s="3"/>
      <c r="N45" s="3">
        <v>0</v>
      </c>
      <c r="O45" s="3">
        <v>0</v>
      </c>
      <c r="P45" s="10"/>
      <c r="Q45" s="3">
        <f>SUM(OSRRefD21_1_2x)+IFERROR(SUM(OSRRefE21_1_2x),0)</f>
        <v>0</v>
      </c>
    </row>
    <row r="46" spans="1:17" s="42" customFormat="1" ht="15" hidden="1" customHeight="1" outlineLevel="1" x14ac:dyDescent="0.3">
      <c r="A46" s="34"/>
      <c r="B46" s="11" t="str">
        <f>CONCATENATE("          ","6004"," - ","STAFF HOURLY")</f>
        <v xml:space="preserve">          6004 - STAFF HOURLY</v>
      </c>
      <c r="C46" s="15"/>
      <c r="D46" s="3"/>
      <c r="E46" s="3"/>
      <c r="F46" s="3"/>
      <c r="G46" s="3"/>
      <c r="H46" s="3"/>
      <c r="I46" s="3">
        <v>783.61</v>
      </c>
      <c r="J46" s="3"/>
      <c r="K46" s="3"/>
      <c r="L46" s="3"/>
      <c r="M46" s="3">
        <v>1733.88</v>
      </c>
      <c r="N46" s="3">
        <v>1951.68</v>
      </c>
      <c r="O46" s="3">
        <v>1951.68</v>
      </c>
      <c r="P46" s="10"/>
      <c r="Q46" s="3">
        <f>SUM(OSRRefD21_1_3x)+IFERROR(SUM(OSRRefE21_1_3x),0)</f>
        <v>6420.85</v>
      </c>
    </row>
    <row r="47" spans="1:17" s="42" customFormat="1" ht="15" hidden="1" customHeight="1" outlineLevel="1" x14ac:dyDescent="0.3">
      <c r="A47" s="34"/>
      <c r="B47" s="11" t="str">
        <f>CONCATENATE("          ","6005"," - ","TEMPORARY WAGES-HOURLY")</f>
        <v xml:space="preserve">          6005 - TEMPORARY WAGES-HOURLY</v>
      </c>
      <c r="C47" s="15"/>
      <c r="D47" s="3"/>
      <c r="E47" s="3"/>
      <c r="F47" s="3"/>
      <c r="G47" s="3">
        <v>134.81</v>
      </c>
      <c r="H47" s="3"/>
      <c r="I47" s="3"/>
      <c r="J47" s="3">
        <v>570.53</v>
      </c>
      <c r="K47" s="3">
        <v>1465</v>
      </c>
      <c r="L47" s="3">
        <v>1530.97</v>
      </c>
      <c r="M47" s="3">
        <v>2107.63</v>
      </c>
      <c r="N47" s="3">
        <v>0</v>
      </c>
      <c r="O47" s="3">
        <v>0</v>
      </c>
      <c r="P47" s="10"/>
      <c r="Q47" s="3">
        <f>SUM(OSRRefD21_1_4x)+IFERROR(SUM(OSRRefE21_1_4x),0)</f>
        <v>5808.9400000000005</v>
      </c>
    </row>
    <row r="48" spans="1:17" s="42" customFormat="1" ht="15" hidden="1" customHeight="1" outlineLevel="1" x14ac:dyDescent="0.3">
      <c r="A48" s="34"/>
      <c r="B48" s="11" t="str">
        <f>CONCATENATE("          ","6006"," - ","TEMPORARY PART TIME")</f>
        <v xml:space="preserve">          6006 - TEMPORARY PART TIME</v>
      </c>
      <c r="C48" s="15"/>
      <c r="D48" s="3"/>
      <c r="E48" s="3"/>
      <c r="F48" s="3"/>
      <c r="G48" s="3"/>
      <c r="H48" s="3"/>
      <c r="I48" s="3"/>
      <c r="J48" s="3"/>
      <c r="K48" s="3"/>
      <c r="L48" s="3"/>
      <c r="M48" s="3"/>
      <c r="N48" s="3">
        <v>0</v>
      </c>
      <c r="O48" s="3">
        <v>0</v>
      </c>
      <c r="P48" s="10"/>
      <c r="Q48" s="3">
        <f>SUM(OSRRefD21_1_5x)+IFERROR(SUM(OSRRefE21_1_5x),0)</f>
        <v>0</v>
      </c>
    </row>
    <row r="49" spans="1:17" s="42" customFormat="1" ht="15" hidden="1" customHeight="1" outlineLevel="1" x14ac:dyDescent="0.3">
      <c r="A49" s="34"/>
      <c r="B49" s="11" t="str">
        <f>CONCATENATE("          ","6007"," - ","STUDENT HOURLY")</f>
        <v xml:space="preserve">          6007 - STUDENT HOURLY</v>
      </c>
      <c r="C49" s="15"/>
      <c r="D49" s="3"/>
      <c r="E49" s="3"/>
      <c r="F49" s="3"/>
      <c r="G49" s="3">
        <v>5003.49</v>
      </c>
      <c r="H49" s="3">
        <v>3684.6</v>
      </c>
      <c r="I49" s="3">
        <v>3436.96</v>
      </c>
      <c r="J49" s="3">
        <v>3728</v>
      </c>
      <c r="K49" s="3">
        <v>3098.52</v>
      </c>
      <c r="L49" s="3">
        <v>3964.7</v>
      </c>
      <c r="M49" s="3">
        <v>3733.01</v>
      </c>
      <c r="N49" s="3">
        <v>0</v>
      </c>
      <c r="O49" s="3">
        <v>6655.4</v>
      </c>
      <c r="P49" s="10"/>
      <c r="Q49" s="3">
        <f>SUM(OSRRefD21_1_6x)+IFERROR(SUM(OSRRefE21_1_6x),0)</f>
        <v>33304.68</v>
      </c>
    </row>
    <row r="50" spans="1:17" s="42" customFormat="1" ht="15" hidden="1" customHeight="1" outlineLevel="1" x14ac:dyDescent="0.3">
      <c r="A50" s="34"/>
      <c r="B50" s="11" t="str">
        <f>CONCATENATE("          ","6008"," - ","STUDENT HOURLY-FICA EXEMPT")</f>
        <v xml:space="preserve">          6008 - STUDENT HOURLY-FICA EXEMPT</v>
      </c>
      <c r="C50" s="15"/>
      <c r="D50" s="3"/>
      <c r="E50" s="3"/>
      <c r="F50" s="3"/>
      <c r="G50" s="3">
        <v>818.61</v>
      </c>
      <c r="H50" s="3">
        <v>1082.08</v>
      </c>
      <c r="I50" s="3">
        <v>851.01</v>
      </c>
      <c r="J50" s="3">
        <v>711.68</v>
      </c>
      <c r="K50" s="3">
        <v>1423.72</v>
      </c>
      <c r="L50" s="3">
        <v>587.53</v>
      </c>
      <c r="M50" s="3">
        <v>728.27</v>
      </c>
      <c r="N50" s="3">
        <v>6655.4</v>
      </c>
      <c r="O50" s="3">
        <v>0</v>
      </c>
      <c r="P50" s="10"/>
      <c r="Q50" s="3">
        <f>SUM(OSRRefD21_1_7x)+IFERROR(SUM(OSRRefE21_1_7x),0)</f>
        <v>12858.3</v>
      </c>
    </row>
    <row r="51" spans="1:17" s="42" customFormat="1" ht="15" hidden="1" customHeight="1" outlineLevel="1" x14ac:dyDescent="0.3">
      <c r="A51" s="34"/>
      <c r="B51" s="11" t="str">
        <f>CONCATENATE("          ","6009"," - ","TEMPORARY-SEASONAL")</f>
        <v xml:space="preserve">          6009 - TEMPORARY-SEASONAL</v>
      </c>
      <c r="C51" s="15"/>
      <c r="D51" s="3"/>
      <c r="E51" s="3"/>
      <c r="F51" s="3"/>
      <c r="G51" s="3"/>
      <c r="H51" s="3"/>
      <c r="I51" s="3"/>
      <c r="J51" s="3"/>
      <c r="K51" s="3"/>
      <c r="L51" s="3"/>
      <c r="M51" s="3"/>
      <c r="N51" s="3">
        <v>0</v>
      </c>
      <c r="O51" s="3">
        <v>0</v>
      </c>
      <c r="P51" s="10"/>
      <c r="Q51" s="3">
        <f>SUM(OSRRefD21_1_8x)+IFERROR(SUM(OSRRefE21_1_8x),0)</f>
        <v>0</v>
      </c>
    </row>
    <row r="52" spans="1:17" s="42" customFormat="1" ht="15" hidden="1" customHeight="1" outlineLevel="1" x14ac:dyDescent="0.3">
      <c r="A52" s="34"/>
      <c r="B52" s="11" t="str">
        <f>CONCATENATE("          ","6010"," - ","GRATUITY")</f>
        <v xml:space="preserve">          6010 - GRATUITY</v>
      </c>
      <c r="C52" s="15"/>
      <c r="D52" s="3"/>
      <c r="E52" s="3"/>
      <c r="F52" s="3"/>
      <c r="G52" s="3"/>
      <c r="H52" s="3"/>
      <c r="I52" s="3"/>
      <c r="J52" s="3"/>
      <c r="K52" s="3"/>
      <c r="L52" s="3"/>
      <c r="M52" s="3"/>
      <c r="N52" s="3">
        <v>0</v>
      </c>
      <c r="O52" s="3">
        <v>0</v>
      </c>
      <c r="P52" s="10"/>
      <c r="Q52" s="3">
        <f>SUM(OSRRefD21_1_9x)+IFERROR(SUM(OSRRefE21_1_9x),0)</f>
        <v>0</v>
      </c>
    </row>
    <row r="53" spans="1:17" s="42" customFormat="1" ht="15" customHeight="1" collapsed="1" x14ac:dyDescent="0.3">
      <c r="A53" s="34"/>
      <c r="B53" s="15" t="str">
        <f>CONCATENATE("     ","Advertising/Promo                                 ")</f>
        <v xml:space="preserve">     Advertising/Promo                                 </v>
      </c>
      <c r="C53" s="15"/>
      <c r="D53" s="2">
        <f>SUM(OSRRefD21_2x_0)</f>
        <v>100</v>
      </c>
      <c r="E53" s="2">
        <f>SUM(OSRRefD21_2x_1)</f>
        <v>35.28</v>
      </c>
      <c r="F53" s="2">
        <f>SUM(OSRRefD21_2x_2)</f>
        <v>17.64</v>
      </c>
      <c r="G53" s="2">
        <f>SUM(OSRRefD21_2x_3)</f>
        <v>15.88</v>
      </c>
      <c r="H53" s="2">
        <f>SUM(OSRRefD21_2x_4)</f>
        <v>1019.63</v>
      </c>
      <c r="I53" s="2">
        <f>SUM(OSRRefD21_2x_5)</f>
        <v>0</v>
      </c>
      <c r="J53" s="2">
        <f>SUM(OSRRefD21_2x_6)</f>
        <v>480.69</v>
      </c>
      <c r="K53" s="2">
        <f>SUM(OSRRefD21_2x_7)</f>
        <v>0</v>
      </c>
      <c r="L53" s="2">
        <f>SUM(OSRRefD21_2x_8)</f>
        <v>0</v>
      </c>
      <c r="M53" s="2">
        <f>SUM(OSRRefD21_2x_9)</f>
        <v>0</v>
      </c>
      <c r="N53" s="2">
        <f>SUM(OSRRefE21_2x_0)</f>
        <v>50</v>
      </c>
      <c r="O53" s="2">
        <f>SUM(OSRRefE21_2x_1)</f>
        <v>50</v>
      </c>
      <c r="Q53" s="3">
        <f>SUM(OSRRefD20_2x)+IFERROR(SUM(OSRRefE20_2x),0)</f>
        <v>1769.1200000000001</v>
      </c>
    </row>
    <row r="54" spans="1:17" s="42" customFormat="1" ht="15" hidden="1" customHeight="1" outlineLevel="1" x14ac:dyDescent="0.3">
      <c r="A54" s="34"/>
      <c r="B54" s="11" t="str">
        <f>CONCATENATE("          ","6362"," - ","ADVERTISING EXPENSE")</f>
        <v xml:space="preserve">          6362 - ADVERTISING EXPENSE</v>
      </c>
      <c r="C54" s="15"/>
      <c r="D54" s="3">
        <v>100</v>
      </c>
      <c r="E54" s="3">
        <v>35.28</v>
      </c>
      <c r="F54" s="3">
        <v>17.64</v>
      </c>
      <c r="G54" s="3">
        <v>15.88</v>
      </c>
      <c r="H54" s="3">
        <v>1019.63</v>
      </c>
      <c r="I54" s="3"/>
      <c r="J54" s="3">
        <v>480.69</v>
      </c>
      <c r="K54" s="3"/>
      <c r="L54" s="3"/>
      <c r="M54" s="3"/>
      <c r="N54" s="3">
        <v>50</v>
      </c>
      <c r="O54" s="3">
        <v>50</v>
      </c>
      <c r="P54" s="10"/>
      <c r="Q54" s="3">
        <f>SUM(OSRRefD21_2_0x)+IFERROR(SUM(OSRRefE21_2_0x),0)</f>
        <v>1769.1200000000001</v>
      </c>
    </row>
    <row r="55" spans="1:17" s="42" customFormat="1" ht="15" customHeight="1" collapsed="1" x14ac:dyDescent="0.3">
      <c r="A55" s="34"/>
      <c r="B55" s="15" t="str">
        <f>CONCATENATE("     ","Bad Debts/Over/Short                              ")</f>
        <v xml:space="preserve">     Bad Debts/Over/Short                              </v>
      </c>
      <c r="C55" s="15"/>
      <c r="D55" s="2">
        <f>SUM(OSRRefD21_3x_0)</f>
        <v>0</v>
      </c>
      <c r="E55" s="2">
        <f>SUM(OSRRefD21_3x_1)</f>
        <v>-1.66</v>
      </c>
      <c r="F55" s="2">
        <f>SUM(OSRRefD21_3x_2)</f>
        <v>-1.67</v>
      </c>
      <c r="G55" s="2">
        <f>SUM(OSRRefD21_3x_3)</f>
        <v>0.44</v>
      </c>
      <c r="H55" s="2">
        <f>SUM(OSRRefD21_3x_4)</f>
        <v>-0.57999999999999996</v>
      </c>
      <c r="I55" s="2">
        <f>SUM(OSRRefD21_3x_5)</f>
        <v>0.02</v>
      </c>
      <c r="J55" s="2">
        <f>SUM(OSRRefD21_3x_6)</f>
        <v>-4.8499999999999996</v>
      </c>
      <c r="K55" s="2">
        <f>SUM(OSRRefD21_3x_7)</f>
        <v>-0.37</v>
      </c>
      <c r="L55" s="2">
        <f>SUM(OSRRefD21_3x_8)</f>
        <v>-0.64</v>
      </c>
      <c r="M55" s="2">
        <f>SUM(OSRRefD21_3x_9)</f>
        <v>1.3</v>
      </c>
      <c r="N55" s="2">
        <f>SUM(OSRRefE21_3x_0)</f>
        <v>25</v>
      </c>
      <c r="O55" s="2">
        <f>SUM(OSRRefE21_3x_1)</f>
        <v>25</v>
      </c>
      <c r="Q55" s="3">
        <f>SUM(OSRRefD20_3x)+IFERROR(SUM(OSRRefE20_3x),0)</f>
        <v>41.99</v>
      </c>
    </row>
    <row r="56" spans="1:17" s="42" customFormat="1" ht="15" hidden="1" customHeight="1" outlineLevel="1" x14ac:dyDescent="0.3">
      <c r="A56" s="34"/>
      <c r="B56" s="11" t="str">
        <f>CONCATENATE("          ","6272"," - ","CASH (OVER/SHORT)")</f>
        <v xml:space="preserve">          6272 - CASH (OVER/SHORT)</v>
      </c>
      <c r="C56" s="15"/>
      <c r="D56" s="3"/>
      <c r="E56" s="3">
        <v>-1.66</v>
      </c>
      <c r="F56" s="3">
        <v>-1.67</v>
      </c>
      <c r="G56" s="3">
        <v>0.44</v>
      </c>
      <c r="H56" s="3">
        <v>-0.57999999999999996</v>
      </c>
      <c r="I56" s="3">
        <v>0.02</v>
      </c>
      <c r="J56" s="3">
        <v>-4.8499999999999996</v>
      </c>
      <c r="K56" s="3">
        <v>-0.37</v>
      </c>
      <c r="L56" s="3">
        <v>-0.64</v>
      </c>
      <c r="M56" s="3">
        <v>1.3</v>
      </c>
      <c r="N56" s="3">
        <v>25</v>
      </c>
      <c r="O56" s="3">
        <v>25</v>
      </c>
      <c r="P56" s="10"/>
      <c r="Q56" s="3">
        <f>SUM(OSRRefD21_3_0x)+IFERROR(SUM(OSRRefE21_3_0x),0)</f>
        <v>41.99</v>
      </c>
    </row>
    <row r="57" spans="1:17" s="42" customFormat="1" ht="15" customHeight="1" collapsed="1" x14ac:dyDescent="0.3">
      <c r="A57" s="34"/>
      <c r="B57" s="15" t="str">
        <f>CONCATENATE("     ","Bank/card Fees                                    ")</f>
        <v xml:space="preserve">     Bank/card Fees                                    </v>
      </c>
      <c r="C57" s="15"/>
      <c r="D57" s="2">
        <f>SUM(OSRRefD21_4x_0)</f>
        <v>0</v>
      </c>
      <c r="E57" s="2">
        <f>SUM(OSRRefD21_4x_1)</f>
        <v>0</v>
      </c>
      <c r="F57" s="2">
        <f>SUM(OSRRefD21_4x_2)</f>
        <v>0</v>
      </c>
      <c r="G57" s="2">
        <f>SUM(OSRRefD21_4x_3)</f>
        <v>0</v>
      </c>
      <c r="H57" s="2">
        <f>SUM(OSRRefD21_4x_4)</f>
        <v>0</v>
      </c>
      <c r="I57" s="2">
        <f>SUM(OSRRefD21_4x_5)</f>
        <v>0</v>
      </c>
      <c r="J57" s="2">
        <f>SUM(OSRRefD21_4x_6)</f>
        <v>0</v>
      </c>
      <c r="K57" s="2">
        <f>SUM(OSRRefD21_4x_7)</f>
        <v>0</v>
      </c>
      <c r="L57" s="2">
        <f>SUM(OSRRefD21_4x_8)</f>
        <v>0</v>
      </c>
      <c r="M57" s="2">
        <f>SUM(OSRRefD21_4x_9)</f>
        <v>0</v>
      </c>
      <c r="N57" s="2">
        <f>SUM(OSRRefE21_4x_0)</f>
        <v>242</v>
      </c>
      <c r="O57" s="2">
        <f>SUM(OSRRefE21_4x_1)</f>
        <v>26</v>
      </c>
      <c r="Q57" s="3">
        <f>SUM(OSRRefD20_4x)+IFERROR(SUM(OSRRefE20_4x),0)</f>
        <v>268</v>
      </c>
    </row>
    <row r="58" spans="1:17" s="42" customFormat="1" ht="15" hidden="1" customHeight="1" outlineLevel="1" x14ac:dyDescent="0.3">
      <c r="A58" s="34"/>
      <c r="B58" s="11" t="str">
        <f>CONCATENATE("          ","6381"," - ","BANK/CREDIT CARD FEES")</f>
        <v xml:space="preserve">          6381 - BANK/CREDIT CARD FEES</v>
      </c>
      <c r="C58" s="15"/>
      <c r="D58" s="3"/>
      <c r="E58" s="3"/>
      <c r="F58" s="3"/>
      <c r="G58" s="3"/>
      <c r="H58" s="3"/>
      <c r="I58" s="3"/>
      <c r="J58" s="3"/>
      <c r="K58" s="3"/>
      <c r="L58" s="3"/>
      <c r="M58" s="3"/>
      <c r="N58" s="3">
        <v>242</v>
      </c>
      <c r="O58" s="3">
        <v>26</v>
      </c>
      <c r="P58" s="10"/>
      <c r="Q58" s="3">
        <f>SUM(OSRRefD21_4_0x)+IFERROR(SUM(OSRRefE21_4_0x),0)</f>
        <v>268</v>
      </c>
    </row>
    <row r="59" spans="1:17" s="42" customFormat="1" ht="15" customHeight="1" collapsed="1" x14ac:dyDescent="0.3">
      <c r="A59" s="34"/>
      <c r="B59" s="15" t="str">
        <f>CONCATENATE("     ","Discounts and Markdowns                           ")</f>
        <v xml:space="preserve">     Discounts and Markdowns                           </v>
      </c>
      <c r="C59" s="15"/>
      <c r="D59" s="2">
        <f>SUM(OSRRefD21_5x_0)</f>
        <v>0</v>
      </c>
      <c r="E59" s="2">
        <f>SUM(OSRRefD21_5x_1)</f>
        <v>-69.38</v>
      </c>
      <c r="F59" s="2">
        <f>SUM(OSRRefD21_5x_2)</f>
        <v>69.38</v>
      </c>
      <c r="G59" s="2">
        <f>SUM(OSRRefD21_5x_3)</f>
        <v>-43.54</v>
      </c>
      <c r="H59" s="2">
        <f>SUM(OSRRefD21_5x_4)</f>
        <v>2.19</v>
      </c>
      <c r="I59" s="2">
        <f>SUM(OSRRefD21_5x_5)</f>
        <v>12.46</v>
      </c>
      <c r="J59" s="2">
        <f>SUM(OSRRefD21_5x_6)</f>
        <v>27.91</v>
      </c>
      <c r="K59" s="2">
        <f>SUM(OSRRefD21_5x_7)</f>
        <v>0.98</v>
      </c>
      <c r="L59" s="2">
        <f>SUM(OSRRefD21_5x_8)</f>
        <v>-0.67</v>
      </c>
      <c r="M59" s="2">
        <f>SUM(OSRRefD21_5x_9)</f>
        <v>-20.86</v>
      </c>
      <c r="N59" s="2">
        <f>SUM(OSRRefE21_5x_0)</f>
        <v>0</v>
      </c>
      <c r="O59" s="2">
        <f>SUM(OSRRefE21_5x_1)</f>
        <v>0</v>
      </c>
      <c r="Q59" s="3">
        <f>SUM(OSRRefD20_5x)+IFERROR(SUM(OSRRefE20_5x),0)</f>
        <v>-21.53</v>
      </c>
    </row>
    <row r="60" spans="1:17" s="42" customFormat="1" ht="15" hidden="1" customHeight="1" outlineLevel="1" x14ac:dyDescent="0.3">
      <c r="A60" s="34"/>
      <c r="B60" s="11" t="str">
        <f>CONCATENATE("          ","9175"," - ","EARNED DISCOUNTS")</f>
        <v xml:space="preserve">          9175 - EARNED DISCOUNTS</v>
      </c>
      <c r="C60" s="15"/>
      <c r="D60" s="3"/>
      <c r="E60" s="3">
        <v>-69.38</v>
      </c>
      <c r="F60" s="3">
        <v>69.38</v>
      </c>
      <c r="G60" s="3">
        <v>-43.54</v>
      </c>
      <c r="H60" s="3">
        <v>2.19</v>
      </c>
      <c r="I60" s="3">
        <v>12.46</v>
      </c>
      <c r="J60" s="3">
        <v>27.91</v>
      </c>
      <c r="K60" s="3">
        <v>0.98</v>
      </c>
      <c r="L60" s="3">
        <v>-0.67</v>
      </c>
      <c r="M60" s="3">
        <v>-20.86</v>
      </c>
      <c r="N60" s="3"/>
      <c r="O60" s="3"/>
      <c r="P60" s="10"/>
      <c r="Q60" s="3">
        <f>SUM(OSRRefD21_5_0x)+IFERROR(SUM(OSRRefE21_5_0x),0)</f>
        <v>-21.53</v>
      </c>
    </row>
    <row r="61" spans="1:17" s="42" customFormat="1" ht="15" customHeight="1" collapsed="1" x14ac:dyDescent="0.3">
      <c r="A61" s="34"/>
      <c r="B61" s="15" t="str">
        <f>CONCATENATE("     ","Freight out/Postage                               ")</f>
        <v xml:space="preserve">     Freight out/Postage                               </v>
      </c>
      <c r="C61" s="15"/>
      <c r="D61" s="2">
        <f>SUM(OSRRefD21_6x_0)</f>
        <v>0</v>
      </c>
      <c r="E61" s="2">
        <f>SUM(OSRRefD21_6x_1)</f>
        <v>20</v>
      </c>
      <c r="F61" s="2">
        <f>SUM(OSRRefD21_6x_2)</f>
        <v>34.5</v>
      </c>
      <c r="G61" s="2">
        <f>SUM(OSRRefD21_6x_3)</f>
        <v>0</v>
      </c>
      <c r="H61" s="2">
        <f>SUM(OSRRefD21_6x_4)</f>
        <v>0</v>
      </c>
      <c r="I61" s="2">
        <f>SUM(OSRRefD21_6x_5)</f>
        <v>0</v>
      </c>
      <c r="J61" s="2">
        <f>SUM(OSRRefD21_6x_6)</f>
        <v>0</v>
      </c>
      <c r="K61" s="2">
        <f>SUM(OSRRefD21_6x_7)</f>
        <v>0</v>
      </c>
      <c r="L61" s="2">
        <f>SUM(OSRRefD21_6x_8)</f>
        <v>0</v>
      </c>
      <c r="M61" s="2">
        <f>SUM(OSRRefD21_6x_9)</f>
        <v>0</v>
      </c>
      <c r="N61" s="2">
        <f>SUM(OSRRefE21_6x_0)</f>
        <v>0</v>
      </c>
      <c r="O61" s="2">
        <f>SUM(OSRRefE21_6x_1)</f>
        <v>0</v>
      </c>
      <c r="Q61" s="3">
        <f>SUM(OSRRefD20_6x)+IFERROR(SUM(OSRRefE20_6x),0)</f>
        <v>54.5</v>
      </c>
    </row>
    <row r="62" spans="1:17" s="42" customFormat="1" ht="15" hidden="1" customHeight="1" outlineLevel="1" x14ac:dyDescent="0.3">
      <c r="A62" s="34"/>
      <c r="B62" s="11" t="str">
        <f>CONCATENATE("          ","6307"," - ","POSTAGE")</f>
        <v xml:space="preserve">          6307 - POSTAGE</v>
      </c>
      <c r="C62" s="15"/>
      <c r="D62" s="3"/>
      <c r="E62" s="3">
        <v>20</v>
      </c>
      <c r="F62" s="3">
        <v>34.5</v>
      </c>
      <c r="G62" s="3"/>
      <c r="H62" s="3"/>
      <c r="I62" s="3"/>
      <c r="J62" s="3"/>
      <c r="K62" s="3"/>
      <c r="L62" s="3"/>
      <c r="M62" s="3"/>
      <c r="N62" s="3"/>
      <c r="O62" s="3"/>
      <c r="P62" s="10"/>
      <c r="Q62" s="3">
        <f>SUM(OSRRefD21_6_0x)+IFERROR(SUM(OSRRefE21_6_0x),0)</f>
        <v>54.5</v>
      </c>
    </row>
    <row r="63" spans="1:17" s="42" customFormat="1" ht="15" customHeight="1" collapsed="1" x14ac:dyDescent="0.3">
      <c r="A63" s="34"/>
      <c r="B63" s="15" t="str">
        <f>CONCATENATE("     ","General                                           ")</f>
        <v xml:space="preserve">     General                                           </v>
      </c>
      <c r="C63" s="15"/>
      <c r="D63" s="2">
        <f>SUM(OSRRefD21_7x_0)</f>
        <v>0</v>
      </c>
      <c r="E63" s="2">
        <f>SUM(OSRRefD21_7x_1)</f>
        <v>228.04</v>
      </c>
      <c r="F63" s="2">
        <f>SUM(OSRRefD21_7x_2)</f>
        <v>0</v>
      </c>
      <c r="G63" s="2">
        <f>SUM(OSRRefD21_7x_3)</f>
        <v>0</v>
      </c>
      <c r="H63" s="2">
        <f>SUM(OSRRefD21_7x_4)</f>
        <v>0</v>
      </c>
      <c r="I63" s="2">
        <f>SUM(OSRRefD21_7x_5)</f>
        <v>160</v>
      </c>
      <c r="J63" s="2">
        <f>SUM(OSRRefD21_7x_6)</f>
        <v>0</v>
      </c>
      <c r="K63" s="2">
        <f>SUM(OSRRefD21_7x_7)</f>
        <v>0</v>
      </c>
      <c r="L63" s="2">
        <f>SUM(OSRRefD21_7x_8)</f>
        <v>0</v>
      </c>
      <c r="M63" s="2">
        <f>SUM(OSRRefD21_7x_9)</f>
        <v>734.55</v>
      </c>
      <c r="N63" s="2">
        <f>SUM(OSRRefE21_7x_0)</f>
        <v>0</v>
      </c>
      <c r="O63" s="2">
        <f>SUM(OSRRefE21_7x_1)</f>
        <v>0</v>
      </c>
      <c r="Q63" s="3">
        <f>SUM(OSRRefD20_7x)+IFERROR(SUM(OSRRefE20_7x),0)</f>
        <v>1122.5899999999999</v>
      </c>
    </row>
    <row r="64" spans="1:17" s="42" customFormat="1" ht="15" hidden="1" customHeight="1" outlineLevel="1" x14ac:dyDescent="0.3">
      <c r="A64" s="34"/>
      <c r="B64" s="11" t="str">
        <f>CONCATENATE("          ","6279"," - ","GENERAL EXPENSE")</f>
        <v xml:space="preserve">          6279 - GENERAL EXPENSE</v>
      </c>
      <c r="C64" s="15"/>
      <c r="D64" s="3"/>
      <c r="E64" s="3">
        <v>228.04</v>
      </c>
      <c r="F64" s="3"/>
      <c r="G64" s="3"/>
      <c r="H64" s="3"/>
      <c r="I64" s="3">
        <v>160</v>
      </c>
      <c r="J64" s="3"/>
      <c r="K64" s="3"/>
      <c r="L64" s="3"/>
      <c r="M64" s="3">
        <v>734.55</v>
      </c>
      <c r="N64" s="3">
        <v>0</v>
      </c>
      <c r="O64" s="3">
        <v>0</v>
      </c>
      <c r="P64" s="10"/>
      <c r="Q64" s="3">
        <f>SUM(OSRRefD21_7_0x)+IFERROR(SUM(OSRRefE21_7_0x),0)</f>
        <v>1122.5899999999999</v>
      </c>
    </row>
    <row r="65" spans="1:17" s="42" customFormat="1" ht="15" customHeight="1" collapsed="1" x14ac:dyDescent="0.3">
      <c r="A65" s="34"/>
      <c r="B65" s="15" t="str">
        <f>CONCATENATE("     ","Inventory Adjustment                              ")</f>
        <v xml:space="preserve">     Inventory Adjustment                              </v>
      </c>
      <c r="C65" s="15"/>
      <c r="D65" s="2">
        <f>SUM(OSRRefD21_8x_0)</f>
        <v>650</v>
      </c>
      <c r="E65" s="2">
        <f>SUM(OSRRefD21_8x_1)</f>
        <v>650</v>
      </c>
      <c r="F65" s="2">
        <f>SUM(OSRRefD21_8x_2)</f>
        <v>650</v>
      </c>
      <c r="G65" s="2">
        <f>SUM(OSRRefD21_8x_3)</f>
        <v>650</v>
      </c>
      <c r="H65" s="2">
        <f>SUM(OSRRefD21_8x_4)</f>
        <v>650</v>
      </c>
      <c r="I65" s="2">
        <f>SUM(OSRRefD21_8x_5)</f>
        <v>650</v>
      </c>
      <c r="J65" s="2">
        <f>SUM(OSRRefD21_8x_6)</f>
        <v>650</v>
      </c>
      <c r="K65" s="2">
        <f>SUM(OSRRefD21_8x_7)</f>
        <v>650</v>
      </c>
      <c r="L65" s="2">
        <f>SUM(OSRRefD21_8x_8)</f>
        <v>650</v>
      </c>
      <c r="M65" s="2">
        <f>SUM(OSRRefD21_8x_9)</f>
        <v>650</v>
      </c>
      <c r="N65" s="2">
        <f>SUM(OSRRefE21_8x_0)</f>
        <v>650</v>
      </c>
      <c r="O65" s="2">
        <f>SUM(OSRRefE21_8x_1)</f>
        <v>650</v>
      </c>
      <c r="Q65" s="3">
        <f>SUM(OSRRefD20_8x)+IFERROR(SUM(OSRRefE20_8x),0)</f>
        <v>7800</v>
      </c>
    </row>
    <row r="66" spans="1:17" s="42" customFormat="1" ht="15" hidden="1" customHeight="1" outlineLevel="1" x14ac:dyDescent="0.3">
      <c r="A66" s="34"/>
      <c r="B66" s="11" t="str">
        <f>CONCATENATE("          ","6408"," - ","INVENTORY ADJUSTMENT")</f>
        <v xml:space="preserve">          6408 - INVENTORY ADJUSTMENT</v>
      </c>
      <c r="C66" s="15"/>
      <c r="D66" s="3">
        <v>650</v>
      </c>
      <c r="E66" s="3">
        <v>650</v>
      </c>
      <c r="F66" s="3">
        <v>650</v>
      </c>
      <c r="G66" s="3">
        <v>650</v>
      </c>
      <c r="H66" s="3">
        <v>650</v>
      </c>
      <c r="I66" s="3">
        <v>650</v>
      </c>
      <c r="J66" s="3">
        <v>650</v>
      </c>
      <c r="K66" s="3">
        <v>650</v>
      </c>
      <c r="L66" s="3">
        <v>650</v>
      </c>
      <c r="M66" s="3">
        <v>650</v>
      </c>
      <c r="N66" s="3">
        <v>650</v>
      </c>
      <c r="O66" s="3">
        <v>650</v>
      </c>
      <c r="P66" s="10"/>
      <c r="Q66" s="3">
        <f>SUM(OSRRefD21_8_0x)+IFERROR(SUM(OSRRefE21_8_0x),0)</f>
        <v>7800</v>
      </c>
    </row>
    <row r="67" spans="1:17" s="42" customFormat="1" ht="15" customHeight="1" collapsed="1" x14ac:dyDescent="0.3">
      <c r="A67" s="34"/>
      <c r="B67" s="15" t="str">
        <f>CONCATENATE("     ","Repair and Maintenance                            ")</f>
        <v xml:space="preserve">     Repair and Maintenance                            </v>
      </c>
      <c r="C67" s="15"/>
      <c r="D67" s="2">
        <f>SUM(OSRRefD21_9x_0)</f>
        <v>0</v>
      </c>
      <c r="E67" s="2">
        <f>SUM(OSRRefD21_9x_1)</f>
        <v>173.68</v>
      </c>
      <c r="F67" s="2">
        <f>SUM(OSRRefD21_9x_2)</f>
        <v>61.11</v>
      </c>
      <c r="G67" s="2">
        <f>SUM(OSRRefD21_9x_3)</f>
        <v>9.5399999999999991</v>
      </c>
      <c r="H67" s="2">
        <f>SUM(OSRRefD21_9x_4)</f>
        <v>0</v>
      </c>
      <c r="I67" s="2">
        <f>SUM(OSRRefD21_9x_5)</f>
        <v>139.06</v>
      </c>
      <c r="J67" s="2">
        <f>SUM(OSRRefD21_9x_6)</f>
        <v>0</v>
      </c>
      <c r="K67" s="2">
        <f>SUM(OSRRefD21_9x_7)</f>
        <v>0</v>
      </c>
      <c r="L67" s="2">
        <f>SUM(OSRRefD21_9x_8)</f>
        <v>673.8599999999999</v>
      </c>
      <c r="M67" s="2">
        <f>SUM(OSRRefD21_9x_9)</f>
        <v>0</v>
      </c>
      <c r="N67" s="2">
        <f>SUM(OSRRefE21_9x_0)</f>
        <v>0</v>
      </c>
      <c r="O67" s="2">
        <f>SUM(OSRRefE21_9x_1)</f>
        <v>0</v>
      </c>
      <c r="Q67" s="3">
        <f>SUM(OSRRefD20_9x)+IFERROR(SUM(OSRRefE20_9x),0)</f>
        <v>1057.25</v>
      </c>
    </row>
    <row r="68" spans="1:17" s="42" customFormat="1" ht="15" hidden="1" customHeight="1" outlineLevel="1" x14ac:dyDescent="0.3">
      <c r="A68" s="34"/>
      <c r="B68" s="11" t="str">
        <f>CONCATENATE("          ","6373"," - ","MAINTENANCE CONTRACTS")</f>
        <v xml:space="preserve">          6373 - MAINTENANCE CONTRACTS</v>
      </c>
      <c r="C68" s="15"/>
      <c r="D68" s="3"/>
      <c r="E68" s="3"/>
      <c r="F68" s="3">
        <v>61.11</v>
      </c>
      <c r="G68" s="3"/>
      <c r="H68" s="3"/>
      <c r="I68" s="3">
        <v>139.06</v>
      </c>
      <c r="J68" s="3"/>
      <c r="K68" s="3"/>
      <c r="L68" s="3">
        <v>139.06</v>
      </c>
      <c r="M68" s="3"/>
      <c r="N68" s="3"/>
      <c r="O68" s="3"/>
      <c r="P68" s="10"/>
      <c r="Q68" s="3">
        <f>SUM(OSRRefD21_9_0x)+IFERROR(SUM(OSRRefE21_9_0x),0)</f>
        <v>339.23</v>
      </c>
    </row>
    <row r="69" spans="1:17" s="42" customFormat="1" ht="15" hidden="1" customHeight="1" outlineLevel="1" x14ac:dyDescent="0.3">
      <c r="A69" s="34"/>
      <c r="B69" s="11" t="str">
        <f>CONCATENATE("          ","6375"," - ","OUTSIDE REPAIRS &amp; MAINTENANCE")</f>
        <v xml:space="preserve">          6375 - OUTSIDE REPAIRS &amp; MAINTENANCE</v>
      </c>
      <c r="C69" s="15"/>
      <c r="D69" s="3"/>
      <c r="E69" s="3">
        <v>173.68</v>
      </c>
      <c r="F69" s="3"/>
      <c r="G69" s="3">
        <v>9.5399999999999991</v>
      </c>
      <c r="H69" s="3"/>
      <c r="I69" s="3"/>
      <c r="J69" s="3"/>
      <c r="K69" s="3"/>
      <c r="L69" s="3">
        <v>534.79999999999995</v>
      </c>
      <c r="M69" s="3"/>
      <c r="N69" s="3"/>
      <c r="O69" s="3"/>
      <c r="P69" s="10"/>
      <c r="Q69" s="3">
        <f>SUM(OSRRefD21_9_1x)+IFERROR(SUM(OSRRefE21_9_1x),0)</f>
        <v>718.02</v>
      </c>
    </row>
    <row r="70" spans="1:17" s="42" customFormat="1" ht="15" customHeight="1" collapsed="1" x14ac:dyDescent="0.3">
      <c r="A70" s="34"/>
      <c r="B70" s="15" t="str">
        <f>CONCATENATE("     ","Services                                          ")</f>
        <v xml:space="preserve">     Services                                          </v>
      </c>
      <c r="C70" s="15"/>
      <c r="D70" s="2">
        <f>SUM(OSRRefD21_10x_0)</f>
        <v>0</v>
      </c>
      <c r="E70" s="2">
        <f>SUM(OSRRefD21_10x_1)</f>
        <v>2301.4899999999998</v>
      </c>
      <c r="F70" s="2">
        <f>SUM(OSRRefD21_10x_2)</f>
        <v>312.45</v>
      </c>
      <c r="G70" s="2">
        <f>SUM(OSRRefD21_10x_3)</f>
        <v>426.05</v>
      </c>
      <c r="H70" s="2">
        <f>SUM(OSRRefD21_10x_4)</f>
        <v>123.45</v>
      </c>
      <c r="I70" s="2">
        <f>SUM(OSRRefD21_10x_5)</f>
        <v>273.81</v>
      </c>
      <c r="J70" s="2">
        <f>SUM(OSRRefD21_10x_6)</f>
        <v>287.97000000000003</v>
      </c>
      <c r="K70" s="2">
        <f>SUM(OSRRefD21_10x_7)</f>
        <v>204.81</v>
      </c>
      <c r="L70" s="2">
        <f>SUM(OSRRefD21_10x_8)</f>
        <v>250.08</v>
      </c>
      <c r="M70" s="2">
        <f>SUM(OSRRefD21_10x_9)</f>
        <v>204.81</v>
      </c>
      <c r="N70" s="2">
        <f>SUM(OSRRefE21_10x_0)</f>
        <v>0</v>
      </c>
      <c r="O70" s="2">
        <f>SUM(OSRRefE21_10x_1)</f>
        <v>0</v>
      </c>
      <c r="Q70" s="3">
        <f>SUM(OSRRefD20_10x)+IFERROR(SUM(OSRRefE20_10x),0)</f>
        <v>4384.92</v>
      </c>
    </row>
    <row r="71" spans="1:17" s="42" customFormat="1" ht="15" hidden="1" customHeight="1" outlineLevel="1" x14ac:dyDescent="0.3">
      <c r="A71" s="34"/>
      <c r="B71" s="11" t="str">
        <f>CONCATENATE("          ","6282"," - ","JANITORIAL/EXTERMINATOR EXPENS")</f>
        <v xml:space="preserve">          6282 - JANITORIAL/EXTERMINATOR EXPENS</v>
      </c>
      <c r="C71" s="15"/>
      <c r="D71" s="3"/>
      <c r="E71" s="3"/>
      <c r="F71" s="3">
        <v>271.3</v>
      </c>
      <c r="G71" s="3">
        <v>220.3</v>
      </c>
      <c r="H71" s="3"/>
      <c r="I71" s="3">
        <v>138</v>
      </c>
      <c r="J71" s="3">
        <v>69</v>
      </c>
      <c r="K71" s="3">
        <v>69</v>
      </c>
      <c r="L71" s="3">
        <v>69</v>
      </c>
      <c r="M71" s="3">
        <v>69</v>
      </c>
      <c r="N71" s="3"/>
      <c r="O71" s="3"/>
      <c r="P71" s="10"/>
      <c r="Q71" s="3">
        <f>SUM(OSRRefD21_10_0x)+IFERROR(SUM(OSRRefE21_10_0x),0)</f>
        <v>905.6</v>
      </c>
    </row>
    <row r="72" spans="1:17" s="42" customFormat="1" ht="15" hidden="1" customHeight="1" outlineLevel="1" x14ac:dyDescent="0.3">
      <c r="A72" s="34"/>
      <c r="B72" s="11" t="str">
        <f>CONCATENATE("          ","6285"," - ","JANITORIAL SERVICES")</f>
        <v xml:space="preserve">          6285 - JANITORIAL SERVICES</v>
      </c>
      <c r="C72" s="15"/>
      <c r="D72" s="3"/>
      <c r="E72" s="3">
        <v>2301.4899999999998</v>
      </c>
      <c r="F72" s="3">
        <v>41.15</v>
      </c>
      <c r="G72" s="3">
        <v>205.75</v>
      </c>
      <c r="H72" s="3">
        <v>123.45</v>
      </c>
      <c r="I72" s="3">
        <v>135.81</v>
      </c>
      <c r="J72" s="3">
        <v>218.97</v>
      </c>
      <c r="K72" s="3">
        <v>135.81</v>
      </c>
      <c r="L72" s="3">
        <v>181.08</v>
      </c>
      <c r="M72" s="3">
        <v>135.81</v>
      </c>
      <c r="N72" s="3"/>
      <c r="O72" s="3"/>
      <c r="P72" s="10"/>
      <c r="Q72" s="3">
        <f>SUM(OSRRefD21_10_1x)+IFERROR(SUM(OSRRefE21_10_1x),0)</f>
        <v>3479.3199999999993</v>
      </c>
    </row>
    <row r="73" spans="1:17" s="42" customFormat="1" ht="15" customHeight="1" collapsed="1" x14ac:dyDescent="0.3">
      <c r="A73" s="34"/>
      <c r="B73" s="15" t="str">
        <f>CONCATENATE("     ","Subscriptions &amp; Dues                              ")</f>
        <v xml:space="preserve">     Subscriptions &amp; Dues                              </v>
      </c>
      <c r="C73" s="15"/>
      <c r="D73" s="2">
        <f>SUM(OSRRefD21_11x_0)</f>
        <v>0</v>
      </c>
      <c r="E73" s="2">
        <f>SUM(OSRRefD21_11x_1)</f>
        <v>0</v>
      </c>
      <c r="F73" s="2">
        <f>SUM(OSRRefD21_11x_2)</f>
        <v>0</v>
      </c>
      <c r="G73" s="2">
        <f>SUM(OSRRefD21_11x_3)</f>
        <v>0</v>
      </c>
      <c r="H73" s="2">
        <f>SUM(OSRRefD21_11x_4)</f>
        <v>0</v>
      </c>
      <c r="I73" s="2">
        <f>SUM(OSRRefD21_11x_5)</f>
        <v>0</v>
      </c>
      <c r="J73" s="2">
        <f>SUM(OSRRefD21_11x_6)</f>
        <v>0</v>
      </c>
      <c r="K73" s="2">
        <f>SUM(OSRRefD21_11x_7)</f>
        <v>45.27</v>
      </c>
      <c r="L73" s="2">
        <f>SUM(OSRRefD21_11x_8)</f>
        <v>0</v>
      </c>
      <c r="M73" s="2">
        <f>SUM(OSRRefD21_11x_9)</f>
        <v>0</v>
      </c>
      <c r="N73" s="2">
        <f>SUM(OSRRefE21_11x_0)</f>
        <v>0</v>
      </c>
      <c r="O73" s="2">
        <f>SUM(OSRRefE21_11x_1)</f>
        <v>0</v>
      </c>
      <c r="Q73" s="3">
        <f>SUM(OSRRefD20_11x)+IFERROR(SUM(OSRRefE20_11x),0)</f>
        <v>45.27</v>
      </c>
    </row>
    <row r="74" spans="1:17" s="42" customFormat="1" ht="15" hidden="1" customHeight="1" outlineLevel="1" x14ac:dyDescent="0.3">
      <c r="A74" s="34"/>
      <c r="B74" s="11" t="str">
        <f>CONCATENATE("          ","6258"," - ","MEMBERSHIP DUES")</f>
        <v xml:space="preserve">          6258 - MEMBERSHIP DUES</v>
      </c>
      <c r="C74" s="15"/>
      <c r="D74" s="3"/>
      <c r="E74" s="3"/>
      <c r="F74" s="3"/>
      <c r="G74" s="3"/>
      <c r="H74" s="3"/>
      <c r="I74" s="3"/>
      <c r="J74" s="3"/>
      <c r="K74" s="3">
        <v>45.27</v>
      </c>
      <c r="L74" s="3"/>
      <c r="M74" s="3"/>
      <c r="N74" s="3"/>
      <c r="O74" s="3"/>
      <c r="P74" s="10"/>
      <c r="Q74" s="3">
        <f>SUM(OSRRefD21_11_0x)+IFERROR(SUM(OSRRefE21_11_0x),0)</f>
        <v>45.27</v>
      </c>
    </row>
    <row r="75" spans="1:17" s="42" customFormat="1" ht="15" customHeight="1" collapsed="1" x14ac:dyDescent="0.3">
      <c r="A75" s="34"/>
      <c r="B75" s="15" t="str">
        <f>CONCATENATE("     ","Supplies                                          ")</f>
        <v xml:space="preserve">     Supplies                                          </v>
      </c>
      <c r="C75" s="15"/>
      <c r="D75" s="2">
        <f>SUM(OSRRefD21_12x_0)</f>
        <v>0</v>
      </c>
      <c r="E75" s="2">
        <f>SUM(OSRRefD21_12x_1)</f>
        <v>100.05</v>
      </c>
      <c r="F75" s="2">
        <f>SUM(OSRRefD21_12x_2)</f>
        <v>148.38999999999999</v>
      </c>
      <c r="G75" s="2">
        <f>SUM(OSRRefD21_12x_3)</f>
        <v>1419.95</v>
      </c>
      <c r="H75" s="2">
        <f>SUM(OSRRefD21_12x_4)</f>
        <v>68.069999999999993</v>
      </c>
      <c r="I75" s="2">
        <f>SUM(OSRRefD21_12x_5)</f>
        <v>11.03</v>
      </c>
      <c r="J75" s="2">
        <f>SUM(OSRRefD21_12x_6)</f>
        <v>0</v>
      </c>
      <c r="K75" s="2">
        <f>SUM(OSRRefD21_12x_7)</f>
        <v>0</v>
      </c>
      <c r="L75" s="2">
        <f>SUM(OSRRefD21_12x_8)</f>
        <v>0</v>
      </c>
      <c r="M75" s="2">
        <f>SUM(OSRRefD21_12x_9)</f>
        <v>170.98</v>
      </c>
      <c r="N75" s="2">
        <f>SUM(OSRRefE21_12x_0)</f>
        <v>75</v>
      </c>
      <c r="O75" s="2">
        <f>SUM(OSRRefE21_12x_1)</f>
        <v>75</v>
      </c>
      <c r="Q75" s="3">
        <f>SUM(OSRRefD20_12x)+IFERROR(SUM(OSRRefE20_12x),0)</f>
        <v>2068.4700000000003</v>
      </c>
    </row>
    <row r="76" spans="1:17" s="42" customFormat="1" ht="15" hidden="1" customHeight="1" outlineLevel="1" x14ac:dyDescent="0.3">
      <c r="A76" s="34"/>
      <c r="B76" s="11" t="str">
        <f>CONCATENATE("          ","6234"," - ","EXPENDABLE SUPPLIES &amp; EQUIPMEN")</f>
        <v xml:space="preserve">          6234 - EXPENDABLE SUPPLIES &amp; EQUIPMEN</v>
      </c>
      <c r="C76" s="15"/>
      <c r="D76" s="3"/>
      <c r="E76" s="3"/>
      <c r="F76" s="3"/>
      <c r="G76" s="3">
        <v>1347.52</v>
      </c>
      <c r="H76" s="3">
        <v>46.03</v>
      </c>
      <c r="I76" s="3"/>
      <c r="J76" s="3"/>
      <c r="K76" s="3"/>
      <c r="L76" s="3"/>
      <c r="M76" s="3"/>
      <c r="N76" s="3"/>
      <c r="O76" s="3"/>
      <c r="P76" s="10"/>
      <c r="Q76" s="3">
        <f>SUM(OSRRefD21_12_0x)+IFERROR(SUM(OSRRefE21_12_0x),0)</f>
        <v>1393.55</v>
      </c>
    </row>
    <row r="77" spans="1:17" s="42" customFormat="1" ht="15" hidden="1" customHeight="1" outlineLevel="1" x14ac:dyDescent="0.3">
      <c r="A77" s="34"/>
      <c r="B77" s="11" t="str">
        <f>CONCATENATE("          ","6235"," - ","COVID-19 EXPENSES")</f>
        <v xml:space="preserve">          6235 - COVID-19 EXPENSES</v>
      </c>
      <c r="C77" s="15"/>
      <c r="D77" s="3"/>
      <c r="E77" s="3"/>
      <c r="F77" s="3"/>
      <c r="G77" s="3"/>
      <c r="H77" s="3"/>
      <c r="I77" s="3"/>
      <c r="J77" s="3"/>
      <c r="K77" s="3"/>
      <c r="L77" s="3"/>
      <c r="M77" s="3"/>
      <c r="N77" s="3">
        <v>25</v>
      </c>
      <c r="O77" s="3">
        <v>25</v>
      </c>
      <c r="P77" s="10"/>
      <c r="Q77" s="3">
        <f>SUM(OSRRefD21_12_1x)+IFERROR(SUM(OSRRefE21_12_1x),0)</f>
        <v>50</v>
      </c>
    </row>
    <row r="78" spans="1:17" s="42" customFormat="1" ht="15" hidden="1" customHeight="1" outlineLevel="1" x14ac:dyDescent="0.3">
      <c r="A78" s="34"/>
      <c r="B78" s="11" t="str">
        <f>CONCATENATE("          ","6241"," - ","OFFICE EXPENSE")</f>
        <v xml:space="preserve">          6241 - OFFICE EXPENSE</v>
      </c>
      <c r="C78" s="15"/>
      <c r="D78" s="3"/>
      <c r="E78" s="3"/>
      <c r="F78" s="3"/>
      <c r="G78" s="3"/>
      <c r="H78" s="3"/>
      <c r="I78" s="3">
        <v>11.03</v>
      </c>
      <c r="J78" s="3"/>
      <c r="K78" s="3"/>
      <c r="L78" s="3"/>
      <c r="M78" s="3">
        <v>304.31</v>
      </c>
      <c r="N78" s="3">
        <v>25</v>
      </c>
      <c r="O78" s="3">
        <v>25</v>
      </c>
      <c r="P78" s="10"/>
      <c r="Q78" s="3">
        <f>SUM(OSRRefD21_12_2x)+IFERROR(SUM(OSRRefE21_12_2x),0)</f>
        <v>365.34</v>
      </c>
    </row>
    <row r="79" spans="1:17" s="42" customFormat="1" ht="15" hidden="1" customHeight="1" outlineLevel="1" x14ac:dyDescent="0.3">
      <c r="A79" s="34"/>
      <c r="B79" s="11" t="str">
        <f>CONCATENATE("          ","6247"," - ","STORE SUPPLIES")</f>
        <v xml:space="preserve">          6247 - STORE SUPPLIES</v>
      </c>
      <c r="C79" s="15"/>
      <c r="D79" s="3"/>
      <c r="E79" s="3">
        <v>100.05</v>
      </c>
      <c r="F79" s="3">
        <v>148.38999999999999</v>
      </c>
      <c r="G79" s="3">
        <v>72.430000000000007</v>
      </c>
      <c r="H79" s="3">
        <v>22.04</v>
      </c>
      <c r="I79" s="3"/>
      <c r="J79" s="3"/>
      <c r="K79" s="3"/>
      <c r="L79" s="3"/>
      <c r="M79" s="3">
        <v>-133.33000000000001</v>
      </c>
      <c r="N79" s="3">
        <v>25</v>
      </c>
      <c r="O79" s="3">
        <v>25</v>
      </c>
      <c r="P79" s="10"/>
      <c r="Q79" s="3">
        <f>SUM(OSRRefD21_12_3x)+IFERROR(SUM(OSRRefE21_12_3x),0)</f>
        <v>259.58000000000004</v>
      </c>
    </row>
    <row r="80" spans="1:17" s="42" customFormat="1" ht="15" customHeight="1" collapsed="1" x14ac:dyDescent="0.3">
      <c r="A80" s="34"/>
      <c r="B80" s="15" t="str">
        <f>CONCATENATE("     ","Telephone/Data Lines                              ")</f>
        <v xml:space="preserve">     Telephone/Data Lines                              </v>
      </c>
      <c r="C80" s="15"/>
      <c r="D80" s="2">
        <f>SUM(OSRRefD21_13x_0)</f>
        <v>13</v>
      </c>
      <c r="E80" s="2">
        <f>SUM(OSRRefD21_13x_1)</f>
        <v>53</v>
      </c>
      <c r="F80" s="2">
        <f>SUM(OSRRefD21_13x_2)</f>
        <v>53</v>
      </c>
      <c r="G80" s="2">
        <f>SUM(OSRRefD21_13x_3)</f>
        <v>53</v>
      </c>
      <c r="H80" s="2">
        <f>SUM(OSRRefD21_13x_4)</f>
        <v>53</v>
      </c>
      <c r="I80" s="2">
        <f>SUM(OSRRefD21_13x_5)</f>
        <v>53</v>
      </c>
      <c r="J80" s="2">
        <f>SUM(OSRRefD21_13x_6)</f>
        <v>40.14</v>
      </c>
      <c r="K80" s="2">
        <f>SUM(OSRRefD21_13x_7)</f>
        <v>37</v>
      </c>
      <c r="L80" s="2">
        <f>SUM(OSRRefD21_13x_8)</f>
        <v>37.1</v>
      </c>
      <c r="M80" s="2">
        <f>SUM(OSRRefD21_13x_9)</f>
        <v>37.700000000000003</v>
      </c>
      <c r="N80" s="2">
        <f>SUM(OSRRefE21_13x_0)</f>
        <v>60</v>
      </c>
      <c r="O80" s="2">
        <f>SUM(OSRRefE21_13x_1)</f>
        <v>60</v>
      </c>
      <c r="Q80" s="3">
        <f>SUM(OSRRefD20_13x)+IFERROR(SUM(OSRRefE20_13x),0)</f>
        <v>549.94000000000005</v>
      </c>
    </row>
    <row r="81" spans="1:17" s="42" customFormat="1" ht="15" hidden="1" customHeight="1" outlineLevel="1" x14ac:dyDescent="0.3">
      <c r="A81" s="34"/>
      <c r="B81" s="11" t="str">
        <f>CONCATENATE("          ","6309"," - ","TELEPHONE")</f>
        <v xml:space="preserve">          6309 - TELEPHONE</v>
      </c>
      <c r="C81" s="15"/>
      <c r="D81" s="3">
        <v>13</v>
      </c>
      <c r="E81" s="3">
        <v>53</v>
      </c>
      <c r="F81" s="3">
        <v>53</v>
      </c>
      <c r="G81" s="3">
        <v>53</v>
      </c>
      <c r="H81" s="3">
        <v>53</v>
      </c>
      <c r="I81" s="3">
        <v>53</v>
      </c>
      <c r="J81" s="3">
        <v>40.14</v>
      </c>
      <c r="K81" s="3">
        <v>37</v>
      </c>
      <c r="L81" s="3">
        <v>37.1</v>
      </c>
      <c r="M81" s="3">
        <v>37.700000000000003</v>
      </c>
      <c r="N81" s="3">
        <v>60</v>
      </c>
      <c r="O81" s="3">
        <v>60</v>
      </c>
      <c r="P81" s="10"/>
      <c r="Q81" s="3">
        <f>SUM(OSRRefD21_13_0x)+IFERROR(SUM(OSRRefE21_13_0x),0)</f>
        <v>549.94000000000005</v>
      </c>
    </row>
    <row r="82" spans="1:17" s="40" customFormat="1" ht="15" customHeight="1" x14ac:dyDescent="0.3">
      <c r="A82" s="22"/>
      <c r="B82" s="22"/>
      <c r="C82" s="2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Q82" s="2"/>
    </row>
    <row r="83" spans="1:17" s="39" customFormat="1" ht="15" customHeight="1" x14ac:dyDescent="0.3">
      <c r="A83" s="24"/>
      <c r="B83" s="17" t="s">
        <v>287</v>
      </c>
      <c r="C83" s="23"/>
      <c r="D83" s="4">
        <f>0</f>
        <v>0</v>
      </c>
      <c r="E83" s="4">
        <f>0</f>
        <v>0</v>
      </c>
      <c r="F83" s="4">
        <f>0</f>
        <v>0</v>
      </c>
      <c r="G83" s="4">
        <f>0</f>
        <v>0</v>
      </c>
      <c r="H83" s="4">
        <f>0</f>
        <v>0</v>
      </c>
      <c r="I83" s="4">
        <f>0</f>
        <v>0</v>
      </c>
      <c r="J83" s="4">
        <f>0</f>
        <v>0</v>
      </c>
      <c r="K83" s="4">
        <f>0</f>
        <v>0</v>
      </c>
      <c r="L83" s="4">
        <f>0</f>
        <v>0</v>
      </c>
      <c r="M83" s="4">
        <f>0</f>
        <v>0</v>
      </c>
      <c r="N83" s="4"/>
      <c r="O83" s="4"/>
      <c r="Q83" s="3">
        <f>SUM(OSRRefD23_0x)+IFERROR(SUM(OSRRefE23_0x),0)</f>
        <v>0</v>
      </c>
    </row>
    <row r="84" spans="1:17" ht="15" customHeight="1" x14ac:dyDescent="0.3">
      <c r="A84" s="6"/>
      <c r="B84" s="7"/>
      <c r="C84" s="7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Q84" s="4"/>
    </row>
    <row r="85" spans="1:17" s="37" customFormat="1" ht="15" customHeight="1" x14ac:dyDescent="0.3">
      <c r="A85" s="7"/>
      <c r="B85" s="18" t="s">
        <v>288</v>
      </c>
      <c r="C85" s="18"/>
      <c r="D85" s="9">
        <f t="shared" ref="D85:O85" si="2">IFERROR(+D28-D31+D83,0)</f>
        <v>-763</v>
      </c>
      <c r="E85" s="9">
        <f t="shared" si="2"/>
        <v>3338.4799999999996</v>
      </c>
      <c r="F85" s="9">
        <f t="shared" si="2"/>
        <v>9541.3600000000042</v>
      </c>
      <c r="G85" s="9">
        <f t="shared" si="2"/>
        <v>2907.1499999999978</v>
      </c>
      <c r="H85" s="9">
        <f t="shared" si="2"/>
        <v>-184.65999999999894</v>
      </c>
      <c r="I85" s="9">
        <f t="shared" si="2"/>
        <v>-2021.2800000000016</v>
      </c>
      <c r="J85" s="9">
        <f t="shared" si="2"/>
        <v>-4245.4799999999996</v>
      </c>
      <c r="K85" s="9">
        <f t="shared" si="2"/>
        <v>12221.429999999997</v>
      </c>
      <c r="L85" s="9">
        <f t="shared" si="2"/>
        <v>11657.949999999997</v>
      </c>
      <c r="M85" s="9">
        <f t="shared" si="2"/>
        <v>8126.320000000007</v>
      </c>
      <c r="N85" s="9">
        <f t="shared" si="2"/>
        <v>-3976.8486919999996</v>
      </c>
      <c r="O85" s="9">
        <f t="shared" si="2"/>
        <v>-10178.186454000001</v>
      </c>
      <c r="Q85" s="9">
        <f>IFERROR(+Q28-Q31+Q83,0)</f>
        <v>26423.23485399998</v>
      </c>
    </row>
    <row r="86" spans="1:17" s="38" customFormat="1" ht="15" customHeight="1" x14ac:dyDescent="0.3">
      <c r="B86" s="17"/>
      <c r="C86" s="17"/>
      <c r="D86" s="5">
        <f t="shared" ref="D86:O86" si="3">IFERROR(D85/D10,0)</f>
        <v>0</v>
      </c>
      <c r="E86" s="5">
        <f t="shared" si="3"/>
        <v>0.20215398067399998</v>
      </c>
      <c r="F86" s="5">
        <f t="shared" si="3"/>
        <v>0.37182672226905128</v>
      </c>
      <c r="G86" s="5">
        <f t="shared" si="3"/>
        <v>0.11460348334038309</v>
      </c>
      <c r="H86" s="5">
        <f t="shared" si="3"/>
        <v>-1.2489913579754174E-2</v>
      </c>
      <c r="I86" s="5">
        <f t="shared" si="3"/>
        <v>-0.17422950113134375</v>
      </c>
      <c r="J86" s="5">
        <f t="shared" si="3"/>
        <v>-0.70670133467388874</v>
      </c>
      <c r="K86" s="5">
        <f t="shared" si="3"/>
        <v>0.27910161718407078</v>
      </c>
      <c r="L86" s="5">
        <f t="shared" si="3"/>
        <v>0.27447255392179826</v>
      </c>
      <c r="M86" s="5">
        <f t="shared" si="3"/>
        <v>0.20064194994765652</v>
      </c>
      <c r="N86" s="5">
        <f t="shared" si="3"/>
        <v>-0.29791360341598616</v>
      </c>
      <c r="O86" s="5">
        <f t="shared" si="3"/>
        <v>-7.9891573422292002</v>
      </c>
      <c r="P86" s="19"/>
      <c r="Q86" s="5">
        <f>IFERROR(Q85/Q10,0)</f>
        <v>0.10949329851690372</v>
      </c>
    </row>
    <row r="87" spans="1:17" ht="15" customHeight="1" x14ac:dyDescent="0.3">
      <c r="A87" s="6"/>
      <c r="B87" s="7"/>
      <c r="C87" s="6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Q87" s="4"/>
    </row>
    <row r="88" spans="1:17" s="37" customFormat="1" ht="15" customHeight="1" x14ac:dyDescent="0.3">
      <c r="A88" s="26"/>
      <c r="B88" s="7" t="s">
        <v>289</v>
      </c>
      <c r="C88" s="7"/>
      <c r="D88" s="4"/>
      <c r="E88" s="4">
        <v>2467.8200000000002</v>
      </c>
      <c r="F88" s="4">
        <v>2752.46</v>
      </c>
      <c r="G88" s="4">
        <v>2587.06</v>
      </c>
      <c r="H88" s="4">
        <v>1998.78</v>
      </c>
      <c r="I88" s="4">
        <v>1500.11</v>
      </c>
      <c r="J88" s="4">
        <v>1922.01</v>
      </c>
      <c r="K88" s="4">
        <v>4711.8100000000004</v>
      </c>
      <c r="L88" s="4">
        <v>4282.25</v>
      </c>
      <c r="M88" s="4">
        <v>3459.14</v>
      </c>
      <c r="N88" s="4">
        <v>2094</v>
      </c>
      <c r="O88" s="4">
        <v>-4892</v>
      </c>
      <c r="Q88" s="3">
        <f>SUM(OSRRefD28_0x)+IFERROR(SUM(OSRRefE28_0x),0)</f>
        <v>22883.440000000002</v>
      </c>
    </row>
    <row r="89" spans="1:17" ht="15" customHeight="1" x14ac:dyDescent="0.3">
      <c r="A89" s="6"/>
      <c r="B89" s="7"/>
      <c r="C89" s="7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Q89" s="4"/>
    </row>
    <row r="90" spans="1:17" s="37" customFormat="1" ht="15.75" customHeight="1" x14ac:dyDescent="0.3">
      <c r="A90" s="7"/>
      <c r="B90" s="18" t="s">
        <v>290</v>
      </c>
      <c r="C90" s="18"/>
      <c r="D90" s="8">
        <f t="shared" ref="D90:O90" si="4">IFERROR(+D85-D88,0)</f>
        <v>-763</v>
      </c>
      <c r="E90" s="8">
        <f t="shared" si="4"/>
        <v>870.6599999999994</v>
      </c>
      <c r="F90" s="8">
        <f t="shared" si="4"/>
        <v>6788.9000000000042</v>
      </c>
      <c r="G90" s="8">
        <f t="shared" si="4"/>
        <v>320.08999999999787</v>
      </c>
      <c r="H90" s="8">
        <f t="shared" si="4"/>
        <v>-2183.4399999999987</v>
      </c>
      <c r="I90" s="8">
        <f t="shared" si="4"/>
        <v>-3521.3900000000012</v>
      </c>
      <c r="J90" s="8">
        <f t="shared" si="4"/>
        <v>-6167.49</v>
      </c>
      <c r="K90" s="8">
        <f t="shared" si="4"/>
        <v>7509.6199999999963</v>
      </c>
      <c r="L90" s="8">
        <f t="shared" si="4"/>
        <v>7375.6999999999971</v>
      </c>
      <c r="M90" s="8">
        <f t="shared" si="4"/>
        <v>4667.1800000000076</v>
      </c>
      <c r="N90" s="8">
        <f t="shared" si="4"/>
        <v>-6070.8486919999996</v>
      </c>
      <c r="O90" s="8">
        <f t="shared" si="4"/>
        <v>-5286.1864540000006</v>
      </c>
      <c r="Q90" s="8">
        <f>IFERROR(+Q85-Q88,0)</f>
        <v>3539.7948539999779</v>
      </c>
    </row>
    <row r="91" spans="1:17" ht="15.75" customHeight="1" x14ac:dyDescent="0.3">
      <c r="A91" s="6"/>
      <c r="B91" s="6"/>
      <c r="C91" s="6"/>
      <c r="D91" s="5">
        <f t="shared" ref="D91:O91" si="5">IFERROR(D90/D10,0)</f>
        <v>0</v>
      </c>
      <c r="E91" s="5">
        <f t="shared" si="5"/>
        <v>5.2720814506489397E-2</v>
      </c>
      <c r="F91" s="5">
        <f t="shared" si="5"/>
        <v>0.26456337826183718</v>
      </c>
      <c r="G91" s="5">
        <f t="shared" si="5"/>
        <v>1.2618347516441534E-2</v>
      </c>
      <c r="H91" s="5">
        <f t="shared" si="5"/>
        <v>-0.14768210173604784</v>
      </c>
      <c r="I91" s="5">
        <f t="shared" si="5"/>
        <v>-0.30353539489279185</v>
      </c>
      <c r="J91" s="5">
        <f t="shared" si="5"/>
        <v>-1.0266385460743808</v>
      </c>
      <c r="K91" s="5">
        <f t="shared" si="5"/>
        <v>0.17149769596829842</v>
      </c>
      <c r="L91" s="5">
        <f t="shared" si="5"/>
        <v>0.17365207570464852</v>
      </c>
      <c r="M91" s="5">
        <f t="shared" si="5"/>
        <v>0.11523445987319036</v>
      </c>
      <c r="N91" s="5">
        <f t="shared" si="5"/>
        <v>-0.45477928623866953</v>
      </c>
      <c r="O91" s="5">
        <f t="shared" si="5"/>
        <v>-4.1492829309262174</v>
      </c>
      <c r="P91" s="19"/>
      <c r="Q91" s="5">
        <f>IFERROR(Q90/Q10,0)</f>
        <v>1.4668295414213689E-2</v>
      </c>
    </row>
    <row r="92" spans="1:17" ht="15" customHeight="1" x14ac:dyDescent="0.3">
      <c r="A92" s="6"/>
      <c r="B92" s="6"/>
      <c r="C92" s="6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Q92" s="4"/>
    </row>
    <row r="93" spans="1:17" ht="15" customHeight="1" x14ac:dyDescent="0.3">
      <c r="A93" s="6"/>
      <c r="B93" s="6"/>
      <c r="C93" s="6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Q93" s="4"/>
    </row>
    <row r="94" spans="1:17" s="37" customFormat="1" ht="15.75" customHeight="1" x14ac:dyDescent="0.3">
      <c r="A94" s="7"/>
      <c r="B94" s="18" t="s">
        <v>293</v>
      </c>
      <c r="C94" s="18"/>
      <c r="D94" s="8">
        <f t="shared" ref="D94:O94" si="6">IFERROR(SUM(D90:D93),0)</f>
        <v>-763</v>
      </c>
      <c r="E94" s="8">
        <f t="shared" si="6"/>
        <v>870.71272081450593</v>
      </c>
      <c r="F94" s="8">
        <f t="shared" si="6"/>
        <v>6789.1645633782664</v>
      </c>
      <c r="G94" s="8">
        <f t="shared" si="6"/>
        <v>320.10261834751429</v>
      </c>
      <c r="H94" s="8">
        <f t="shared" si="6"/>
        <v>-2183.5876821017346</v>
      </c>
      <c r="I94" s="8">
        <f t="shared" si="6"/>
        <v>-3521.6935353948938</v>
      </c>
      <c r="J94" s="8">
        <f t="shared" si="6"/>
        <v>-6168.5166385460743</v>
      </c>
      <c r="K94" s="8">
        <f t="shared" si="6"/>
        <v>7509.7914976959646</v>
      </c>
      <c r="L94" s="8">
        <f t="shared" si="6"/>
        <v>7375.873652075702</v>
      </c>
      <c r="M94" s="8">
        <f t="shared" si="6"/>
        <v>4667.2952344598807</v>
      </c>
      <c r="N94" s="8">
        <f t="shared" si="6"/>
        <v>-6071.3034712862382</v>
      </c>
      <c r="O94" s="8">
        <f t="shared" si="6"/>
        <v>-5290.3357369309269</v>
      </c>
      <c r="Q94" s="8">
        <f>IFERROR(SUM(Q90:Q93),0)</f>
        <v>3539.8095222953921</v>
      </c>
    </row>
    <row r="95" spans="1:17" ht="15.75" customHeight="1" x14ac:dyDescent="0.3">
      <c r="A95" s="6"/>
      <c r="C95" s="6"/>
      <c r="D95" s="5">
        <f t="shared" ref="D95:O95" si="7">IFERROR(D94/D10,0)</f>
        <v>0</v>
      </c>
      <c r="E95" s="5">
        <f t="shared" si="7"/>
        <v>5.2724006894197831E-2</v>
      </c>
      <c r="F95" s="5">
        <f t="shared" si="7"/>
        <v>0.26457368829455491</v>
      </c>
      <c r="G95" s="5">
        <f t="shared" si="7"/>
        <v>1.2618844947457953E-2</v>
      </c>
      <c r="H95" s="5">
        <f t="shared" si="7"/>
        <v>-0.14769209056247454</v>
      </c>
      <c r="I95" s="5">
        <f t="shared" si="7"/>
        <v>-0.30356155891777986</v>
      </c>
      <c r="J95" s="5">
        <f t="shared" si="7"/>
        <v>-1.0268094400205867</v>
      </c>
      <c r="K95" s="5">
        <f t="shared" si="7"/>
        <v>0.17150161247269177</v>
      </c>
      <c r="L95" s="5">
        <f t="shared" si="7"/>
        <v>0.1736561641360376</v>
      </c>
      <c r="M95" s="5">
        <f t="shared" si="7"/>
        <v>0.11523730505609359</v>
      </c>
      <c r="N95" s="5">
        <f t="shared" si="7"/>
        <v>-0.45481335465474854</v>
      </c>
      <c r="O95" s="5">
        <f t="shared" si="7"/>
        <v>-4.1525398249065359</v>
      </c>
      <c r="P95" s="19"/>
      <c r="Q95" s="5">
        <f>IFERROR(Q94/Q10,0)</f>
        <v>1.4668356197083666E-2</v>
      </c>
    </row>
    <row r="96" spans="1:17" ht="15" customHeight="1" x14ac:dyDescent="0.3">
      <c r="A96" s="6"/>
      <c r="B96" s="33">
        <v>44694.892891863426</v>
      </c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Q96" s="14"/>
    </row>
    <row r="97" spans="1:17" ht="15" customHeight="1" x14ac:dyDescent="0.3">
      <c r="A97" s="6"/>
      <c r="B97" s="31" t="s">
        <v>294</v>
      </c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Q97" s="14"/>
    </row>
    <row r="98" spans="1:17" ht="15" customHeight="1" x14ac:dyDescent="0.3">
      <c r="A98" s="6"/>
      <c r="B98" s="27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Q98" s="14"/>
    </row>
    <row r="99" spans="1:17" ht="15" customHeight="1" x14ac:dyDescent="0.3"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Q99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C3B2F-AACF-655A-CE4D-806CC88C8B9A}">
  <sheetPr>
    <tabColor rgb="FFFFFF00"/>
    <outlinePr summaryBelow="0" summaryRight="0"/>
    <pageSetUpPr fitToPage="1"/>
  </sheetPr>
  <dimension ref="A2:R133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">
        <v>306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155851.6</v>
      </c>
      <c r="E10" s="4">
        <f>SUM(OSRRefD11x_1)</f>
        <v>430665.4</v>
      </c>
      <c r="F10" s="4">
        <f>SUM(OSRRefD11x_2)</f>
        <v>307898.32</v>
      </c>
      <c r="G10" s="4">
        <f>SUM(OSRRefD11x_3)</f>
        <v>478030.84</v>
      </c>
      <c r="H10" s="4">
        <f>SUM(OSRRefD11x_4)</f>
        <v>265288.17000000004</v>
      </c>
      <c r="I10" s="4">
        <f>SUM(OSRRefD11x_5)</f>
        <v>430899.16</v>
      </c>
      <c r="J10" s="4">
        <f>SUM(OSRRefD11x_6)</f>
        <v>175915.92</v>
      </c>
      <c r="K10" s="4">
        <f>SUM(OSRRefD11x_7)</f>
        <v>532190.98</v>
      </c>
      <c r="L10" s="4">
        <f>SUM(OSRRefD11x_8)</f>
        <v>509294.96</v>
      </c>
      <c r="M10" s="4">
        <f>SUM(OSRRefD11x_9)</f>
        <v>751705.72000000009</v>
      </c>
      <c r="N10" s="4">
        <f>SUM(OSRRefE11x_0)</f>
        <v>264303</v>
      </c>
      <c r="O10" s="4">
        <f>SUM(OSRRefE11x_1)</f>
        <v>255409</v>
      </c>
      <c r="P10" s="25"/>
      <c r="Q10" s="4">
        <f>SUM(OSRRefG11x)</f>
        <v>4557453.0699999994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--150984.27</f>
        <v>150984.26999999999</v>
      </c>
      <c r="E11" s="3">
        <f>--413306.18</f>
        <v>413306.18</v>
      </c>
      <c r="F11" s="3">
        <f>--270767.95</f>
        <v>270767.95</v>
      </c>
      <c r="G11" s="3">
        <f>--431595.01</f>
        <v>431595.01</v>
      </c>
      <c r="H11" s="3">
        <f>--242978.9</f>
        <v>242978.9</v>
      </c>
      <c r="I11" s="3">
        <f>--449868.85</f>
        <v>449868.85</v>
      </c>
      <c r="J11" s="3">
        <f>--171377.13</f>
        <v>171377.13</v>
      </c>
      <c r="K11" s="3">
        <f>--481902.97</f>
        <v>481902.97</v>
      </c>
      <c r="L11" s="3">
        <f>--464340.44</f>
        <v>464340.44</v>
      </c>
      <c r="M11" s="3">
        <f>--677452.17</f>
        <v>677452.17</v>
      </c>
      <c r="N11" s="3">
        <v>264303</v>
      </c>
      <c r="O11" s="3">
        <v>255409</v>
      </c>
      <c r="Q11" s="3">
        <f>SUM(OSRRefD11_0x)+IFERROR(SUM(OSRRefE11_0x),0)</f>
        <v>4274285.8699999992</v>
      </c>
    </row>
    <row r="12" spans="1:18" s="39" customFormat="1" ht="15" hidden="1" customHeight="1" outlineLevel="1" x14ac:dyDescent="0.3">
      <c r="A12" s="24"/>
      <c r="B12" s="11" t="str">
        <f>CONCATENATE("          ","4100"," - ","NON-TAXABLE SALES")</f>
        <v xml:space="preserve">          4100 - NON-TAXABLE SALES</v>
      </c>
      <c r="C12" s="23"/>
      <c r="D12" s="3">
        <f>--9632.79</f>
        <v>9632.7900000000009</v>
      </c>
      <c r="E12" s="3">
        <f>--25660.29</f>
        <v>25660.29</v>
      </c>
      <c r="F12" s="3">
        <f>--48117.26</f>
        <v>48117.26</v>
      </c>
      <c r="G12" s="3">
        <f>--62982.5</f>
        <v>62982.5</v>
      </c>
      <c r="H12" s="3">
        <f>--38149.55</f>
        <v>38149.550000000003</v>
      </c>
      <c r="I12" s="3">
        <f>--43641.56</f>
        <v>43641.56</v>
      </c>
      <c r="J12" s="3">
        <f>--17495.36</f>
        <v>17495.36</v>
      </c>
      <c r="K12" s="3">
        <f>--71960.99</f>
        <v>71960.990000000005</v>
      </c>
      <c r="L12" s="3">
        <f>--68845.56</f>
        <v>68845.56</v>
      </c>
      <c r="M12" s="3">
        <f>--112318.29</f>
        <v>112318.29</v>
      </c>
      <c r="N12" s="3"/>
      <c r="O12" s="3"/>
      <c r="Q12" s="3">
        <f>SUM(OSRRefD11_1x)+IFERROR(SUM(OSRRefE11_1x),0)</f>
        <v>498804.14999999997</v>
      </c>
    </row>
    <row r="13" spans="1:18" s="39" customFormat="1" ht="15" hidden="1" customHeight="1" outlineLevel="1" x14ac:dyDescent="0.3">
      <c r="A13" s="24"/>
      <c r="B13" s="11" t="str">
        <f>CONCATENATE("          ","4200"," - ","TAXABLE RETURNS")</f>
        <v xml:space="preserve">          4200 - TAXABLE RETURNS</v>
      </c>
      <c r="C13" s="23"/>
      <c r="D13" s="3">
        <f>-4645.61</f>
        <v>-4645.6099999999997</v>
      </c>
      <c r="E13" s="3">
        <f>-8202.72</f>
        <v>-8202.7199999999993</v>
      </c>
      <c r="F13" s="3">
        <f>-10646.11</f>
        <v>-10646.11</v>
      </c>
      <c r="G13" s="3">
        <f>-9287.11</f>
        <v>-9287.11</v>
      </c>
      <c r="H13" s="3">
        <f>-9395.35</f>
        <v>-9395.35</v>
      </c>
      <c r="I13" s="3">
        <f>-14419.4</f>
        <v>-14419.4</v>
      </c>
      <c r="J13" s="3">
        <f>-8098.02</f>
        <v>-8098.02</v>
      </c>
      <c r="K13" s="3">
        <f>-13626.34</f>
        <v>-13626.34</v>
      </c>
      <c r="L13" s="3">
        <f>-14884.48</f>
        <v>-14884.48</v>
      </c>
      <c r="M13" s="3">
        <f>-22344.3</f>
        <v>-22344.3</v>
      </c>
      <c r="N13" s="3"/>
      <c r="O13" s="3"/>
      <c r="Q13" s="3">
        <f>SUM(OSRRefD11_2x)+IFERROR(SUM(OSRRefE11_2x),0)</f>
        <v>-115549.44</v>
      </c>
    </row>
    <row r="14" spans="1:18" s="39" customFormat="1" ht="15" hidden="1" customHeight="1" outlineLevel="1" x14ac:dyDescent="0.3">
      <c r="A14" s="24"/>
      <c r="B14" s="11" t="str">
        <f>CONCATENATE("          ","4300"," - ","NON-TAX RETURNS")</f>
        <v xml:space="preserve">          4300 - NON-TAX RETURNS</v>
      </c>
      <c r="C14" s="23"/>
      <c r="D14" s="3">
        <f>-119.85</f>
        <v>-119.85</v>
      </c>
      <c r="E14" s="3">
        <f>-98.35</f>
        <v>-98.35</v>
      </c>
      <c r="F14" s="3">
        <f>-340.78</f>
        <v>-340.78</v>
      </c>
      <c r="G14" s="3">
        <f>-335.33</f>
        <v>-335.33</v>
      </c>
      <c r="H14" s="3">
        <f>-213.1</f>
        <v>-213.1</v>
      </c>
      <c r="I14" s="3">
        <f>-168.79</f>
        <v>-168.79</v>
      </c>
      <c r="J14" s="3">
        <f>-376.59</f>
        <v>-376.59</v>
      </c>
      <c r="K14" s="3">
        <f>-245.74</f>
        <v>-245.74</v>
      </c>
      <c r="L14" s="3">
        <f>0</f>
        <v>0</v>
      </c>
      <c r="M14" s="3">
        <f>-1251.61</f>
        <v>-1251.6099999999999</v>
      </c>
      <c r="N14" s="3"/>
      <c r="O14" s="3"/>
      <c r="Q14" s="3">
        <f>SUM(OSRRefD11_3x)+IFERROR(SUM(OSRRefE11_3x),0)</f>
        <v>-3150.1399999999994</v>
      </c>
    </row>
    <row r="15" spans="1:18" s="39" customFormat="1" ht="15" hidden="1" customHeight="1" outlineLevel="1" x14ac:dyDescent="0.3">
      <c r="A15" s="24"/>
      <c r="B15" s="11" t="str">
        <f>CONCATENATE("          ","4500"," - ","SALES DISCOUNT")</f>
        <v xml:space="preserve">          4500 - SALES DISCOUNT</v>
      </c>
      <c r="C15" s="23"/>
      <c r="D15" s="3">
        <f>0</f>
        <v>0</v>
      </c>
      <c r="E15" s="3">
        <f>0</f>
        <v>0</v>
      </c>
      <c r="F15" s="3">
        <f>0</f>
        <v>0</v>
      </c>
      <c r="G15" s="3">
        <f>-6924.23</f>
        <v>-6924.23</v>
      </c>
      <c r="H15" s="3">
        <f>-6231.83</f>
        <v>-6231.83</v>
      </c>
      <c r="I15" s="3">
        <f>-48023.06</f>
        <v>-48023.06</v>
      </c>
      <c r="J15" s="3">
        <f>-4481.96</f>
        <v>-4481.96</v>
      </c>
      <c r="K15" s="3">
        <f>-7800.9</f>
        <v>-7800.9</v>
      </c>
      <c r="L15" s="3">
        <f>-9006.56</f>
        <v>-9006.56</v>
      </c>
      <c r="M15" s="3">
        <f>-14468.83</f>
        <v>-14468.83</v>
      </c>
      <c r="N15" s="3"/>
      <c r="O15" s="3"/>
      <c r="Q15" s="3">
        <f>SUM(OSRRefD11_4x)+IFERROR(SUM(OSRRefE11_4x),0)</f>
        <v>-96937.37</v>
      </c>
    </row>
    <row r="16" spans="1:18" ht="15" customHeight="1" x14ac:dyDescent="0.3">
      <c r="A16" s="6"/>
      <c r="B16" s="7"/>
      <c r="C16" s="6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Q16" s="4"/>
    </row>
    <row r="17" spans="1:17" s="39" customFormat="1" ht="15" customHeight="1" collapsed="1" x14ac:dyDescent="0.3">
      <c r="A17" s="24"/>
      <c r="B17" s="17" t="s">
        <v>284</v>
      </c>
      <c r="C17" s="23"/>
      <c r="D17" s="4">
        <f>SUM(OSRRefD14x_0)</f>
        <v>82719.690000000017</v>
      </c>
      <c r="E17" s="4">
        <f>SUM(OSRRefD14x_1)</f>
        <v>180200.93000000002</v>
      </c>
      <c r="F17" s="4">
        <f>SUM(OSRRefD14x_2)</f>
        <v>145176.92000000001</v>
      </c>
      <c r="G17" s="4">
        <f>SUM(OSRRefD14x_3)</f>
        <v>272515.94000000006</v>
      </c>
      <c r="H17" s="4">
        <f>SUM(OSRRefD14x_4)</f>
        <v>124439.65</v>
      </c>
      <c r="I17" s="4">
        <f>SUM(OSRRefD14x_5)</f>
        <v>212397.71999999997</v>
      </c>
      <c r="J17" s="4">
        <f>SUM(OSRRefD14x_6)</f>
        <v>82437.159999999989</v>
      </c>
      <c r="K17" s="4">
        <f>SUM(OSRRefD14x_7)</f>
        <v>240681.03</v>
      </c>
      <c r="L17" s="4">
        <f>SUM(OSRRefD14x_8)</f>
        <v>219982.02</v>
      </c>
      <c r="M17" s="4">
        <f>SUM(OSRRefD14x_9)</f>
        <v>331704.71000000002</v>
      </c>
      <c r="N17" s="4">
        <f>SUM(OSRRefE14x_0)</f>
        <v>131541</v>
      </c>
      <c r="O17" s="4">
        <f>SUM(OSRRefE14x_1)</f>
        <v>133657</v>
      </c>
      <c r="Q17" s="4">
        <f>SUM(OSRRefG14x)</f>
        <v>2157453.7700000005</v>
      </c>
    </row>
    <row r="18" spans="1:17" s="39" customFormat="1" ht="15" hidden="1" customHeight="1" outlineLevel="1" x14ac:dyDescent="0.3">
      <c r="A18" s="24"/>
      <c r="B18" s="11" t="str">
        <f>CONCATENATE("          ","5000"," - ","PURCHASES @ COST")</f>
        <v xml:space="preserve">          5000 - PURCHASES @ COST</v>
      </c>
      <c r="C18" s="23"/>
      <c r="D18" s="3">
        <v>80555.63</v>
      </c>
      <c r="E18" s="3">
        <v>63702.01</v>
      </c>
      <c r="F18" s="3">
        <v>134247.25</v>
      </c>
      <c r="G18" s="3">
        <v>446430.58</v>
      </c>
      <c r="H18" s="3">
        <v>109123.35</v>
      </c>
      <c r="I18" s="3">
        <v>211156.58</v>
      </c>
      <c r="J18" s="3">
        <v>170692.77</v>
      </c>
      <c r="K18" s="3">
        <v>205846.32</v>
      </c>
      <c r="L18" s="3">
        <v>364854.79</v>
      </c>
      <c r="M18" s="3">
        <v>324929.61</v>
      </c>
      <c r="N18" s="3">
        <v>131541</v>
      </c>
      <c r="O18" s="3">
        <v>133657</v>
      </c>
      <c r="Q18" s="3">
        <f>SUM(OSRRefD14_0x)+IFERROR(SUM(OSRRefE14_0x),0)</f>
        <v>2376736.89</v>
      </c>
    </row>
    <row r="19" spans="1:17" s="39" customFormat="1" ht="15" hidden="1" customHeight="1" outlineLevel="1" x14ac:dyDescent="0.3">
      <c r="A19" s="24"/>
      <c r="B19" s="11" t="str">
        <f>CONCATENATE("          ","5027"," - ","PURCHASES @ COST-SCHOOL SUPPLI")</f>
        <v xml:space="preserve">          5027 - PURCHASES @ COST-SCHOOL SUPPLI</v>
      </c>
      <c r="C19" s="23"/>
      <c r="D19" s="3"/>
      <c r="E19" s="3">
        <v>0</v>
      </c>
      <c r="F19" s="3">
        <v>0</v>
      </c>
      <c r="G19" s="3"/>
      <c r="H19" s="3"/>
      <c r="I19" s="3"/>
      <c r="J19" s="3"/>
      <c r="K19" s="3"/>
      <c r="L19" s="3"/>
      <c r="M19" s="3"/>
      <c r="N19" s="3"/>
      <c r="O19" s="3"/>
      <c r="Q19" s="3">
        <f>SUM(OSRRefD14_1x)+IFERROR(SUM(OSRRefE14_1x),0)</f>
        <v>0</v>
      </c>
    </row>
    <row r="20" spans="1:17" s="39" customFormat="1" ht="15" hidden="1" customHeight="1" outlineLevel="1" x14ac:dyDescent="0.3">
      <c r="A20" s="24"/>
      <c r="B20" s="11" t="str">
        <f>CONCATENATE("          ","5028"," - ","PURCHASES @ COST-ART/TECH")</f>
        <v xml:space="preserve">          5028 - PURCHASES @ COST-ART/TECH</v>
      </c>
      <c r="C20" s="23"/>
      <c r="D20" s="3"/>
      <c r="E20" s="3">
        <v>0</v>
      </c>
      <c r="F20" s="3">
        <v>0</v>
      </c>
      <c r="G20" s="3"/>
      <c r="H20" s="3"/>
      <c r="I20" s="3"/>
      <c r="J20" s="3"/>
      <c r="K20" s="3"/>
      <c r="L20" s="3"/>
      <c r="M20" s="3"/>
      <c r="N20" s="3"/>
      <c r="O20" s="3"/>
      <c r="Q20" s="3">
        <f>SUM(OSRRefD14_2x)+IFERROR(SUM(OSRRefE14_2x),0)</f>
        <v>0</v>
      </c>
    </row>
    <row r="21" spans="1:17" s="39" customFormat="1" ht="15" hidden="1" customHeight="1" outlineLevel="1" x14ac:dyDescent="0.3">
      <c r="A21" s="24"/>
      <c r="B21" s="11" t="str">
        <f>CONCATENATE("          ","5031"," - ","PURCHASES @ COST-FOOD")</f>
        <v xml:space="preserve">          5031 - PURCHASES @ COST-FOOD</v>
      </c>
      <c r="C21" s="23"/>
      <c r="D21" s="3"/>
      <c r="E21" s="3">
        <v>0</v>
      </c>
      <c r="F21" s="3">
        <v>0</v>
      </c>
      <c r="G21" s="3"/>
      <c r="H21" s="3"/>
      <c r="I21" s="3"/>
      <c r="J21" s="3"/>
      <c r="K21" s="3"/>
      <c r="L21" s="3"/>
      <c r="M21" s="3"/>
      <c r="N21" s="3"/>
      <c r="O21" s="3"/>
      <c r="Q21" s="3">
        <f>SUM(OSRRefD14_3x)+IFERROR(SUM(OSRRefE14_3x),0)</f>
        <v>0</v>
      </c>
    </row>
    <row r="22" spans="1:17" s="39" customFormat="1" ht="15" hidden="1" customHeight="1" outlineLevel="1" x14ac:dyDescent="0.3">
      <c r="A22" s="24"/>
      <c r="B22" s="11" t="str">
        <f>CONCATENATE("          ","5040"," - ","PURCHASES @ COST-LOGO CLOTHING")</f>
        <v xml:space="preserve">          5040 - PURCHASES @ COST-LOGO CLOTHING</v>
      </c>
      <c r="C22" s="23"/>
      <c r="D22" s="3">
        <v>0</v>
      </c>
      <c r="E22" s="3">
        <v>0</v>
      </c>
      <c r="F22" s="3">
        <v>0</v>
      </c>
      <c r="G22" s="3"/>
      <c r="H22" s="3"/>
      <c r="I22" s="3"/>
      <c r="J22" s="3"/>
      <c r="K22" s="3"/>
      <c r="L22" s="3"/>
      <c r="M22" s="3"/>
      <c r="N22" s="3"/>
      <c r="O22" s="3"/>
      <c r="Q22" s="3">
        <f>SUM(OSRRefD14_4x)+IFERROR(SUM(OSRRefE14_4x),0)</f>
        <v>0</v>
      </c>
    </row>
    <row r="23" spans="1:17" s="39" customFormat="1" ht="15" hidden="1" customHeight="1" outlineLevel="1" x14ac:dyDescent="0.3">
      <c r="A23" s="24"/>
      <c r="B23" s="11" t="str">
        <f>CONCATENATE("          ","5041"," - ","PURCHASES @ COST-LOGO GIFTS")</f>
        <v xml:space="preserve">          5041 - PURCHASES @ COST-LOGO GIFTS</v>
      </c>
      <c r="C23" s="23"/>
      <c r="D23" s="3">
        <v>0</v>
      </c>
      <c r="E23" s="3">
        <v>0</v>
      </c>
      <c r="F23" s="3">
        <v>0</v>
      </c>
      <c r="G23" s="3"/>
      <c r="H23" s="3"/>
      <c r="I23" s="3"/>
      <c r="J23" s="3"/>
      <c r="K23" s="3"/>
      <c r="L23" s="3"/>
      <c r="M23" s="3"/>
      <c r="N23" s="3"/>
      <c r="O23" s="3"/>
      <c r="Q23" s="3">
        <f>SUM(OSRRefD14_5x)+IFERROR(SUM(OSRRefE14_5x),0)</f>
        <v>0</v>
      </c>
    </row>
    <row r="24" spans="1:17" s="39" customFormat="1" ht="15" hidden="1" customHeight="1" outlineLevel="1" x14ac:dyDescent="0.3">
      <c r="A24" s="24"/>
      <c r="B24" s="11" t="str">
        <f>CONCATENATE("          ","5042"," - ","PURCHASES @ COST-EVERYDAY GIFT")</f>
        <v xml:space="preserve">          5042 - PURCHASES @ COST-EVERYDAY GIFT</v>
      </c>
      <c r="C24" s="23"/>
      <c r="D24" s="3">
        <v>0</v>
      </c>
      <c r="E24" s="3">
        <v>0</v>
      </c>
      <c r="F24" s="3"/>
      <c r="G24" s="3"/>
      <c r="H24" s="3"/>
      <c r="I24" s="3"/>
      <c r="J24" s="3"/>
      <c r="K24" s="3"/>
      <c r="L24" s="3"/>
      <c r="M24" s="3"/>
      <c r="N24" s="3"/>
      <c r="O24" s="3"/>
      <c r="Q24" s="3">
        <f>SUM(OSRRefD14_6x)+IFERROR(SUM(OSRRefE14_6x),0)</f>
        <v>0</v>
      </c>
    </row>
    <row r="25" spans="1:17" s="39" customFormat="1" ht="15" hidden="1" customHeight="1" outlineLevel="1" x14ac:dyDescent="0.3">
      <c r="A25" s="24"/>
      <c r="B25" s="11" t="str">
        <f>CONCATENATE("          ","5043"," - ","PURCHASES @ COST-CARDS")</f>
        <v xml:space="preserve">          5043 - PURCHASES @ COST-CARDS</v>
      </c>
      <c r="C25" s="23"/>
      <c r="D25" s="3">
        <v>0</v>
      </c>
      <c r="E25" s="3">
        <v>0</v>
      </c>
      <c r="F25" s="3"/>
      <c r="G25" s="3"/>
      <c r="H25" s="3"/>
      <c r="I25" s="3"/>
      <c r="J25" s="3"/>
      <c r="K25" s="3"/>
      <c r="L25" s="3"/>
      <c r="M25" s="3"/>
      <c r="N25" s="3"/>
      <c r="O25" s="3"/>
      <c r="Q25" s="3">
        <f>SUM(OSRRefD14_7x)+IFERROR(SUM(OSRRefE14_7x),0)</f>
        <v>0</v>
      </c>
    </row>
    <row r="26" spans="1:17" s="39" customFormat="1" ht="15" hidden="1" customHeight="1" outlineLevel="1" x14ac:dyDescent="0.3">
      <c r="A26" s="24"/>
      <c r="B26" s="11" t="str">
        <f>CONCATENATE("          ","5044"," - ","PURCHASES @ COST-ACCESSORIES")</f>
        <v xml:space="preserve">          5044 - PURCHASES @ COST-ACCESSORIES</v>
      </c>
      <c r="C26" s="23"/>
      <c r="D26" s="3">
        <v>0</v>
      </c>
      <c r="E26" s="3">
        <v>0</v>
      </c>
      <c r="F26" s="3"/>
      <c r="G26" s="3"/>
      <c r="H26" s="3"/>
      <c r="I26" s="3"/>
      <c r="J26" s="3"/>
      <c r="K26" s="3"/>
      <c r="L26" s="3"/>
      <c r="M26" s="3"/>
      <c r="N26" s="3"/>
      <c r="O26" s="3"/>
      <c r="Q26" s="3">
        <f>SUM(OSRRefD14_8x)+IFERROR(SUM(OSRRefE14_8x),0)</f>
        <v>0</v>
      </c>
    </row>
    <row r="27" spans="1:17" s="39" customFormat="1" ht="15" hidden="1" customHeight="1" outlineLevel="1" x14ac:dyDescent="0.3">
      <c r="A27" s="24"/>
      <c r="B27" s="11" t="str">
        <f>CONCATENATE("          ","5045"," - ","PURCHASES @ COST-SPECIAL ORDER")</f>
        <v xml:space="preserve">          5045 - PURCHASES @ COST-SPECIAL ORDER</v>
      </c>
      <c r="C27" s="23"/>
      <c r="D27" s="3">
        <v>0</v>
      </c>
      <c r="E27" s="3">
        <v>0</v>
      </c>
      <c r="F27" s="3">
        <v>0</v>
      </c>
      <c r="G27" s="3"/>
      <c r="H27" s="3"/>
      <c r="I27" s="3"/>
      <c r="J27" s="3"/>
      <c r="K27" s="3"/>
      <c r="L27" s="3"/>
      <c r="M27" s="3"/>
      <c r="N27" s="3"/>
      <c r="O27" s="3"/>
      <c r="Q27" s="3">
        <f>SUM(OSRRefD14_9x)+IFERROR(SUM(OSRRefE14_9x),0)</f>
        <v>0</v>
      </c>
    </row>
    <row r="28" spans="1:17" s="39" customFormat="1" ht="15" hidden="1" customHeight="1" outlineLevel="1" x14ac:dyDescent="0.3">
      <c r="A28" s="24"/>
      <c r="B28" s="11" t="str">
        <f>CONCATENATE("          ","5200"," - ","PURCHASES OFFSET")</f>
        <v xml:space="preserve">          5200 - PURCHASES OFFSET</v>
      </c>
      <c r="C28" s="23"/>
      <c r="D28" s="3">
        <v>-81956.95</v>
      </c>
      <c r="E28" s="3">
        <v>-66711.179999999993</v>
      </c>
      <c r="F28" s="3">
        <v>-137158.98000000001</v>
      </c>
      <c r="G28" s="3">
        <v>-451854.04</v>
      </c>
      <c r="H28" s="3">
        <v>-119795.1</v>
      </c>
      <c r="I28" s="3">
        <v>-219682.04</v>
      </c>
      <c r="J28" s="3">
        <v>-181131.13</v>
      </c>
      <c r="K28" s="3">
        <v>-215663.88</v>
      </c>
      <c r="L28" s="3">
        <v>-385967.61</v>
      </c>
      <c r="M28" s="3">
        <v>-357462.56</v>
      </c>
      <c r="N28" s="3"/>
      <c r="O28" s="3"/>
      <c r="Q28" s="3">
        <f>SUM(OSRRefD14_10x)+IFERROR(SUM(OSRRefE14_10x),0)</f>
        <v>-2217383.4699999997</v>
      </c>
    </row>
    <row r="29" spans="1:17" s="39" customFormat="1" ht="15" hidden="1" customHeight="1" outlineLevel="1" x14ac:dyDescent="0.3">
      <c r="A29" s="24"/>
      <c r="B29" s="11" t="str">
        <f>CONCATENATE("          ","5300"," - ","COG$ OFFSET")</f>
        <v xml:space="preserve">          5300 - COG$ OFFSET</v>
      </c>
      <c r="C29" s="23"/>
      <c r="D29" s="3">
        <v>82719.69</v>
      </c>
      <c r="E29" s="3">
        <v>180200.93</v>
      </c>
      <c r="F29" s="3">
        <v>145176.92000000001</v>
      </c>
      <c r="G29" s="3">
        <v>272515.94</v>
      </c>
      <c r="H29" s="3">
        <v>124439.65</v>
      </c>
      <c r="I29" s="3">
        <v>212397.72</v>
      </c>
      <c r="J29" s="3">
        <v>82437.16</v>
      </c>
      <c r="K29" s="3">
        <v>240681.03</v>
      </c>
      <c r="L29" s="3">
        <v>222982.02</v>
      </c>
      <c r="M29" s="3">
        <v>331704.71000000002</v>
      </c>
      <c r="N29" s="3"/>
      <c r="O29" s="3"/>
      <c r="Q29" s="3">
        <f>SUM(OSRRefD14_11x)+IFERROR(SUM(OSRRefE14_11x),0)</f>
        <v>1895255.77</v>
      </c>
    </row>
    <row r="30" spans="1:17" s="39" customFormat="1" ht="15" hidden="1" customHeight="1" outlineLevel="1" x14ac:dyDescent="0.3">
      <c r="A30" s="24"/>
      <c r="B30" s="11" t="str">
        <f>CONCATENATE("          ","5500"," - ","FREIGHT-IN")</f>
        <v xml:space="preserve">          5500 - FREIGHT-IN</v>
      </c>
      <c r="C30" s="23"/>
      <c r="D30" s="3">
        <v>1401.32</v>
      </c>
      <c r="E30" s="3">
        <v>3009.17</v>
      </c>
      <c r="F30" s="3">
        <v>2911.73</v>
      </c>
      <c r="G30" s="3">
        <v>5423.46</v>
      </c>
      <c r="H30" s="3">
        <v>10671.75</v>
      </c>
      <c r="I30" s="3">
        <v>8525.4599999999991</v>
      </c>
      <c r="J30" s="3">
        <v>10438.36</v>
      </c>
      <c r="K30" s="3">
        <v>9817.56</v>
      </c>
      <c r="L30" s="3">
        <v>18112.82</v>
      </c>
      <c r="M30" s="3">
        <v>32532.95</v>
      </c>
      <c r="N30" s="3"/>
      <c r="O30" s="3"/>
      <c r="Q30" s="3">
        <f>SUM(OSRRefD14_12x)+IFERROR(SUM(OSRRefE14_12x),0)</f>
        <v>102844.58</v>
      </c>
    </row>
    <row r="31" spans="1:17" s="39" customFormat="1" ht="15" hidden="1" customHeight="1" outlineLevel="1" x14ac:dyDescent="0.3">
      <c r="A31" s="24"/>
      <c r="B31" s="11" t="str">
        <f>CONCATENATE("          ","5527"," - ","FREIGHT-IN-SCHOOL SUPPLIES")</f>
        <v xml:space="preserve">          5527 - FREIGHT-IN-SCHOOL SUPPLIES</v>
      </c>
      <c r="C31" s="23"/>
      <c r="D31" s="3"/>
      <c r="E31" s="3">
        <v>0</v>
      </c>
      <c r="F31" s="3"/>
      <c r="G31" s="3"/>
      <c r="H31" s="3"/>
      <c r="I31" s="3"/>
      <c r="J31" s="3"/>
      <c r="K31" s="3"/>
      <c r="L31" s="3"/>
      <c r="M31" s="3"/>
      <c r="N31" s="3"/>
      <c r="O31" s="3"/>
      <c r="Q31" s="3">
        <f>SUM(OSRRefD14_13x)+IFERROR(SUM(OSRRefE14_13x),0)</f>
        <v>0</v>
      </c>
    </row>
    <row r="32" spans="1:17" s="39" customFormat="1" ht="15" hidden="1" customHeight="1" outlineLevel="1" x14ac:dyDescent="0.3">
      <c r="A32" s="24"/>
      <c r="B32" s="11" t="str">
        <f>CONCATENATE("          ","5540"," - ","FREIGHT-IN-LOGO CLOTHING")</f>
        <v xml:space="preserve">          5540 - FREIGHT-IN-LOGO CLOTHING</v>
      </c>
      <c r="C32" s="23"/>
      <c r="D32" s="3">
        <v>0</v>
      </c>
      <c r="E32" s="3">
        <v>0</v>
      </c>
      <c r="F32" s="3"/>
      <c r="G32" s="3"/>
      <c r="H32" s="3"/>
      <c r="I32" s="3"/>
      <c r="J32" s="3"/>
      <c r="K32" s="3"/>
      <c r="L32" s="3"/>
      <c r="M32" s="3"/>
      <c r="N32" s="3"/>
      <c r="O32" s="3"/>
      <c r="Q32" s="3">
        <f>SUM(OSRRefD14_14x)+IFERROR(SUM(OSRRefE14_14x),0)</f>
        <v>0</v>
      </c>
    </row>
    <row r="33" spans="1:17" s="39" customFormat="1" ht="15" hidden="1" customHeight="1" outlineLevel="1" x14ac:dyDescent="0.3">
      <c r="A33" s="24"/>
      <c r="B33" s="11" t="str">
        <f>CONCATENATE("          ","5541"," - ","FREIGHT-IN-LOGO GIFTS")</f>
        <v xml:space="preserve">          5541 - FREIGHT-IN-LOGO GIFTS</v>
      </c>
      <c r="C33" s="23"/>
      <c r="D33" s="3">
        <v>0</v>
      </c>
      <c r="E33" s="3">
        <v>0</v>
      </c>
      <c r="F33" s="3">
        <v>0</v>
      </c>
      <c r="G33" s="3"/>
      <c r="H33" s="3"/>
      <c r="I33" s="3"/>
      <c r="J33" s="3"/>
      <c r="K33" s="3"/>
      <c r="L33" s="3"/>
      <c r="M33" s="3"/>
      <c r="N33" s="3"/>
      <c r="O33" s="3"/>
      <c r="Q33" s="3">
        <f>SUM(OSRRefD14_15x)+IFERROR(SUM(OSRRefE14_15x),0)</f>
        <v>0</v>
      </c>
    </row>
    <row r="34" spans="1:17" s="39" customFormat="1" ht="15" hidden="1" customHeight="1" outlineLevel="1" x14ac:dyDescent="0.3">
      <c r="A34" s="24"/>
      <c r="B34" s="11" t="str">
        <f>CONCATENATE("          ","5542"," - ","FREIGHT-IN-EVERYDAY GIFTS")</f>
        <v xml:space="preserve">          5542 - FREIGHT-IN-EVERYDAY GIFTS</v>
      </c>
      <c r="C34" s="23"/>
      <c r="D34" s="3">
        <v>0</v>
      </c>
      <c r="E34" s="3">
        <v>0</v>
      </c>
      <c r="F34" s="3"/>
      <c r="G34" s="3"/>
      <c r="H34" s="3"/>
      <c r="I34" s="3"/>
      <c r="J34" s="3"/>
      <c r="K34" s="3"/>
      <c r="L34" s="3"/>
      <c r="M34" s="3"/>
      <c r="N34" s="3"/>
      <c r="O34" s="3"/>
      <c r="Q34" s="3">
        <f>SUM(OSRRefD14_16x)+IFERROR(SUM(OSRRefE14_16x),0)</f>
        <v>0</v>
      </c>
    </row>
    <row r="35" spans="1:17" s="39" customFormat="1" ht="15" hidden="1" customHeight="1" outlineLevel="1" x14ac:dyDescent="0.3">
      <c r="A35" s="24"/>
      <c r="B35" s="11" t="str">
        <f>CONCATENATE("          ","5544"," - ","FREIGHT-IN-ACCESSORIES")</f>
        <v xml:space="preserve">          5544 - FREIGHT-IN-ACCESSORIES</v>
      </c>
      <c r="C35" s="23"/>
      <c r="D35" s="3">
        <v>0</v>
      </c>
      <c r="E35" s="3">
        <v>0</v>
      </c>
      <c r="F35" s="3"/>
      <c r="G35" s="3"/>
      <c r="H35" s="3"/>
      <c r="I35" s="3"/>
      <c r="J35" s="3"/>
      <c r="K35" s="3"/>
      <c r="L35" s="3"/>
      <c r="M35" s="3"/>
      <c r="N35" s="3"/>
      <c r="O35" s="3"/>
      <c r="Q35" s="3">
        <f>SUM(OSRRefD14_17x)+IFERROR(SUM(OSRRefE14_17x),0)</f>
        <v>0</v>
      </c>
    </row>
    <row r="36" spans="1:17" s="39" customFormat="1" ht="15" hidden="1" customHeight="1" outlineLevel="1" x14ac:dyDescent="0.3">
      <c r="A36" s="24"/>
      <c r="B36" s="11" t="str">
        <f>CONCATENATE("          ","5545"," - ","FREIGHT-IN-SPECIAL ORDERS")</f>
        <v xml:space="preserve">          5545 - FREIGHT-IN-SPECIAL ORDERS</v>
      </c>
      <c r="C36" s="23"/>
      <c r="D36" s="3">
        <v>0</v>
      </c>
      <c r="E36" s="3">
        <v>0</v>
      </c>
      <c r="F36" s="3"/>
      <c r="G36" s="3"/>
      <c r="H36" s="3"/>
      <c r="I36" s="3"/>
      <c r="J36" s="3"/>
      <c r="K36" s="3"/>
      <c r="L36" s="3"/>
      <c r="M36" s="3"/>
      <c r="N36" s="3"/>
      <c r="O36" s="3"/>
      <c r="Q36" s="3">
        <f>SUM(OSRRefD14_18x)+IFERROR(SUM(OSRRefE14_18x),0)</f>
        <v>0</v>
      </c>
    </row>
    <row r="37" spans="1:17" ht="15" customHeight="1" x14ac:dyDescent="0.3">
      <c r="A37" s="6"/>
      <c r="B37" s="7"/>
      <c r="C37" s="7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Q37" s="4"/>
    </row>
    <row r="38" spans="1:17" s="37" customFormat="1" ht="15" customHeight="1" x14ac:dyDescent="0.3">
      <c r="A38" s="7"/>
      <c r="B38" s="18" t="s">
        <v>285</v>
      </c>
      <c r="C38" s="18"/>
      <c r="D38" s="9">
        <f t="shared" ref="D38:O38" si="0">IFERROR(+D10-D17,0)</f>
        <v>73131.909999999989</v>
      </c>
      <c r="E38" s="9">
        <f t="shared" si="0"/>
        <v>250464.47</v>
      </c>
      <c r="F38" s="9">
        <f t="shared" si="0"/>
        <v>162721.4</v>
      </c>
      <c r="G38" s="9">
        <f t="shared" si="0"/>
        <v>205514.89999999997</v>
      </c>
      <c r="H38" s="9">
        <f t="shared" si="0"/>
        <v>140848.52000000005</v>
      </c>
      <c r="I38" s="9">
        <f t="shared" si="0"/>
        <v>218501.44</v>
      </c>
      <c r="J38" s="9">
        <f t="shared" si="0"/>
        <v>93478.760000000024</v>
      </c>
      <c r="K38" s="9">
        <f t="shared" si="0"/>
        <v>291509.94999999995</v>
      </c>
      <c r="L38" s="9">
        <f t="shared" si="0"/>
        <v>289312.94000000006</v>
      </c>
      <c r="M38" s="9">
        <f t="shared" si="0"/>
        <v>420001.01000000007</v>
      </c>
      <c r="N38" s="9">
        <f t="shared" si="0"/>
        <v>132762</v>
      </c>
      <c r="O38" s="9">
        <f t="shared" si="0"/>
        <v>121752</v>
      </c>
      <c r="Q38" s="9">
        <f>IFERROR(+Q10-Q17,0)</f>
        <v>2399999.2999999989</v>
      </c>
    </row>
    <row r="39" spans="1:17" s="38" customFormat="1" ht="15" customHeight="1" x14ac:dyDescent="0.3">
      <c r="B39" s="17"/>
      <c r="C39" s="17"/>
      <c r="D39" s="5">
        <f t="shared" ref="D39:O39" si="1">IFERROR(D38/D10,0)</f>
        <v>0.46924067510375245</v>
      </c>
      <c r="E39" s="5">
        <f t="shared" si="1"/>
        <v>0.58157555726557086</v>
      </c>
      <c r="F39" s="5">
        <f t="shared" si="1"/>
        <v>0.52849070433382028</v>
      </c>
      <c r="G39" s="5">
        <f t="shared" si="1"/>
        <v>0.42991975162104595</v>
      </c>
      <c r="H39" s="5">
        <f t="shared" si="1"/>
        <v>0.53092650154735521</v>
      </c>
      <c r="I39" s="5">
        <f t="shared" si="1"/>
        <v>0.50708253875454301</v>
      </c>
      <c r="J39" s="5">
        <f t="shared" si="1"/>
        <v>0.5313831744165054</v>
      </c>
      <c r="K39" s="5">
        <f t="shared" si="1"/>
        <v>0.54775439824252559</v>
      </c>
      <c r="L39" s="5">
        <f t="shared" si="1"/>
        <v>0.56806558619782932</v>
      </c>
      <c r="M39" s="5">
        <f t="shared" si="1"/>
        <v>0.55873062932127215</v>
      </c>
      <c r="N39" s="5">
        <f t="shared" si="1"/>
        <v>0.5023098489233947</v>
      </c>
      <c r="O39" s="5">
        <f t="shared" si="1"/>
        <v>0.4766942433508608</v>
      </c>
      <c r="P39" s="19"/>
      <c r="Q39" s="5">
        <f>IFERROR(Q38/Q10,0)</f>
        <v>0.52660976715224828</v>
      </c>
    </row>
    <row r="40" spans="1:17" ht="15" customHeight="1" x14ac:dyDescent="0.3">
      <c r="A40" s="6"/>
      <c r="B40" s="7"/>
      <c r="C40" s="6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Q40" s="2"/>
    </row>
    <row r="41" spans="1:17" s="37" customFormat="1" ht="15" customHeight="1" x14ac:dyDescent="0.3">
      <c r="A41" s="7"/>
      <c r="B41" s="17" t="s">
        <v>286</v>
      </c>
      <c r="C41" s="7"/>
      <c r="D41" s="12" cm="1">
        <f t="array" ref="D41">SUM(OSRRefD20x_0)</f>
        <v>96192.790000000037</v>
      </c>
      <c r="E41" s="12" cm="1">
        <f t="array" ref="E41">SUM(OSRRefD20x_1)</f>
        <v>98819.290000000008</v>
      </c>
      <c r="F41" s="12" cm="1">
        <f t="array" ref="F41">SUM(OSRRefD20x_2)</f>
        <v>85301.440000000017</v>
      </c>
      <c r="G41" s="12" cm="1">
        <f t="array" ref="G41">SUM(OSRRefD20x_3)</f>
        <v>105551.45000000001</v>
      </c>
      <c r="H41" s="12" cm="1">
        <f t="array" ref="H41">SUM(OSRRefD20x_4)</f>
        <v>80856.09</v>
      </c>
      <c r="I41" s="12" cm="1">
        <f t="array" ref="I41">SUM(OSRRefD20x_5)</f>
        <v>88551.7</v>
      </c>
      <c r="J41" s="12" cm="1">
        <f t="array" ref="J41">SUM(OSRRefD20x_6)</f>
        <v>128596.20999999999</v>
      </c>
      <c r="K41" s="12" cm="1">
        <f t="array" ref="K41">SUM(OSRRefD20x_7)</f>
        <v>110247.18000000001</v>
      </c>
      <c r="L41" s="12" cm="1">
        <f t="array" ref="L41">SUM(OSRRefD20x_8)</f>
        <v>103104.01000000001</v>
      </c>
      <c r="M41" s="12" cm="1">
        <f t="array" ref="M41">SUM(OSRRefD20x_9)</f>
        <v>142778.09000000005</v>
      </c>
      <c r="N41" s="12" cm="1">
        <f t="array" ref="N41">SUM(OSRRefE20x_0)</f>
        <v>101708.10274189233</v>
      </c>
      <c r="O41" s="12" cm="1">
        <f t="array" ref="O41">SUM(OSRRefE20x_1)</f>
        <v>100885.05380519232</v>
      </c>
      <c r="Q41" s="12" cm="1">
        <f t="array" ref="Q41">SUM(OSRRefG20x)</f>
        <v>1242591.4065470845</v>
      </c>
    </row>
    <row r="42" spans="1:17" s="42" customFormat="1" ht="15" customHeight="1" collapsed="1" x14ac:dyDescent="0.3">
      <c r="A42" s="34"/>
      <c r="B42" s="15" t="str">
        <f>CONCATENATE("     ","*Benefits                                         ")</f>
        <v xml:space="preserve">     *Benefits                                         </v>
      </c>
      <c r="C42" s="15"/>
      <c r="D42" s="2">
        <f>SUM(OSRRefD21_0x_0)</f>
        <v>13678.2</v>
      </c>
      <c r="E42" s="2">
        <f>SUM(OSRRefD21_0x_1)</f>
        <v>15134.39</v>
      </c>
      <c r="F42" s="2">
        <f>SUM(OSRRefD21_0x_2)</f>
        <v>13393.95</v>
      </c>
      <c r="G42" s="2">
        <f>SUM(OSRRefD21_0x_3)</f>
        <v>17176.53</v>
      </c>
      <c r="H42" s="2">
        <f>SUM(OSRRefD21_0x_4)</f>
        <v>13383.269999999999</v>
      </c>
      <c r="I42" s="2">
        <f>SUM(OSRRefD21_0x_5)</f>
        <v>13303.839999999998</v>
      </c>
      <c r="J42" s="2">
        <f>SUM(OSRRefD21_0x_6)</f>
        <v>18873.93</v>
      </c>
      <c r="K42" s="2">
        <f>SUM(OSRRefD21_0x_7)</f>
        <v>14980.61</v>
      </c>
      <c r="L42" s="2">
        <f>SUM(OSRRefD21_0x_8)</f>
        <v>12295.95</v>
      </c>
      <c r="M42" s="2">
        <f>SUM(OSRRefD21_0x_9)</f>
        <v>13901.47</v>
      </c>
      <c r="N42" s="2">
        <f>SUM(OSRRefE21_0x_0)</f>
        <v>20295.277049584627</v>
      </c>
      <c r="O42" s="2">
        <f>SUM(OSRRefE21_0x_1)</f>
        <v>18217.228112884623</v>
      </c>
      <c r="Q42" s="3">
        <f>SUM(OSRRefD20_0x)+IFERROR(SUM(OSRRefE20_0x),0)</f>
        <v>184634.64516246924</v>
      </c>
    </row>
    <row r="43" spans="1:17" s="42" customFormat="1" ht="15" hidden="1" customHeight="1" outlineLevel="1" x14ac:dyDescent="0.3">
      <c r="A43" s="34"/>
      <c r="B43" s="11" t="str">
        <f>CONCATENATE("          ","6111"," - ","F.I.C.A.")</f>
        <v xml:space="preserve">          6111 - F.I.C.A.</v>
      </c>
      <c r="C43" s="15"/>
      <c r="D43" s="3">
        <v>3257.4</v>
      </c>
      <c r="E43" s="3">
        <v>4182.6899999999996</v>
      </c>
      <c r="F43" s="3">
        <v>2336.11</v>
      </c>
      <c r="G43" s="3">
        <v>3183.03</v>
      </c>
      <c r="H43" s="3">
        <v>2225.58</v>
      </c>
      <c r="I43" s="3">
        <v>2072.52</v>
      </c>
      <c r="J43" s="3">
        <v>2306.6999999999998</v>
      </c>
      <c r="K43" s="3">
        <v>2229.33</v>
      </c>
      <c r="L43" s="3">
        <v>2067.15</v>
      </c>
      <c r="M43" s="3">
        <v>2972.79</v>
      </c>
      <c r="N43" s="3">
        <v>5028.8529399692297</v>
      </c>
      <c r="O43" s="3">
        <v>2950.8040032692302</v>
      </c>
      <c r="P43" s="10"/>
      <c r="Q43" s="3">
        <f>SUM(OSRRefD21_0_0x)+IFERROR(SUM(OSRRefE21_0_0x),0)</f>
        <v>34812.95694323846</v>
      </c>
    </row>
    <row r="44" spans="1:17" s="42" customFormat="1" ht="15" hidden="1" customHeight="1" outlineLevel="1" x14ac:dyDescent="0.3">
      <c r="A44" s="34"/>
      <c r="B44" s="11" t="str">
        <f>CONCATENATE("          ","6112"," - ","COMPENSATION INSURANCE")</f>
        <v xml:space="preserve">          6112 - COMPENSATION INSURANCE</v>
      </c>
      <c r="C44" s="15"/>
      <c r="D44" s="3">
        <v>734.03</v>
      </c>
      <c r="E44" s="3">
        <v>929.2</v>
      </c>
      <c r="F44" s="3">
        <v>879.41</v>
      </c>
      <c r="G44" s="3">
        <v>1239.96</v>
      </c>
      <c r="H44" s="3">
        <v>815.52</v>
      </c>
      <c r="I44" s="3">
        <v>882.76</v>
      </c>
      <c r="J44" s="3">
        <v>851.69</v>
      </c>
      <c r="K44" s="3">
        <v>1171.51</v>
      </c>
      <c r="L44" s="3">
        <v>1098.45</v>
      </c>
      <c r="M44" s="3">
        <v>1013.95</v>
      </c>
      <c r="N44" s="3">
        <v>1062.1958999999999</v>
      </c>
      <c r="O44" s="3">
        <v>1062.1958999999999</v>
      </c>
      <c r="P44" s="10"/>
      <c r="Q44" s="3">
        <f>SUM(OSRRefD21_0_1x)+IFERROR(SUM(OSRRefE21_0_1x),0)</f>
        <v>11740.871800000001</v>
      </c>
    </row>
    <row r="45" spans="1:17" s="42" customFormat="1" ht="15" hidden="1" customHeight="1" outlineLevel="1" x14ac:dyDescent="0.3">
      <c r="A45" s="34"/>
      <c r="B45" s="11" t="str">
        <f>CONCATENATE("          ","6113"," - ","GROUP INSURANCE")</f>
        <v xml:space="preserve">          6113 - GROUP INSURANCE</v>
      </c>
      <c r="C45" s="15"/>
      <c r="D45" s="3">
        <v>4811.13</v>
      </c>
      <c r="E45" s="3">
        <v>4811.13</v>
      </c>
      <c r="F45" s="3">
        <v>4844.88</v>
      </c>
      <c r="G45" s="3">
        <v>4811.13</v>
      </c>
      <c r="H45" s="3">
        <v>4811.13</v>
      </c>
      <c r="I45" s="3">
        <v>4811.13</v>
      </c>
      <c r="J45" s="3">
        <v>4432.75</v>
      </c>
      <c r="K45" s="3">
        <v>4988.75</v>
      </c>
      <c r="L45" s="3">
        <v>3834.79</v>
      </c>
      <c r="M45" s="3">
        <v>3834.79</v>
      </c>
      <c r="N45" s="3">
        <v>7772.9230769230799</v>
      </c>
      <c r="O45" s="3">
        <v>7772.9230769230799</v>
      </c>
      <c r="P45" s="10"/>
      <c r="Q45" s="3">
        <f>SUM(OSRRefD21_0_2x)+IFERROR(SUM(OSRRefE21_0_2x),0)</f>
        <v>61537.456153846157</v>
      </c>
    </row>
    <row r="46" spans="1:17" s="42" customFormat="1" ht="15" hidden="1" customHeight="1" outlineLevel="1" x14ac:dyDescent="0.3">
      <c r="A46" s="34"/>
      <c r="B46" s="11" t="str">
        <f>CONCATENATE("          ","6114"," - ","STATE UNEMPLOYMENT INSURANCE")</f>
        <v xml:space="preserve">          6114 - STATE UNEMPLOYMENT INSURANCE</v>
      </c>
      <c r="C46" s="15"/>
      <c r="D46" s="3">
        <v>128.94999999999999</v>
      </c>
      <c r="E46" s="3">
        <v>163.22999999999999</v>
      </c>
      <c r="F46" s="3">
        <v>154.49</v>
      </c>
      <c r="G46" s="3">
        <v>217.83</v>
      </c>
      <c r="H46" s="3">
        <v>143.27000000000001</v>
      </c>
      <c r="I46" s="3">
        <v>155.08000000000001</v>
      </c>
      <c r="J46" s="3">
        <v>149.72999999999999</v>
      </c>
      <c r="K46" s="3">
        <v>206.65</v>
      </c>
      <c r="L46" s="3">
        <v>193.18</v>
      </c>
      <c r="M46" s="3">
        <v>178.13</v>
      </c>
      <c r="N46" s="3">
        <v>142.98790961538501</v>
      </c>
      <c r="O46" s="3">
        <v>142.98790961538501</v>
      </c>
      <c r="P46" s="10"/>
      <c r="Q46" s="3">
        <f>SUM(OSRRefD21_0_3x)+IFERROR(SUM(OSRRefE21_0_3x),0)</f>
        <v>1976.5158192307699</v>
      </c>
    </row>
    <row r="47" spans="1:17" s="42" customFormat="1" ht="15" hidden="1" customHeight="1" outlineLevel="1" x14ac:dyDescent="0.3">
      <c r="A47" s="34"/>
      <c r="B47" s="11" t="str">
        <f>CONCATENATE("          ","6115"," - ","P.E.R.S.")</f>
        <v xml:space="preserve">          6115 - P.E.R.S.</v>
      </c>
      <c r="C47" s="15"/>
      <c r="D47" s="3">
        <v>1579.48</v>
      </c>
      <c r="E47" s="3">
        <v>1579.48</v>
      </c>
      <c r="F47" s="3">
        <v>1579.48</v>
      </c>
      <c r="G47" s="3">
        <v>2369.23</v>
      </c>
      <c r="H47" s="3">
        <v>1642.66</v>
      </c>
      <c r="I47" s="3">
        <v>1642.66</v>
      </c>
      <c r="J47" s="3">
        <v>1642.66</v>
      </c>
      <c r="K47" s="3">
        <v>1403.98</v>
      </c>
      <c r="L47" s="3">
        <v>1145.3499999999999</v>
      </c>
      <c r="M47" s="3">
        <v>1549.91</v>
      </c>
      <c r="N47" s="3">
        <v>1413.3438461538501</v>
      </c>
      <c r="O47" s="3">
        <v>1413.3438461538501</v>
      </c>
      <c r="P47" s="10"/>
      <c r="Q47" s="3">
        <f>SUM(OSRRefD21_0_4x)+IFERROR(SUM(OSRRefE21_0_4x),0)</f>
        <v>18961.577692307699</v>
      </c>
    </row>
    <row r="48" spans="1:17" s="42" customFormat="1" ht="15" hidden="1" customHeight="1" outlineLevel="1" x14ac:dyDescent="0.3">
      <c r="A48" s="34"/>
      <c r="B48" s="11" t="str">
        <f>CONCATENATE("          ","6116"," - ","EDUCATIONAL BENEFITS")</f>
        <v xml:space="preserve">          6116 - EDUCATIONAL BENEFITS</v>
      </c>
      <c r="C48" s="15"/>
      <c r="D48" s="3"/>
      <c r="E48" s="3"/>
      <c r="F48" s="3"/>
      <c r="G48" s="3"/>
      <c r="H48" s="3"/>
      <c r="I48" s="3"/>
      <c r="J48" s="3"/>
      <c r="K48" s="3"/>
      <c r="L48" s="3"/>
      <c r="M48" s="3"/>
      <c r="N48" s="3">
        <v>0</v>
      </c>
      <c r="O48" s="3">
        <v>0</v>
      </c>
      <c r="P48" s="10"/>
      <c r="Q48" s="3">
        <f>SUM(OSRRefD21_0_5x)+IFERROR(SUM(OSRRefE21_0_5x),0)</f>
        <v>0</v>
      </c>
    </row>
    <row r="49" spans="1:17" s="42" customFormat="1" ht="15" hidden="1" customHeight="1" outlineLevel="1" x14ac:dyDescent="0.3">
      <c r="A49" s="34"/>
      <c r="B49" s="11" t="str">
        <f>CONCATENATE("          ","6118"," - ","VACATION")</f>
        <v xml:space="preserve">          6118 - VACATION</v>
      </c>
      <c r="C49" s="15"/>
      <c r="D49" s="3">
        <v>1659.06</v>
      </c>
      <c r="E49" s="3">
        <v>1659.06</v>
      </c>
      <c r="F49" s="3">
        <v>1685.29</v>
      </c>
      <c r="G49" s="3">
        <v>2567.2800000000002</v>
      </c>
      <c r="H49" s="3">
        <v>1780</v>
      </c>
      <c r="I49" s="3">
        <v>1780</v>
      </c>
      <c r="J49" s="3">
        <v>3374.6</v>
      </c>
      <c r="K49" s="3">
        <v>2084.77</v>
      </c>
      <c r="L49" s="3">
        <v>1656.97</v>
      </c>
      <c r="M49" s="3">
        <v>1868.55</v>
      </c>
      <c r="N49" s="3">
        <v>1233.7115384615399</v>
      </c>
      <c r="O49" s="3">
        <v>1233.7115384615399</v>
      </c>
      <c r="P49" s="10"/>
      <c r="Q49" s="3">
        <f>SUM(OSRRefD21_0_6x)+IFERROR(SUM(OSRRefE21_0_6x),0)</f>
        <v>22583.00307692308</v>
      </c>
    </row>
    <row r="50" spans="1:17" s="42" customFormat="1" ht="15" hidden="1" customHeight="1" outlineLevel="1" x14ac:dyDescent="0.3">
      <c r="A50" s="34"/>
      <c r="B50" s="11" t="str">
        <f>CONCATENATE("          ","6119"," - ","SICK LEAVE")</f>
        <v xml:space="preserve">          6119 - SICK LEAVE</v>
      </c>
      <c r="C50" s="15"/>
      <c r="D50" s="3">
        <v>1120.42</v>
      </c>
      <c r="E50" s="3">
        <v>1120.42</v>
      </c>
      <c r="F50" s="3">
        <v>1120.42</v>
      </c>
      <c r="G50" s="3">
        <v>1680.63</v>
      </c>
      <c r="H50" s="3">
        <v>1165.22</v>
      </c>
      <c r="I50" s="3">
        <v>1165.22</v>
      </c>
      <c r="J50" s="3">
        <v>5294.1</v>
      </c>
      <c r="K50" s="3">
        <v>1933.93</v>
      </c>
      <c r="L50" s="3">
        <v>1237.52</v>
      </c>
      <c r="M50" s="3">
        <v>1718.13</v>
      </c>
      <c r="N50" s="3">
        <v>2766.2618384615398</v>
      </c>
      <c r="O50" s="3">
        <v>2766.2618384615398</v>
      </c>
      <c r="P50" s="10"/>
      <c r="Q50" s="3">
        <f>SUM(OSRRefD21_0_7x)+IFERROR(SUM(OSRRefE21_0_7x),0)</f>
        <v>23088.533676923082</v>
      </c>
    </row>
    <row r="51" spans="1:17" s="42" customFormat="1" ht="15" hidden="1" customHeight="1" outlineLevel="1" x14ac:dyDescent="0.3">
      <c r="A51" s="34"/>
      <c r="B51" s="11" t="str">
        <f>CONCATENATE("          ","6156"," - ","EMPLOYEE MEALS")</f>
        <v xml:space="preserve">          6156 - EMPLOYEE MEALS</v>
      </c>
      <c r="C51" s="15"/>
      <c r="D51" s="3">
        <v>387.73</v>
      </c>
      <c r="E51" s="3">
        <v>689.18</v>
      </c>
      <c r="F51" s="3">
        <v>793.87</v>
      </c>
      <c r="G51" s="3">
        <v>1107.44</v>
      </c>
      <c r="H51" s="3">
        <v>799.89</v>
      </c>
      <c r="I51" s="3">
        <v>794.47</v>
      </c>
      <c r="J51" s="3">
        <v>821.7</v>
      </c>
      <c r="K51" s="3">
        <v>961.69</v>
      </c>
      <c r="L51" s="3">
        <v>1062.54</v>
      </c>
      <c r="M51" s="3">
        <v>765.22</v>
      </c>
      <c r="N51" s="3">
        <v>875</v>
      </c>
      <c r="O51" s="3">
        <v>875</v>
      </c>
      <c r="P51" s="10"/>
      <c r="Q51" s="3">
        <f>SUM(OSRRefD21_0_8x)+IFERROR(SUM(OSRRefE21_0_8x),0)</f>
        <v>9933.73</v>
      </c>
    </row>
    <row r="52" spans="1:17" s="42" customFormat="1" ht="15" customHeight="1" collapsed="1" x14ac:dyDescent="0.3">
      <c r="A52" s="34"/>
      <c r="B52" s="15" t="str">
        <f>CONCATENATE("     ","*Payroll                                          ")</f>
        <v xml:space="preserve">     *Payroll                                          </v>
      </c>
      <c r="C52" s="15"/>
      <c r="D52" s="2">
        <f>SUM(OSRRefD21_1x_0)</f>
        <v>59216.320000000007</v>
      </c>
      <c r="E52" s="2">
        <f>SUM(OSRRefD21_1x_1)</f>
        <v>66607.640000000014</v>
      </c>
      <c r="F52" s="2">
        <f>SUM(OSRRefD21_1x_2)</f>
        <v>59644.810000000005</v>
      </c>
      <c r="G52" s="2">
        <f>SUM(OSRRefD21_1x_3)</f>
        <v>64816.81</v>
      </c>
      <c r="H52" s="2">
        <f>SUM(OSRRefD21_1x_4)</f>
        <v>53645.79</v>
      </c>
      <c r="I52" s="2">
        <f>SUM(OSRRefD21_1x_5)</f>
        <v>59611.81</v>
      </c>
      <c r="J52" s="2">
        <f>SUM(OSRRefD21_1x_6)</f>
        <v>73548.78</v>
      </c>
      <c r="K52" s="2">
        <f>SUM(OSRRefD21_1x_7)</f>
        <v>77219.19</v>
      </c>
      <c r="L52" s="2">
        <f>SUM(OSRRefD21_1x_8)</f>
        <v>74516.400000000009</v>
      </c>
      <c r="M52" s="2">
        <f>SUM(OSRRefD21_1x_9)</f>
        <v>84761.9</v>
      </c>
      <c r="N52" s="2">
        <f>SUM(OSRRefE21_1x_0)</f>
        <v>65046.825692307699</v>
      </c>
      <c r="O52" s="2">
        <f>SUM(OSRRefE21_1x_1)</f>
        <v>65046.825692307699</v>
      </c>
      <c r="Q52" s="3">
        <f>SUM(OSRRefD20_1x)+IFERROR(SUM(OSRRefE20_1x),0)</f>
        <v>803683.10138461529</v>
      </c>
    </row>
    <row r="53" spans="1:17" s="42" customFormat="1" ht="15" hidden="1" customHeight="1" outlineLevel="1" x14ac:dyDescent="0.3">
      <c r="A53" s="34"/>
      <c r="B53" s="11" t="str">
        <f>CONCATENATE("          ","6001"," - ","ADMINISTRATIVE SALARIES")</f>
        <v xml:space="preserve">          6001 - ADMINISTRATIVE SALARIES</v>
      </c>
      <c r="C53" s="15"/>
      <c r="D53" s="3"/>
      <c r="E53" s="3"/>
      <c r="F53" s="3"/>
      <c r="G53" s="3"/>
      <c r="H53" s="3"/>
      <c r="I53" s="3"/>
      <c r="J53" s="3"/>
      <c r="K53" s="3"/>
      <c r="L53" s="3"/>
      <c r="M53" s="3"/>
      <c r="N53" s="3">
        <v>0</v>
      </c>
      <c r="O53" s="3">
        <v>0</v>
      </c>
      <c r="P53" s="10"/>
      <c r="Q53" s="3">
        <f>SUM(OSRRefD21_1_0x)+IFERROR(SUM(OSRRefE21_1_0x),0)</f>
        <v>0</v>
      </c>
    </row>
    <row r="54" spans="1:17" s="42" customFormat="1" ht="15" hidden="1" customHeight="1" outlineLevel="1" x14ac:dyDescent="0.3">
      <c r="A54" s="34"/>
      <c r="B54" s="11" t="str">
        <f>CONCATENATE("          ","6002"," - ","STAFF SALARIES")</f>
        <v xml:space="preserve">          6002 - STAFF SALARIES</v>
      </c>
      <c r="C54" s="15"/>
      <c r="D54" s="3">
        <v>17125.82</v>
      </c>
      <c r="E54" s="3">
        <v>17127.64</v>
      </c>
      <c r="F54" s="3">
        <v>17490.93</v>
      </c>
      <c r="G54" s="3">
        <v>16163.64</v>
      </c>
      <c r="H54" s="3">
        <v>15374.72</v>
      </c>
      <c r="I54" s="3">
        <v>16571.2</v>
      </c>
      <c r="J54" s="3">
        <v>18768.439999999999</v>
      </c>
      <c r="K54" s="3">
        <v>13696.08</v>
      </c>
      <c r="L54" s="3">
        <v>11334.67</v>
      </c>
      <c r="M54" s="3">
        <v>14236.38</v>
      </c>
      <c r="N54" s="3">
        <v>14790.807692307701</v>
      </c>
      <c r="O54" s="3">
        <v>14790.807692307701</v>
      </c>
      <c r="P54" s="10"/>
      <c r="Q54" s="3">
        <f>SUM(OSRRefD21_1_1x)+IFERROR(SUM(OSRRefE21_1_1x),0)</f>
        <v>187471.13538461542</v>
      </c>
    </row>
    <row r="55" spans="1:17" s="42" customFormat="1" ht="15" hidden="1" customHeight="1" outlineLevel="1" x14ac:dyDescent="0.3">
      <c r="A55" s="34"/>
      <c r="B55" s="11" t="str">
        <f>CONCATENATE("          ","6003"," - ","STAFF HOURLY-9 MONTH")</f>
        <v xml:space="preserve">          6003 - STAFF HOURLY-9 MONTH</v>
      </c>
      <c r="C55" s="15"/>
      <c r="D55" s="3"/>
      <c r="E55" s="3"/>
      <c r="F55" s="3"/>
      <c r="G55" s="3"/>
      <c r="H55" s="3"/>
      <c r="I55" s="3"/>
      <c r="J55" s="3"/>
      <c r="K55" s="3"/>
      <c r="L55" s="3"/>
      <c r="M55" s="3"/>
      <c r="N55" s="3">
        <v>0</v>
      </c>
      <c r="O55" s="3">
        <v>0</v>
      </c>
      <c r="P55" s="10"/>
      <c r="Q55" s="3">
        <f>SUM(OSRRefD21_1_2x)+IFERROR(SUM(OSRRefE21_1_2x),0)</f>
        <v>0</v>
      </c>
    </row>
    <row r="56" spans="1:17" s="42" customFormat="1" ht="15" hidden="1" customHeight="1" outlineLevel="1" x14ac:dyDescent="0.3">
      <c r="A56" s="34"/>
      <c r="B56" s="11" t="str">
        <f>CONCATENATE("          ","6004"," - ","STAFF HOURLY")</f>
        <v xml:space="preserve">          6004 - STAFF HOURLY</v>
      </c>
      <c r="C56" s="15"/>
      <c r="D56" s="3">
        <v>8345.83</v>
      </c>
      <c r="E56" s="3">
        <v>8099.25</v>
      </c>
      <c r="F56" s="3">
        <v>8783.39</v>
      </c>
      <c r="G56" s="3">
        <v>12445.29</v>
      </c>
      <c r="H56" s="3">
        <v>8117.76</v>
      </c>
      <c r="I56" s="3">
        <v>7713.05</v>
      </c>
      <c r="J56" s="3">
        <v>6306.96</v>
      </c>
      <c r="K56" s="3">
        <v>13957.01</v>
      </c>
      <c r="L56" s="3">
        <v>9796.66</v>
      </c>
      <c r="M56" s="3">
        <v>19083.689999999999</v>
      </c>
      <c r="N56" s="3">
        <v>18345.407999999999</v>
      </c>
      <c r="O56" s="3">
        <v>18345.407999999999</v>
      </c>
      <c r="P56" s="10"/>
      <c r="Q56" s="3">
        <f>SUM(OSRRefD21_1_3x)+IFERROR(SUM(OSRRefE21_1_3x),0)</f>
        <v>139339.70600000001</v>
      </c>
    </row>
    <row r="57" spans="1:17" s="42" customFormat="1" ht="15" hidden="1" customHeight="1" outlineLevel="1" x14ac:dyDescent="0.3">
      <c r="A57" s="34"/>
      <c r="B57" s="11" t="str">
        <f>CONCATENATE("          ","6005"," - ","TEMPORARY WAGES-HOURLY")</f>
        <v xml:space="preserve">          6005 - TEMPORARY WAGES-HOURLY</v>
      </c>
      <c r="C57" s="15"/>
      <c r="D57" s="3">
        <v>3365.77</v>
      </c>
      <c r="E57" s="3">
        <v>3244.26</v>
      </c>
      <c r="F57" s="3">
        <v>3686.9</v>
      </c>
      <c r="G57" s="3">
        <v>4318.3599999999997</v>
      </c>
      <c r="H57" s="3">
        <v>3232.62</v>
      </c>
      <c r="I57" s="3">
        <v>2228.7399999999998</v>
      </c>
      <c r="J57" s="3">
        <v>4337.68</v>
      </c>
      <c r="K57" s="3">
        <v>2583.6</v>
      </c>
      <c r="L57" s="3">
        <v>1952.65</v>
      </c>
      <c r="M57" s="3">
        <v>1371.01</v>
      </c>
      <c r="N57" s="3">
        <v>0</v>
      </c>
      <c r="O57" s="3">
        <v>0</v>
      </c>
      <c r="P57" s="10"/>
      <c r="Q57" s="3">
        <f>SUM(OSRRefD21_1_4x)+IFERROR(SUM(OSRRefE21_1_4x),0)</f>
        <v>30321.59</v>
      </c>
    </row>
    <row r="58" spans="1:17" s="42" customFormat="1" ht="15" hidden="1" customHeight="1" outlineLevel="1" x14ac:dyDescent="0.3">
      <c r="A58" s="34"/>
      <c r="B58" s="11" t="str">
        <f>CONCATENATE("          ","6006"," - ","TEMPORARY PART TIME")</f>
        <v xml:space="preserve">          6006 - TEMPORARY PART TIME</v>
      </c>
      <c r="C58" s="15"/>
      <c r="D58" s="3"/>
      <c r="E58" s="3"/>
      <c r="F58" s="3"/>
      <c r="G58" s="3"/>
      <c r="H58" s="3"/>
      <c r="I58" s="3"/>
      <c r="J58" s="3"/>
      <c r="K58" s="3"/>
      <c r="L58" s="3"/>
      <c r="M58" s="3"/>
      <c r="N58" s="3">
        <v>0</v>
      </c>
      <c r="O58" s="3">
        <v>0</v>
      </c>
      <c r="P58" s="10"/>
      <c r="Q58" s="3">
        <f>SUM(OSRRefD21_1_5x)+IFERROR(SUM(OSRRefE21_1_5x),0)</f>
        <v>0</v>
      </c>
    </row>
    <row r="59" spans="1:17" s="42" customFormat="1" ht="15" hidden="1" customHeight="1" outlineLevel="1" x14ac:dyDescent="0.3">
      <c r="A59" s="34"/>
      <c r="B59" s="11" t="str">
        <f>CONCATENATE("          ","6007"," - ","STUDENT HOURLY")</f>
        <v xml:space="preserve">          6007 - STUDENT HOURLY</v>
      </c>
      <c r="C59" s="15"/>
      <c r="D59" s="3">
        <v>22560.71</v>
      </c>
      <c r="E59" s="3">
        <v>28817.95</v>
      </c>
      <c r="F59" s="3">
        <v>24317.52</v>
      </c>
      <c r="G59" s="3">
        <v>24865.86</v>
      </c>
      <c r="H59" s="3">
        <v>21401.58</v>
      </c>
      <c r="I59" s="3">
        <v>28181.46</v>
      </c>
      <c r="J59" s="3">
        <v>40211.74</v>
      </c>
      <c r="K59" s="3">
        <v>35078.5</v>
      </c>
      <c r="L59" s="3">
        <v>42859.68</v>
      </c>
      <c r="M59" s="3">
        <v>34780.1</v>
      </c>
      <c r="N59" s="3">
        <v>29532</v>
      </c>
      <c r="O59" s="3">
        <v>2378.61</v>
      </c>
      <c r="P59" s="10"/>
      <c r="Q59" s="3">
        <f>SUM(OSRRefD21_1_6x)+IFERROR(SUM(OSRRefE21_1_6x),0)</f>
        <v>334985.70999999996</v>
      </c>
    </row>
    <row r="60" spans="1:17" s="42" customFormat="1" ht="15" hidden="1" customHeight="1" outlineLevel="1" x14ac:dyDescent="0.3">
      <c r="A60" s="34"/>
      <c r="B60" s="11" t="str">
        <f>CONCATENATE("          ","6008"," - ","STUDENT HOURLY-FICA EXEMPT")</f>
        <v xml:space="preserve">          6008 - STUDENT HOURLY-FICA EXEMPT</v>
      </c>
      <c r="C60" s="15"/>
      <c r="D60" s="3">
        <v>7818.19</v>
      </c>
      <c r="E60" s="3">
        <v>9318.5400000000009</v>
      </c>
      <c r="F60" s="3">
        <v>5366.07</v>
      </c>
      <c r="G60" s="3">
        <v>7023.66</v>
      </c>
      <c r="H60" s="3">
        <v>5519.11</v>
      </c>
      <c r="I60" s="3">
        <v>4917.3599999999997</v>
      </c>
      <c r="J60" s="3">
        <v>3923.96</v>
      </c>
      <c r="K60" s="3">
        <v>11904</v>
      </c>
      <c r="L60" s="3">
        <v>8572.74</v>
      </c>
      <c r="M60" s="3">
        <v>15290.72</v>
      </c>
      <c r="N60" s="3">
        <v>2378.61</v>
      </c>
      <c r="O60" s="3">
        <v>29532</v>
      </c>
      <c r="P60" s="10"/>
      <c r="Q60" s="3">
        <f>SUM(OSRRefD21_1_7x)+IFERROR(SUM(OSRRefE21_1_7x),0)</f>
        <v>111564.95999999999</v>
      </c>
    </row>
    <row r="61" spans="1:17" s="42" customFormat="1" ht="15" hidden="1" customHeight="1" outlineLevel="1" x14ac:dyDescent="0.3">
      <c r="A61" s="34"/>
      <c r="B61" s="11" t="str">
        <f>CONCATENATE("          ","6009"," - ","TEMPORARY-SEASONAL")</f>
        <v xml:space="preserve">          6009 - TEMPORARY-SEASONAL</v>
      </c>
      <c r="C61" s="15"/>
      <c r="D61" s="3"/>
      <c r="E61" s="3"/>
      <c r="F61" s="3"/>
      <c r="G61" s="3"/>
      <c r="H61" s="3"/>
      <c r="I61" s="3"/>
      <c r="J61" s="3"/>
      <c r="K61" s="3"/>
      <c r="L61" s="3"/>
      <c r="M61" s="3"/>
      <c r="N61" s="3">
        <v>0</v>
      </c>
      <c r="O61" s="3">
        <v>0</v>
      </c>
      <c r="P61" s="10"/>
      <c r="Q61" s="3">
        <f>SUM(OSRRefD21_1_8x)+IFERROR(SUM(OSRRefE21_1_8x),0)</f>
        <v>0</v>
      </c>
    </row>
    <row r="62" spans="1:17" s="42" customFormat="1" ht="15" hidden="1" customHeight="1" outlineLevel="1" x14ac:dyDescent="0.3">
      <c r="A62" s="34"/>
      <c r="B62" s="11" t="str">
        <f>CONCATENATE("          ","6010"," - ","GRATUITY")</f>
        <v xml:space="preserve">          6010 - GRATUITY</v>
      </c>
      <c r="C62" s="15"/>
      <c r="D62" s="3"/>
      <c r="E62" s="3"/>
      <c r="F62" s="3"/>
      <c r="G62" s="3"/>
      <c r="H62" s="3"/>
      <c r="I62" s="3"/>
      <c r="J62" s="3"/>
      <c r="K62" s="3"/>
      <c r="L62" s="3"/>
      <c r="M62" s="3"/>
      <c r="N62" s="3">
        <v>0</v>
      </c>
      <c r="O62" s="3">
        <v>0</v>
      </c>
      <c r="P62" s="10"/>
      <c r="Q62" s="3">
        <f>SUM(OSRRefD21_1_9x)+IFERROR(SUM(OSRRefE21_1_9x),0)</f>
        <v>0</v>
      </c>
    </row>
    <row r="63" spans="1:17" s="42" customFormat="1" ht="15" customHeight="1" collapsed="1" x14ac:dyDescent="0.3">
      <c r="A63" s="34"/>
      <c r="B63" s="15" t="str">
        <f>CONCATENATE("     ","Advertising/Promo                                 ")</f>
        <v xml:space="preserve">     Advertising/Promo                                 </v>
      </c>
      <c r="C63" s="15"/>
      <c r="D63" s="2">
        <f>SUM(OSRRefD21_2x_0)</f>
        <v>393.63</v>
      </c>
      <c r="E63" s="2">
        <f>SUM(OSRRefD21_2x_1)</f>
        <v>1263.1199999999999</v>
      </c>
      <c r="F63" s="2">
        <f>SUM(OSRRefD21_2x_2)</f>
        <v>110.26</v>
      </c>
      <c r="G63" s="2">
        <f>SUM(OSRRefD21_2x_3)</f>
        <v>723.37</v>
      </c>
      <c r="H63" s="2">
        <f>SUM(OSRRefD21_2x_4)</f>
        <v>662.42</v>
      </c>
      <c r="I63" s="2">
        <f>SUM(OSRRefD21_2x_5)</f>
        <v>158.76</v>
      </c>
      <c r="J63" s="2">
        <f>SUM(OSRRefD21_2x_6)</f>
        <v>723.83</v>
      </c>
      <c r="K63" s="2">
        <f>SUM(OSRRefD21_2x_7)</f>
        <v>316.10000000000002</v>
      </c>
      <c r="L63" s="2">
        <f>SUM(OSRRefD21_2x_8)</f>
        <v>2355.75</v>
      </c>
      <c r="M63" s="2">
        <f>SUM(OSRRefD21_2x_9)</f>
        <v>2512.85</v>
      </c>
      <c r="N63" s="2">
        <f>SUM(OSRRefE21_2x_0)</f>
        <v>100</v>
      </c>
      <c r="O63" s="2">
        <f>SUM(OSRRefE21_2x_1)</f>
        <v>100</v>
      </c>
      <c r="Q63" s="3">
        <f>SUM(OSRRefD20_2x)+IFERROR(SUM(OSRRefE20_2x),0)</f>
        <v>9420.09</v>
      </c>
    </row>
    <row r="64" spans="1:17" s="42" customFormat="1" ht="15" hidden="1" customHeight="1" outlineLevel="1" x14ac:dyDescent="0.3">
      <c r="A64" s="34"/>
      <c r="B64" s="11" t="str">
        <f>CONCATENATE("          ","6362"," - ","ADVERTISING EXPENSE")</f>
        <v xml:space="preserve">          6362 - ADVERTISING EXPENSE</v>
      </c>
      <c r="C64" s="15"/>
      <c r="D64" s="3">
        <v>393.63</v>
      </c>
      <c r="E64" s="3">
        <v>1263.1199999999999</v>
      </c>
      <c r="F64" s="3">
        <v>110.26</v>
      </c>
      <c r="G64" s="3">
        <v>723.37</v>
      </c>
      <c r="H64" s="3">
        <v>662.42</v>
      </c>
      <c r="I64" s="3">
        <v>158.76</v>
      </c>
      <c r="J64" s="3">
        <v>723.83</v>
      </c>
      <c r="K64" s="3">
        <v>316.10000000000002</v>
      </c>
      <c r="L64" s="3">
        <v>2355.75</v>
      </c>
      <c r="M64" s="3">
        <v>2512.85</v>
      </c>
      <c r="N64" s="3">
        <v>100</v>
      </c>
      <c r="O64" s="3">
        <v>100</v>
      </c>
      <c r="P64" s="10"/>
      <c r="Q64" s="3">
        <f>SUM(OSRRefD21_2_0x)+IFERROR(SUM(OSRRefE21_2_0x),0)</f>
        <v>9420.09</v>
      </c>
    </row>
    <row r="65" spans="1:17" s="42" customFormat="1" ht="15" customHeight="1" collapsed="1" x14ac:dyDescent="0.3">
      <c r="A65" s="34"/>
      <c r="B65" s="15" t="str">
        <f>CONCATENATE("     ","Bad Debts/Over/Short                              ")</f>
        <v xml:space="preserve">     Bad Debts/Over/Short                              </v>
      </c>
      <c r="C65" s="15"/>
      <c r="D65" s="2">
        <f>SUM(OSRRefD21_3x_0)</f>
        <v>0.6</v>
      </c>
      <c r="E65" s="2">
        <f>SUM(OSRRefD21_3x_1)</f>
        <v>7.0000000000000007E-2</v>
      </c>
      <c r="F65" s="2">
        <f>SUM(OSRRefD21_3x_2)</f>
        <v>1.03</v>
      </c>
      <c r="G65" s="2">
        <f>SUM(OSRRefD21_3x_3)</f>
        <v>-10.06</v>
      </c>
      <c r="H65" s="2">
        <f>SUM(OSRRefD21_3x_4)</f>
        <v>-0.66</v>
      </c>
      <c r="I65" s="2">
        <f>SUM(OSRRefD21_3x_5)</f>
        <v>-1.01</v>
      </c>
      <c r="J65" s="2">
        <f>SUM(OSRRefD21_3x_6)</f>
        <v>-3.35</v>
      </c>
      <c r="K65" s="2">
        <f>SUM(OSRRefD21_3x_7)</f>
        <v>-20.02</v>
      </c>
      <c r="L65" s="2">
        <f>SUM(OSRRefD21_3x_8)</f>
        <v>-15.08</v>
      </c>
      <c r="M65" s="2">
        <f>SUM(OSRRefD21_3x_9)</f>
        <v>-0.43</v>
      </c>
      <c r="N65" s="2">
        <f>SUM(OSRRefE21_3x_0)</f>
        <v>10</v>
      </c>
      <c r="O65" s="2">
        <f>SUM(OSRRefE21_3x_1)</f>
        <v>10</v>
      </c>
      <c r="Q65" s="3">
        <f>SUM(OSRRefD20_3x)+IFERROR(SUM(OSRRefE20_3x),0)</f>
        <v>-28.909999999999997</v>
      </c>
    </row>
    <row r="66" spans="1:17" s="42" customFormat="1" ht="15" hidden="1" customHeight="1" outlineLevel="1" x14ac:dyDescent="0.3">
      <c r="A66" s="34"/>
      <c r="B66" s="11" t="str">
        <f>CONCATENATE("          ","6272"," - ","CASH (OVER/SHORT)")</f>
        <v xml:space="preserve">          6272 - CASH (OVER/SHORT)</v>
      </c>
      <c r="C66" s="15"/>
      <c r="D66" s="3">
        <v>0.6</v>
      </c>
      <c r="E66" s="3">
        <v>7.0000000000000007E-2</v>
      </c>
      <c r="F66" s="3">
        <v>1.03</v>
      </c>
      <c r="G66" s="3">
        <v>-10.06</v>
      </c>
      <c r="H66" s="3">
        <v>-0.66</v>
      </c>
      <c r="I66" s="3">
        <v>-1.01</v>
      </c>
      <c r="J66" s="3">
        <v>-3.35</v>
      </c>
      <c r="K66" s="3">
        <v>-20.02</v>
      </c>
      <c r="L66" s="3">
        <v>-15.08</v>
      </c>
      <c r="M66" s="3">
        <v>-0.43</v>
      </c>
      <c r="N66" s="3">
        <v>10</v>
      </c>
      <c r="O66" s="3">
        <v>10</v>
      </c>
      <c r="P66" s="10"/>
      <c r="Q66" s="3">
        <f>SUM(OSRRefD21_3_0x)+IFERROR(SUM(OSRRefE21_3_0x),0)</f>
        <v>-28.909999999999997</v>
      </c>
    </row>
    <row r="67" spans="1:17" s="42" customFormat="1" ht="15" customHeight="1" collapsed="1" x14ac:dyDescent="0.3">
      <c r="A67" s="34"/>
      <c r="B67" s="15" t="str">
        <f>CONCATENATE("     ","Bank/card Fees                                    ")</f>
        <v xml:space="preserve">     Bank/card Fees                                    </v>
      </c>
      <c r="C67" s="15"/>
      <c r="D67" s="2">
        <f>SUM(OSRRefD21_4x_0)</f>
        <v>492.32</v>
      </c>
      <c r="E67" s="2">
        <f>SUM(OSRRefD21_4x_1)</f>
        <v>614.21</v>
      </c>
      <c r="F67" s="2">
        <f>SUM(OSRRefD21_4x_2)</f>
        <v>395.45</v>
      </c>
      <c r="G67" s="2">
        <f>SUM(OSRRefD21_4x_3)</f>
        <v>419.96</v>
      </c>
      <c r="H67" s="2">
        <f>SUM(OSRRefD21_4x_4)</f>
        <v>552.5</v>
      </c>
      <c r="I67" s="2">
        <f>SUM(OSRRefD21_4x_5)</f>
        <v>1000.14</v>
      </c>
      <c r="J67" s="2">
        <f>SUM(OSRRefD21_4x_6)</f>
        <v>339.5</v>
      </c>
      <c r="K67" s="2">
        <f>SUM(OSRRefD21_4x_7)</f>
        <v>452.13</v>
      </c>
      <c r="L67" s="2">
        <f>SUM(OSRRefD21_4x_8)</f>
        <v>508.74</v>
      </c>
      <c r="M67" s="2">
        <f>SUM(OSRRefD21_4x_9)</f>
        <v>570.77</v>
      </c>
      <c r="N67" s="2">
        <f>SUM(OSRRefE21_4x_0)</f>
        <v>1229</v>
      </c>
      <c r="O67" s="2">
        <f>SUM(OSRRefE21_4x_1)</f>
        <v>1118</v>
      </c>
      <c r="Q67" s="3">
        <f>SUM(OSRRefD20_4x)+IFERROR(SUM(OSRRefE20_4x),0)</f>
        <v>7692.7199999999993</v>
      </c>
    </row>
    <row r="68" spans="1:17" s="42" customFormat="1" ht="15" hidden="1" customHeight="1" outlineLevel="1" x14ac:dyDescent="0.3">
      <c r="A68" s="34"/>
      <c r="B68" s="11" t="str">
        <f>CONCATENATE("          ","6381"," - ","BANK/CREDIT CARD FEES")</f>
        <v xml:space="preserve">          6381 - BANK/CREDIT CARD FEES</v>
      </c>
      <c r="C68" s="15"/>
      <c r="D68" s="3">
        <v>492.32</v>
      </c>
      <c r="E68" s="3">
        <v>614.21</v>
      </c>
      <c r="F68" s="3">
        <v>395.45</v>
      </c>
      <c r="G68" s="3">
        <v>419.96</v>
      </c>
      <c r="H68" s="3">
        <v>552.5</v>
      </c>
      <c r="I68" s="3">
        <v>1000.14</v>
      </c>
      <c r="J68" s="3">
        <v>339.5</v>
      </c>
      <c r="K68" s="3">
        <v>452.13</v>
      </c>
      <c r="L68" s="3">
        <v>508.74</v>
      </c>
      <c r="M68" s="3">
        <v>570.77</v>
      </c>
      <c r="N68" s="3">
        <v>1229</v>
      </c>
      <c r="O68" s="3">
        <v>1118</v>
      </c>
      <c r="P68" s="10"/>
      <c r="Q68" s="3">
        <f>SUM(OSRRefD21_4_0x)+IFERROR(SUM(OSRRefE21_4_0x),0)</f>
        <v>7692.7199999999993</v>
      </c>
    </row>
    <row r="69" spans="1:17" s="42" customFormat="1" ht="15" customHeight="1" collapsed="1" x14ac:dyDescent="0.3">
      <c r="A69" s="34"/>
      <c r="B69" s="15" t="str">
        <f>CONCATENATE("     ","Discounts and Markdowns                           ")</f>
        <v xml:space="preserve">     Discounts and Markdowns                           </v>
      </c>
      <c r="C69" s="15"/>
      <c r="D69" s="2">
        <f>SUM(OSRRefD21_5x_0)</f>
        <v>0</v>
      </c>
      <c r="E69" s="2">
        <f>SUM(OSRRefD21_5x_1)</f>
        <v>-66.11</v>
      </c>
      <c r="F69" s="2">
        <f>SUM(OSRRefD21_5x_2)</f>
        <v>66.11</v>
      </c>
      <c r="G69" s="2">
        <f>SUM(OSRRefD21_5x_3)</f>
        <v>0</v>
      </c>
      <c r="H69" s="2">
        <f>SUM(OSRRefD21_5x_4)</f>
        <v>0</v>
      </c>
      <c r="I69" s="2">
        <f>SUM(OSRRefD21_5x_5)</f>
        <v>0</v>
      </c>
      <c r="J69" s="2">
        <f>SUM(OSRRefD21_5x_6)</f>
        <v>0</v>
      </c>
      <c r="K69" s="2">
        <f>SUM(OSRRefD21_5x_7)</f>
        <v>0</v>
      </c>
      <c r="L69" s="2">
        <f>SUM(OSRRefD21_5x_8)</f>
        <v>0</v>
      </c>
      <c r="M69" s="2">
        <f>SUM(OSRRefD21_5x_9)</f>
        <v>0</v>
      </c>
      <c r="N69" s="2">
        <f>SUM(OSRRefE21_5x_0)</f>
        <v>0</v>
      </c>
      <c r="O69" s="2">
        <f>SUM(OSRRefE21_5x_1)</f>
        <v>0</v>
      </c>
      <c r="Q69" s="3">
        <f>SUM(OSRRefD20_5x)+IFERROR(SUM(OSRRefE20_5x),0)</f>
        <v>0</v>
      </c>
    </row>
    <row r="70" spans="1:17" s="42" customFormat="1" ht="15" hidden="1" customHeight="1" outlineLevel="1" x14ac:dyDescent="0.3">
      <c r="A70" s="34"/>
      <c r="B70" s="11" t="str">
        <f>CONCATENATE("          ","9175"," - ","EARNED DISCOUNTS")</f>
        <v xml:space="preserve">          9175 - EARNED DISCOUNTS</v>
      </c>
      <c r="C70" s="15"/>
      <c r="D70" s="3"/>
      <c r="E70" s="3">
        <v>-66.11</v>
      </c>
      <c r="F70" s="3">
        <v>66.11</v>
      </c>
      <c r="G70" s="3">
        <v>0</v>
      </c>
      <c r="H70" s="3">
        <v>0</v>
      </c>
      <c r="I70" s="3"/>
      <c r="J70" s="3"/>
      <c r="K70" s="3"/>
      <c r="L70" s="3"/>
      <c r="M70" s="3"/>
      <c r="N70" s="3"/>
      <c r="O70" s="3"/>
      <c r="P70" s="10"/>
      <c r="Q70" s="3">
        <f>SUM(OSRRefD21_5_0x)+IFERROR(SUM(OSRRefE21_5_0x),0)</f>
        <v>0</v>
      </c>
    </row>
    <row r="71" spans="1:17" s="42" customFormat="1" ht="15" customHeight="1" collapsed="1" x14ac:dyDescent="0.3">
      <c r="A71" s="34"/>
      <c r="B71" s="15" t="str">
        <f>CONCATENATE("     ","Employees' Appreciation                           ")</f>
        <v xml:space="preserve">     Employees' Appreciation                           </v>
      </c>
      <c r="C71" s="15"/>
      <c r="D71" s="2">
        <f>SUM(OSRRefD21_6x_0)</f>
        <v>216.44</v>
      </c>
      <c r="E71" s="2">
        <f>SUM(OSRRefD21_6x_1)</f>
        <v>0</v>
      </c>
      <c r="F71" s="2">
        <f>SUM(OSRRefD21_6x_2)</f>
        <v>0</v>
      </c>
      <c r="G71" s="2">
        <f>SUM(OSRRefD21_6x_3)</f>
        <v>0</v>
      </c>
      <c r="H71" s="2">
        <f>SUM(OSRRefD21_6x_4)</f>
        <v>0</v>
      </c>
      <c r="I71" s="2">
        <f>SUM(OSRRefD21_6x_5)</f>
        <v>0</v>
      </c>
      <c r="J71" s="2">
        <f>SUM(OSRRefD21_6x_6)</f>
        <v>0</v>
      </c>
      <c r="K71" s="2">
        <f>SUM(OSRRefD21_6x_7)</f>
        <v>0</v>
      </c>
      <c r="L71" s="2">
        <f>SUM(OSRRefD21_6x_8)</f>
        <v>74.69</v>
      </c>
      <c r="M71" s="2">
        <f>SUM(OSRRefD21_6x_9)</f>
        <v>0</v>
      </c>
      <c r="N71" s="2">
        <f>SUM(OSRRefE21_6x_0)</f>
        <v>75</v>
      </c>
      <c r="O71" s="2">
        <f>SUM(OSRRefE21_6x_1)</f>
        <v>75</v>
      </c>
      <c r="Q71" s="3">
        <f>SUM(OSRRefD20_6x)+IFERROR(SUM(OSRRefE20_6x),0)</f>
        <v>441.13</v>
      </c>
    </row>
    <row r="72" spans="1:17" s="42" customFormat="1" ht="15" hidden="1" customHeight="1" outlineLevel="1" x14ac:dyDescent="0.3">
      <c r="A72" s="34"/>
      <c r="B72" s="11" t="str">
        <f>CONCATENATE("          ","6277"," - ","EMPLOYEE APPRECIATION")</f>
        <v xml:space="preserve">          6277 - EMPLOYEE APPRECIATION</v>
      </c>
      <c r="C72" s="15"/>
      <c r="D72" s="3">
        <v>216.44</v>
      </c>
      <c r="E72" s="3"/>
      <c r="F72" s="3"/>
      <c r="G72" s="3"/>
      <c r="H72" s="3"/>
      <c r="I72" s="3"/>
      <c r="J72" s="3"/>
      <c r="K72" s="3"/>
      <c r="L72" s="3">
        <v>74.69</v>
      </c>
      <c r="M72" s="3"/>
      <c r="N72" s="3">
        <v>75</v>
      </c>
      <c r="O72" s="3">
        <v>75</v>
      </c>
      <c r="P72" s="10"/>
      <c r="Q72" s="3">
        <f>SUM(OSRRefD21_6_0x)+IFERROR(SUM(OSRRefE21_6_0x),0)</f>
        <v>441.13</v>
      </c>
    </row>
    <row r="73" spans="1:17" s="42" customFormat="1" ht="15" customHeight="1" collapsed="1" x14ac:dyDescent="0.3">
      <c r="A73" s="34"/>
      <c r="B73" s="15" t="str">
        <f>CONCATENATE("     ","Equipment Rental                                  ")</f>
        <v xml:space="preserve">     Equipment Rental                                  </v>
      </c>
      <c r="C73" s="15"/>
      <c r="D73" s="2">
        <f>SUM(OSRRefD21_7x_0)</f>
        <v>0</v>
      </c>
      <c r="E73" s="2">
        <f>SUM(OSRRefD21_7x_1)</f>
        <v>0</v>
      </c>
      <c r="F73" s="2">
        <f>SUM(OSRRefD21_7x_2)</f>
        <v>0</v>
      </c>
      <c r="G73" s="2">
        <f>SUM(OSRRefD21_7x_3)</f>
        <v>0</v>
      </c>
      <c r="H73" s="2">
        <f>SUM(OSRRefD21_7x_4)</f>
        <v>0</v>
      </c>
      <c r="I73" s="2">
        <f>SUM(OSRRefD21_7x_5)</f>
        <v>118.91</v>
      </c>
      <c r="J73" s="2">
        <f>SUM(OSRRefD21_7x_6)</f>
        <v>0</v>
      </c>
      <c r="K73" s="2">
        <f>SUM(OSRRefD21_7x_7)</f>
        <v>0</v>
      </c>
      <c r="L73" s="2">
        <f>SUM(OSRRefD21_7x_8)</f>
        <v>0</v>
      </c>
      <c r="M73" s="2">
        <f>SUM(OSRRefD21_7x_9)</f>
        <v>0</v>
      </c>
      <c r="N73" s="2">
        <f>SUM(OSRRefE21_7x_0)</f>
        <v>0</v>
      </c>
      <c r="O73" s="2">
        <f>SUM(OSRRefE21_7x_1)</f>
        <v>0</v>
      </c>
      <c r="Q73" s="3">
        <f>SUM(OSRRefD20_7x)+IFERROR(SUM(OSRRefE20_7x),0)</f>
        <v>118.91</v>
      </c>
    </row>
    <row r="74" spans="1:17" s="42" customFormat="1" ht="15" hidden="1" customHeight="1" outlineLevel="1" x14ac:dyDescent="0.3">
      <c r="A74" s="34"/>
      <c r="B74" s="11" t="str">
        <f>CONCATENATE("          ","6351"," - ","EQUIPMENT RENTAL")</f>
        <v xml:space="preserve">          6351 - EQUIPMENT RENTAL</v>
      </c>
      <c r="C74" s="15"/>
      <c r="D74" s="3"/>
      <c r="E74" s="3"/>
      <c r="F74" s="3"/>
      <c r="G74" s="3"/>
      <c r="H74" s="3"/>
      <c r="I74" s="3">
        <v>118.91</v>
      </c>
      <c r="J74" s="3"/>
      <c r="K74" s="3"/>
      <c r="L74" s="3"/>
      <c r="M74" s="3"/>
      <c r="N74" s="3"/>
      <c r="O74" s="3"/>
      <c r="P74" s="10"/>
      <c r="Q74" s="3">
        <f>SUM(OSRRefD21_7_0x)+IFERROR(SUM(OSRRefE21_7_0x),0)</f>
        <v>118.91</v>
      </c>
    </row>
    <row r="75" spans="1:17" s="42" customFormat="1" ht="15" customHeight="1" collapsed="1" x14ac:dyDescent="0.3">
      <c r="A75" s="34"/>
      <c r="B75" s="15" t="str">
        <f>CONCATENATE("     ","Freight out/Postage                               ")</f>
        <v xml:space="preserve">     Freight out/Postage                               </v>
      </c>
      <c r="C75" s="15"/>
      <c r="D75" s="2">
        <f>SUM(OSRRefD21_8x_0)</f>
        <v>857.13</v>
      </c>
      <c r="E75" s="2">
        <f>SUM(OSRRefD21_8x_1)</f>
        <v>16.16</v>
      </c>
      <c r="F75" s="2">
        <f>SUM(OSRRefD21_8x_2)</f>
        <v>32.659999999999997</v>
      </c>
      <c r="G75" s="2">
        <f>SUM(OSRRefD21_8x_3)</f>
        <v>19.82</v>
      </c>
      <c r="H75" s="2">
        <f>SUM(OSRRefD21_8x_4)</f>
        <v>3.52</v>
      </c>
      <c r="I75" s="2">
        <f>SUM(OSRRefD21_8x_5)</f>
        <v>0</v>
      </c>
      <c r="J75" s="2">
        <f>SUM(OSRRefD21_8x_6)</f>
        <v>0</v>
      </c>
      <c r="K75" s="2">
        <f>SUM(OSRRefD21_8x_7)</f>
        <v>0</v>
      </c>
      <c r="L75" s="2">
        <f>SUM(OSRRefD21_8x_8)</f>
        <v>0</v>
      </c>
      <c r="M75" s="2">
        <f>SUM(OSRRefD21_8x_9)</f>
        <v>0</v>
      </c>
      <c r="N75" s="2">
        <f>SUM(OSRRefE21_8x_0)</f>
        <v>50</v>
      </c>
      <c r="O75" s="2">
        <f>SUM(OSRRefE21_8x_1)</f>
        <v>50</v>
      </c>
      <c r="Q75" s="3">
        <f>SUM(OSRRefD20_8x)+IFERROR(SUM(OSRRefE20_8x),0)</f>
        <v>1029.29</v>
      </c>
    </row>
    <row r="76" spans="1:17" s="42" customFormat="1" ht="15" hidden="1" customHeight="1" outlineLevel="1" x14ac:dyDescent="0.3">
      <c r="A76" s="34"/>
      <c r="B76" s="11" t="str">
        <f>CONCATENATE("          ","6305"," - ","FREIGHT OUT")</f>
        <v xml:space="preserve">          6305 - FREIGHT OUT</v>
      </c>
      <c r="C76" s="15"/>
      <c r="D76" s="3">
        <v>845.71</v>
      </c>
      <c r="E76" s="3">
        <v>16.16</v>
      </c>
      <c r="F76" s="3">
        <v>8.66</v>
      </c>
      <c r="G76" s="3">
        <v>19.82</v>
      </c>
      <c r="H76" s="3">
        <v>3.52</v>
      </c>
      <c r="I76" s="3"/>
      <c r="J76" s="3"/>
      <c r="K76" s="3"/>
      <c r="L76" s="3"/>
      <c r="M76" s="3"/>
      <c r="N76" s="3">
        <v>50</v>
      </c>
      <c r="O76" s="3">
        <v>50</v>
      </c>
      <c r="P76" s="10"/>
      <c r="Q76" s="3">
        <f>SUM(OSRRefD21_8_0x)+IFERROR(SUM(OSRRefE21_8_0x),0)</f>
        <v>993.87</v>
      </c>
    </row>
    <row r="77" spans="1:17" s="42" customFormat="1" ht="15" hidden="1" customHeight="1" outlineLevel="1" x14ac:dyDescent="0.3">
      <c r="A77" s="34"/>
      <c r="B77" s="11" t="str">
        <f>CONCATENATE("          ","6307"," - ","POSTAGE")</f>
        <v xml:space="preserve">          6307 - POSTAGE</v>
      </c>
      <c r="C77" s="15"/>
      <c r="D77" s="3">
        <v>11.42</v>
      </c>
      <c r="E77" s="3"/>
      <c r="F77" s="3">
        <v>24</v>
      </c>
      <c r="G77" s="3"/>
      <c r="H77" s="3"/>
      <c r="I77" s="3"/>
      <c r="J77" s="3"/>
      <c r="K77" s="3"/>
      <c r="L77" s="3"/>
      <c r="M77" s="3"/>
      <c r="N77" s="3"/>
      <c r="O77" s="3"/>
      <c r="P77" s="10"/>
      <c r="Q77" s="3">
        <f>SUM(OSRRefD21_8_1x)+IFERROR(SUM(OSRRefE21_8_1x),0)</f>
        <v>35.42</v>
      </c>
    </row>
    <row r="78" spans="1:17" s="42" customFormat="1" ht="15" customHeight="1" collapsed="1" x14ac:dyDescent="0.3">
      <c r="A78" s="34"/>
      <c r="B78" s="15" t="str">
        <f>CONCATENATE("     ","General                                           ")</f>
        <v xml:space="preserve">     General                                           </v>
      </c>
      <c r="C78" s="15"/>
      <c r="D78" s="2">
        <f>SUM(OSRRefD21_9x_0)</f>
        <v>0</v>
      </c>
      <c r="E78" s="2">
        <f>SUM(OSRRefD21_9x_1)</f>
        <v>0</v>
      </c>
      <c r="F78" s="2">
        <f>SUM(OSRRefD21_9x_2)</f>
        <v>0</v>
      </c>
      <c r="G78" s="2">
        <f>SUM(OSRRefD21_9x_3)</f>
        <v>0</v>
      </c>
      <c r="H78" s="2">
        <f>SUM(OSRRefD21_9x_4)</f>
        <v>1135.0899999999999</v>
      </c>
      <c r="I78" s="2">
        <f>SUM(OSRRefD21_9x_5)</f>
        <v>160</v>
      </c>
      <c r="J78" s="2">
        <f>SUM(OSRRefD21_9x_6)</f>
        <v>0</v>
      </c>
      <c r="K78" s="2">
        <f>SUM(OSRRefD21_9x_7)</f>
        <v>1157.1099999999999</v>
      </c>
      <c r="L78" s="2">
        <f>SUM(OSRRefD21_9x_8)</f>
        <v>119.1</v>
      </c>
      <c r="M78" s="2">
        <f>SUM(OSRRefD21_9x_9)</f>
        <v>-168.94</v>
      </c>
      <c r="N78" s="2">
        <f>SUM(OSRRefE21_9x_0)</f>
        <v>0</v>
      </c>
      <c r="O78" s="2">
        <f>SUM(OSRRefE21_9x_1)</f>
        <v>1000</v>
      </c>
      <c r="Q78" s="3">
        <f>SUM(OSRRefD20_9x)+IFERROR(SUM(OSRRefE20_9x),0)</f>
        <v>3402.3599999999997</v>
      </c>
    </row>
    <row r="79" spans="1:17" s="42" customFormat="1" ht="15" hidden="1" customHeight="1" outlineLevel="1" x14ac:dyDescent="0.3">
      <c r="A79" s="34"/>
      <c r="B79" s="11" t="str">
        <f>CONCATENATE("          ","6279"," - ","GENERAL EXPENSE")</f>
        <v xml:space="preserve">          6279 - GENERAL EXPENSE</v>
      </c>
      <c r="C79" s="15"/>
      <c r="D79" s="3"/>
      <c r="E79" s="3"/>
      <c r="F79" s="3"/>
      <c r="G79" s="3"/>
      <c r="H79" s="3">
        <v>1135.0899999999999</v>
      </c>
      <c r="I79" s="3">
        <v>160</v>
      </c>
      <c r="J79" s="3"/>
      <c r="K79" s="3">
        <v>1157.1099999999999</v>
      </c>
      <c r="L79" s="3">
        <v>119.1</v>
      </c>
      <c r="M79" s="3">
        <v>-168.94</v>
      </c>
      <c r="N79" s="3">
        <v>0</v>
      </c>
      <c r="O79" s="3">
        <v>1000</v>
      </c>
      <c r="P79" s="10"/>
      <c r="Q79" s="3">
        <f>SUM(OSRRefD21_9_0x)+IFERROR(SUM(OSRRefE21_9_0x),0)</f>
        <v>3402.3599999999997</v>
      </c>
    </row>
    <row r="80" spans="1:17" s="42" customFormat="1" ht="15" customHeight="1" collapsed="1" x14ac:dyDescent="0.3">
      <c r="A80" s="34"/>
      <c r="B80" s="15" t="str">
        <f>CONCATENATE("     ","Insurance                                         ")</f>
        <v xml:space="preserve">     Insurance                                         </v>
      </c>
      <c r="C80" s="15"/>
      <c r="D80" s="2">
        <f>SUM(OSRRefD21_10x_0)</f>
        <v>219.08</v>
      </c>
      <c r="E80" s="2">
        <f>SUM(OSRRefD21_10x_1)</f>
        <v>219.08</v>
      </c>
      <c r="F80" s="2">
        <f>SUM(OSRRefD21_10x_2)</f>
        <v>219.08</v>
      </c>
      <c r="G80" s="2">
        <f>SUM(OSRRefD21_10x_3)</f>
        <v>219.08</v>
      </c>
      <c r="H80" s="2">
        <f>SUM(OSRRefD21_10x_4)</f>
        <v>219.08</v>
      </c>
      <c r="I80" s="2">
        <f>SUM(OSRRefD21_10x_5)</f>
        <v>219.08</v>
      </c>
      <c r="J80" s="2">
        <f>SUM(OSRRefD21_10x_6)</f>
        <v>219.08</v>
      </c>
      <c r="K80" s="2">
        <f>SUM(OSRRefD21_10x_7)</f>
        <v>219.08</v>
      </c>
      <c r="L80" s="2">
        <f>SUM(OSRRefD21_10x_8)</f>
        <v>219.08</v>
      </c>
      <c r="M80" s="2">
        <f>SUM(OSRRefD21_10x_9)</f>
        <v>219.08</v>
      </c>
      <c r="N80" s="2">
        <f>SUM(OSRRefE21_10x_0)</f>
        <v>175</v>
      </c>
      <c r="O80" s="2">
        <f>SUM(OSRRefE21_10x_1)</f>
        <v>175</v>
      </c>
      <c r="Q80" s="3">
        <f>SUM(OSRRefD20_10x)+IFERROR(SUM(OSRRefE20_10x),0)</f>
        <v>2540.7999999999997</v>
      </c>
    </row>
    <row r="81" spans="1:17" s="42" customFormat="1" ht="15" hidden="1" customHeight="1" outlineLevel="1" x14ac:dyDescent="0.3">
      <c r="A81" s="34"/>
      <c r="B81" s="11" t="str">
        <f>CONCATENATE("          ","6314"," - ","LIABILITY INSURANCE")</f>
        <v xml:space="preserve">          6314 - LIABILITY INSURANCE</v>
      </c>
      <c r="C81" s="15"/>
      <c r="D81" s="3">
        <v>219.08</v>
      </c>
      <c r="E81" s="3">
        <v>219.08</v>
      </c>
      <c r="F81" s="3">
        <v>219.08</v>
      </c>
      <c r="G81" s="3">
        <v>219.08</v>
      </c>
      <c r="H81" s="3">
        <v>219.08</v>
      </c>
      <c r="I81" s="3">
        <v>219.08</v>
      </c>
      <c r="J81" s="3">
        <v>219.08</v>
      </c>
      <c r="K81" s="3">
        <v>219.08</v>
      </c>
      <c r="L81" s="3">
        <v>219.08</v>
      </c>
      <c r="M81" s="3">
        <v>219.08</v>
      </c>
      <c r="N81" s="3">
        <v>175</v>
      </c>
      <c r="O81" s="3">
        <v>175</v>
      </c>
      <c r="P81" s="10"/>
      <c r="Q81" s="3">
        <f>SUM(OSRRefD21_10_0x)+IFERROR(SUM(OSRRefE21_10_0x),0)</f>
        <v>2540.7999999999997</v>
      </c>
    </row>
    <row r="82" spans="1:17" s="42" customFormat="1" ht="15" customHeight="1" collapsed="1" x14ac:dyDescent="0.3">
      <c r="A82" s="34"/>
      <c r="B82" s="15" t="str">
        <f>CONCATENATE("     ","Inventory Adjustment                              ")</f>
        <v xml:space="preserve">     Inventory Adjustment                              </v>
      </c>
      <c r="C82" s="15"/>
      <c r="D82" s="2">
        <f>SUM(OSRRefD21_11x_0)</f>
        <v>3450</v>
      </c>
      <c r="E82" s="2">
        <f>SUM(OSRRefD21_11x_1)</f>
        <v>3450</v>
      </c>
      <c r="F82" s="2">
        <f>SUM(OSRRefD21_11x_2)</f>
        <v>3450</v>
      </c>
      <c r="G82" s="2">
        <f>SUM(OSRRefD21_11x_3)</f>
        <v>3450</v>
      </c>
      <c r="H82" s="2">
        <f>SUM(OSRRefD21_11x_4)</f>
        <v>3450</v>
      </c>
      <c r="I82" s="2">
        <f>SUM(OSRRefD21_11x_5)</f>
        <v>3450</v>
      </c>
      <c r="J82" s="2">
        <f>SUM(OSRRefD21_11x_6)</f>
        <v>3450</v>
      </c>
      <c r="K82" s="2">
        <f>SUM(OSRRefD21_11x_7)</f>
        <v>3450</v>
      </c>
      <c r="L82" s="2">
        <f>SUM(OSRRefD21_11x_8)</f>
        <v>3450</v>
      </c>
      <c r="M82" s="2">
        <f>SUM(OSRRefD21_11x_9)</f>
        <v>3450</v>
      </c>
      <c r="N82" s="2">
        <f>SUM(OSRRefE21_11x_0)</f>
        <v>3450</v>
      </c>
      <c r="O82" s="2">
        <f>SUM(OSRRefE21_11x_1)</f>
        <v>3450</v>
      </c>
      <c r="Q82" s="3">
        <f>SUM(OSRRefD20_11x)+IFERROR(SUM(OSRRefE20_11x),0)</f>
        <v>41400</v>
      </c>
    </row>
    <row r="83" spans="1:17" s="42" customFormat="1" ht="15" hidden="1" customHeight="1" outlineLevel="1" x14ac:dyDescent="0.3">
      <c r="A83" s="34"/>
      <c r="B83" s="11" t="str">
        <f>CONCATENATE("          ","6408"," - ","INVENTORY ADJUSTMENT")</f>
        <v xml:space="preserve">          6408 - INVENTORY ADJUSTMENT</v>
      </c>
      <c r="C83" s="15"/>
      <c r="D83" s="3">
        <v>3450</v>
      </c>
      <c r="E83" s="3">
        <v>3450</v>
      </c>
      <c r="F83" s="3">
        <v>3450</v>
      </c>
      <c r="G83" s="3">
        <v>3450</v>
      </c>
      <c r="H83" s="3">
        <v>3450</v>
      </c>
      <c r="I83" s="3">
        <v>3450</v>
      </c>
      <c r="J83" s="3">
        <v>3450</v>
      </c>
      <c r="K83" s="3">
        <v>3450</v>
      </c>
      <c r="L83" s="3">
        <v>3450</v>
      </c>
      <c r="M83" s="3">
        <v>3450</v>
      </c>
      <c r="N83" s="3">
        <v>3450</v>
      </c>
      <c r="O83" s="3">
        <v>3450</v>
      </c>
      <c r="P83" s="10"/>
      <c r="Q83" s="3">
        <f>SUM(OSRRefD21_11_0x)+IFERROR(SUM(OSRRefE21_11_0x),0)</f>
        <v>41400</v>
      </c>
    </row>
    <row r="84" spans="1:17" s="42" customFormat="1" ht="15" customHeight="1" collapsed="1" x14ac:dyDescent="0.3">
      <c r="A84" s="34"/>
      <c r="B84" s="15" t="str">
        <f>CONCATENATE("     ","Professional Services                             ")</f>
        <v xml:space="preserve">     Professional Services                             </v>
      </c>
      <c r="C84" s="15"/>
      <c r="D84" s="2">
        <f>SUM(OSRRefD21_12x_0)</f>
        <v>0</v>
      </c>
      <c r="E84" s="2">
        <f>SUM(OSRRefD21_12x_1)</f>
        <v>0</v>
      </c>
      <c r="F84" s="2">
        <f>SUM(OSRRefD21_12x_2)</f>
        <v>0</v>
      </c>
      <c r="G84" s="2">
        <f>SUM(OSRRefD21_12x_3)</f>
        <v>669.1</v>
      </c>
      <c r="H84" s="2">
        <f>SUM(OSRRefD21_12x_4)</f>
        <v>0</v>
      </c>
      <c r="I84" s="2">
        <f>SUM(OSRRefD21_12x_5)</f>
        <v>0</v>
      </c>
      <c r="J84" s="2">
        <f>SUM(OSRRefD21_12x_6)</f>
        <v>0</v>
      </c>
      <c r="K84" s="2">
        <f>SUM(OSRRefD21_12x_7)</f>
        <v>390</v>
      </c>
      <c r="L84" s="2">
        <f>SUM(OSRRefD21_12x_8)</f>
        <v>1050</v>
      </c>
      <c r="M84" s="2">
        <f>SUM(OSRRefD21_12x_9)</f>
        <v>0</v>
      </c>
      <c r="N84" s="2">
        <f>SUM(OSRRefE21_12x_0)</f>
        <v>0</v>
      </c>
      <c r="O84" s="2">
        <f>SUM(OSRRefE21_12x_1)</f>
        <v>0</v>
      </c>
      <c r="Q84" s="3">
        <f>SUM(OSRRefD20_12x)+IFERROR(SUM(OSRRefE20_12x),0)</f>
        <v>2109.1</v>
      </c>
    </row>
    <row r="85" spans="1:17" s="42" customFormat="1" ht="15" hidden="1" customHeight="1" outlineLevel="1" x14ac:dyDescent="0.3">
      <c r="A85" s="34"/>
      <c r="B85" s="11" t="str">
        <f>CONCATENATE("          ","6336"," - ","PROFESSIONAL SERVICES")</f>
        <v xml:space="preserve">          6336 - PROFESSIONAL SERVICES</v>
      </c>
      <c r="C85" s="15"/>
      <c r="D85" s="3"/>
      <c r="E85" s="3"/>
      <c r="F85" s="3"/>
      <c r="G85" s="3">
        <v>669.1</v>
      </c>
      <c r="H85" s="3"/>
      <c r="I85" s="3"/>
      <c r="J85" s="3"/>
      <c r="K85" s="3">
        <v>390</v>
      </c>
      <c r="L85" s="3">
        <v>1050</v>
      </c>
      <c r="M85" s="3"/>
      <c r="N85" s="3">
        <v>0</v>
      </c>
      <c r="O85" s="3">
        <v>0</v>
      </c>
      <c r="P85" s="10"/>
      <c r="Q85" s="3">
        <f>SUM(OSRRefD21_12_0x)+IFERROR(SUM(OSRRefE21_12_0x),0)</f>
        <v>2109.1</v>
      </c>
    </row>
    <row r="86" spans="1:17" s="42" customFormat="1" ht="15" customHeight="1" collapsed="1" x14ac:dyDescent="0.3">
      <c r="A86" s="34"/>
      <c r="B86" s="15" t="str">
        <f>CONCATENATE("     ","Rent                                              ")</f>
        <v xml:space="preserve">     Rent                                              </v>
      </c>
      <c r="C86" s="15"/>
      <c r="D86" s="2">
        <f>SUM(OSRRefD21_13x_0)</f>
        <v>6900</v>
      </c>
      <c r="E86" s="2">
        <f>SUM(OSRRefD21_13x_1)</f>
        <v>6900</v>
      </c>
      <c r="F86" s="2">
        <f>SUM(OSRRefD21_13x_2)</f>
        <v>6900</v>
      </c>
      <c r="G86" s="2">
        <f>SUM(OSRRefD21_13x_3)</f>
        <v>6900</v>
      </c>
      <c r="H86" s="2">
        <f>SUM(OSRRefD21_13x_4)</f>
        <v>6900</v>
      </c>
      <c r="I86" s="2">
        <f>SUM(OSRRefD21_13x_5)</f>
        <v>6900</v>
      </c>
      <c r="J86" s="2">
        <f>SUM(OSRRefD21_13x_6)</f>
        <v>6900</v>
      </c>
      <c r="K86" s="2">
        <f>SUM(OSRRefD21_13x_7)</f>
        <v>6900</v>
      </c>
      <c r="L86" s="2">
        <f>SUM(OSRRefD21_13x_8)</f>
        <v>6900</v>
      </c>
      <c r="M86" s="2">
        <f>SUM(OSRRefD21_13x_9)</f>
        <v>6900</v>
      </c>
      <c r="N86" s="2">
        <f>SUM(OSRRefE21_13x_0)</f>
        <v>6900</v>
      </c>
      <c r="O86" s="2">
        <f>SUM(OSRRefE21_13x_1)</f>
        <v>6900</v>
      </c>
      <c r="Q86" s="3">
        <f>SUM(OSRRefD20_13x)+IFERROR(SUM(OSRRefE20_13x),0)</f>
        <v>82800</v>
      </c>
    </row>
    <row r="87" spans="1:17" s="42" customFormat="1" ht="15" hidden="1" customHeight="1" outlineLevel="1" x14ac:dyDescent="0.3">
      <c r="A87" s="34"/>
      <c r="B87" s="11" t="str">
        <f>CONCATENATE("          ","6273"," - ","RENT")</f>
        <v xml:space="preserve">          6273 - RENT</v>
      </c>
      <c r="C87" s="15"/>
      <c r="D87" s="3">
        <v>6900</v>
      </c>
      <c r="E87" s="3">
        <v>6900</v>
      </c>
      <c r="F87" s="3">
        <v>6900</v>
      </c>
      <c r="G87" s="3">
        <v>6900</v>
      </c>
      <c r="H87" s="3">
        <v>6900</v>
      </c>
      <c r="I87" s="3">
        <v>6900</v>
      </c>
      <c r="J87" s="3">
        <v>6900</v>
      </c>
      <c r="K87" s="3">
        <v>6900</v>
      </c>
      <c r="L87" s="3">
        <v>6900</v>
      </c>
      <c r="M87" s="3">
        <v>6900</v>
      </c>
      <c r="N87" s="3">
        <v>6900</v>
      </c>
      <c r="O87" s="3">
        <v>6900</v>
      </c>
      <c r="P87" s="10"/>
      <c r="Q87" s="3">
        <f>SUM(OSRRefD21_13_0x)+IFERROR(SUM(OSRRefE21_13_0x),0)</f>
        <v>82800</v>
      </c>
    </row>
    <row r="88" spans="1:17" s="42" customFormat="1" ht="15" customHeight="1" collapsed="1" x14ac:dyDescent="0.3">
      <c r="A88" s="34"/>
      <c r="B88" s="15" t="str">
        <f>CONCATENATE("     ","Repair and Maintenance                            ")</f>
        <v xml:space="preserve">     Repair and Maintenance                            </v>
      </c>
      <c r="C88" s="15"/>
      <c r="D88" s="2">
        <f>SUM(OSRRefD21_14x_0)</f>
        <v>0</v>
      </c>
      <c r="E88" s="2">
        <f>SUM(OSRRefD21_14x_1)</f>
        <v>782.06000000000006</v>
      </c>
      <c r="F88" s="2">
        <f>SUM(OSRRefD21_14x_2)</f>
        <v>230.9</v>
      </c>
      <c r="G88" s="2">
        <f>SUM(OSRRefD21_14x_3)</f>
        <v>0</v>
      </c>
      <c r="H88" s="2">
        <f>SUM(OSRRefD21_14x_4)</f>
        <v>0</v>
      </c>
      <c r="I88" s="2">
        <f>SUM(OSRRefD21_14x_5)</f>
        <v>1957.97</v>
      </c>
      <c r="J88" s="2">
        <f>SUM(OSRRefD21_14x_6)</f>
        <v>0</v>
      </c>
      <c r="K88" s="2">
        <f>SUM(OSRRefD21_14x_7)</f>
        <v>20.29</v>
      </c>
      <c r="L88" s="2">
        <f>SUM(OSRRefD21_14x_8)</f>
        <v>232.93</v>
      </c>
      <c r="M88" s="2">
        <f>SUM(OSRRefD21_14x_9)</f>
        <v>2154.4699999999998</v>
      </c>
      <c r="N88" s="2">
        <f>SUM(OSRRefE21_14x_0)</f>
        <v>115</v>
      </c>
      <c r="O88" s="2">
        <f>SUM(OSRRefE21_14x_1)</f>
        <v>115</v>
      </c>
      <c r="Q88" s="3">
        <f>SUM(OSRRefD20_14x)+IFERROR(SUM(OSRRefE20_14x),0)</f>
        <v>5608.62</v>
      </c>
    </row>
    <row r="89" spans="1:17" s="42" customFormat="1" ht="15" hidden="1" customHeight="1" outlineLevel="1" x14ac:dyDescent="0.3">
      <c r="A89" s="34"/>
      <c r="B89" s="11" t="str">
        <f>CONCATENATE("          ","6373"," - ","MAINTENANCE CONTRACTS")</f>
        <v xml:space="preserve">          6373 - MAINTENANCE CONTRACTS</v>
      </c>
      <c r="C89" s="15"/>
      <c r="D89" s="3"/>
      <c r="E89" s="3">
        <v>5.7</v>
      </c>
      <c r="F89" s="3">
        <v>230.9</v>
      </c>
      <c r="G89" s="3"/>
      <c r="H89" s="3"/>
      <c r="I89" s="3">
        <v>232.93</v>
      </c>
      <c r="J89" s="3"/>
      <c r="K89" s="3">
        <v>12.04</v>
      </c>
      <c r="L89" s="3">
        <v>232.93</v>
      </c>
      <c r="M89" s="3"/>
      <c r="N89" s="3">
        <v>115</v>
      </c>
      <c r="O89" s="3">
        <v>115</v>
      </c>
      <c r="P89" s="10"/>
      <c r="Q89" s="3">
        <f>SUM(OSRRefD21_14_0x)+IFERROR(SUM(OSRRefE21_14_0x),0)</f>
        <v>944.5</v>
      </c>
    </row>
    <row r="90" spans="1:17" s="42" customFormat="1" ht="15" hidden="1" customHeight="1" outlineLevel="1" x14ac:dyDescent="0.3">
      <c r="A90" s="34"/>
      <c r="B90" s="11" t="str">
        <f>CONCATENATE("          ","6375"," - ","OUTSIDE REPAIRS &amp; MAINTENANCE")</f>
        <v xml:space="preserve">          6375 - OUTSIDE REPAIRS &amp; MAINTENANCE</v>
      </c>
      <c r="C90" s="15"/>
      <c r="D90" s="3"/>
      <c r="E90" s="3">
        <v>776.36</v>
      </c>
      <c r="F90" s="3"/>
      <c r="G90" s="3"/>
      <c r="H90" s="3"/>
      <c r="I90" s="3">
        <v>1725.04</v>
      </c>
      <c r="J90" s="3"/>
      <c r="K90" s="3">
        <v>8.25</v>
      </c>
      <c r="L90" s="3"/>
      <c r="M90" s="3">
        <v>2154.4699999999998</v>
      </c>
      <c r="N90" s="3">
        <v>0</v>
      </c>
      <c r="O90" s="3">
        <v>0</v>
      </c>
      <c r="P90" s="10"/>
      <c r="Q90" s="3">
        <f>SUM(OSRRefD21_14_1x)+IFERROR(SUM(OSRRefE21_14_1x),0)</f>
        <v>4664.12</v>
      </c>
    </row>
    <row r="91" spans="1:17" s="42" customFormat="1" ht="15" customHeight="1" collapsed="1" x14ac:dyDescent="0.3">
      <c r="A91" s="34"/>
      <c r="B91" s="15" t="str">
        <f>CONCATENATE("     ","Royalty &amp; Commissions                             ")</f>
        <v xml:space="preserve">     Royalty &amp; Commissions                             </v>
      </c>
      <c r="C91" s="15"/>
      <c r="D91" s="2">
        <f>SUM(OSRRefD21_15x_0)</f>
        <v>7349.0400000000009</v>
      </c>
      <c r="E91" s="2">
        <f>SUM(OSRRefD21_15x_1)</f>
        <v>0</v>
      </c>
      <c r="F91" s="2">
        <f>SUM(OSRRefD21_15x_2)</f>
        <v>0</v>
      </c>
      <c r="G91" s="2">
        <f>SUM(OSRRefD21_15x_3)</f>
        <v>8783.75</v>
      </c>
      <c r="H91" s="2">
        <f>SUM(OSRRefD21_15x_4)</f>
        <v>0</v>
      </c>
      <c r="I91" s="2">
        <f>SUM(OSRRefD21_15x_5)</f>
        <v>0</v>
      </c>
      <c r="J91" s="2">
        <f>SUM(OSRRefD21_15x_6)</f>
        <v>23450.06</v>
      </c>
      <c r="K91" s="2">
        <f>SUM(OSRRefD21_15x_7)</f>
        <v>3147.46</v>
      </c>
      <c r="L91" s="2">
        <f>SUM(OSRRefD21_15x_8)</f>
        <v>0</v>
      </c>
      <c r="M91" s="2">
        <f>SUM(OSRRefD21_15x_9)</f>
        <v>26841.57</v>
      </c>
      <c r="N91" s="2">
        <f>SUM(OSRRefE21_15x_0)</f>
        <v>3156</v>
      </c>
      <c r="O91" s="2">
        <f>SUM(OSRRefE21_15x_1)</f>
        <v>3322</v>
      </c>
      <c r="Q91" s="3">
        <f>SUM(OSRRefD20_15x)+IFERROR(SUM(OSRRefE20_15x),0)</f>
        <v>76049.88</v>
      </c>
    </row>
    <row r="92" spans="1:17" s="42" customFormat="1" ht="15" hidden="1" customHeight="1" outlineLevel="1" x14ac:dyDescent="0.3">
      <c r="A92" s="34"/>
      <c r="B92" s="11" t="str">
        <f>CONCATENATE("          ","6252"," - ","ROYALTY DUE CSTV")</f>
        <v xml:space="preserve">          6252 - ROYALTY DUE CSTV</v>
      </c>
      <c r="C92" s="15"/>
      <c r="D92" s="3"/>
      <c r="E92" s="3"/>
      <c r="F92" s="3"/>
      <c r="G92" s="3"/>
      <c r="H92" s="3"/>
      <c r="I92" s="3"/>
      <c r="J92" s="3"/>
      <c r="K92" s="3"/>
      <c r="L92" s="3"/>
      <c r="M92" s="3"/>
      <c r="N92" s="3">
        <v>2156</v>
      </c>
      <c r="O92" s="3">
        <v>3322</v>
      </c>
      <c r="P92" s="10"/>
      <c r="Q92" s="3">
        <f>SUM(OSRRefD21_15_0x)+IFERROR(SUM(OSRRefE21_15_0x),0)</f>
        <v>5478</v>
      </c>
    </row>
    <row r="93" spans="1:17" s="42" customFormat="1" ht="15" hidden="1" customHeight="1" outlineLevel="1" x14ac:dyDescent="0.3">
      <c r="A93" s="34"/>
      <c r="B93" s="11" t="str">
        <f>CONCATENATE("          ","6253"," - ","ROYALTY DUE ATHLETICS-LRG")</f>
        <v xml:space="preserve">          6253 - ROYALTY DUE ATHLETICS-LRG</v>
      </c>
      <c r="C93" s="15"/>
      <c r="D93" s="3">
        <v>14376.54</v>
      </c>
      <c r="E93" s="3"/>
      <c r="F93" s="3"/>
      <c r="G93" s="3">
        <v>8783.75</v>
      </c>
      <c r="H93" s="3"/>
      <c r="I93" s="3"/>
      <c r="J93" s="3">
        <v>16060.87</v>
      </c>
      <c r="K93" s="3"/>
      <c r="L93" s="3"/>
      <c r="M93" s="3">
        <v>15944.33</v>
      </c>
      <c r="N93" s="3">
        <v>0</v>
      </c>
      <c r="O93" s="3">
        <v>0</v>
      </c>
      <c r="P93" s="10"/>
      <c r="Q93" s="3">
        <f>SUM(OSRRefD21_15_1x)+IFERROR(SUM(OSRRefE21_15_1x),0)</f>
        <v>55165.490000000005</v>
      </c>
    </row>
    <row r="94" spans="1:17" s="42" customFormat="1" ht="15" hidden="1" customHeight="1" outlineLevel="1" x14ac:dyDescent="0.3">
      <c r="A94" s="34"/>
      <c r="B94" s="11" t="str">
        <f>CONCATENATE("          ","6254"," - ","ROYALTY &amp; COMMISSIONS")</f>
        <v xml:space="preserve">          6254 - ROYALTY &amp; COMMISSIONS</v>
      </c>
      <c r="C94" s="15"/>
      <c r="D94" s="3">
        <v>-7027.5</v>
      </c>
      <c r="E94" s="3"/>
      <c r="F94" s="3"/>
      <c r="G94" s="3"/>
      <c r="H94" s="3"/>
      <c r="I94" s="3">
        <v>0</v>
      </c>
      <c r="J94" s="3">
        <v>7389.19</v>
      </c>
      <c r="K94" s="3">
        <v>3147.46</v>
      </c>
      <c r="L94" s="3"/>
      <c r="M94" s="3">
        <v>10897.24</v>
      </c>
      <c r="N94" s="3">
        <v>1000</v>
      </c>
      <c r="O94" s="3">
        <v>0</v>
      </c>
      <c r="P94" s="10"/>
      <c r="Q94" s="3">
        <f>SUM(OSRRefD21_15_2x)+IFERROR(SUM(OSRRefE21_15_2x),0)</f>
        <v>15406.39</v>
      </c>
    </row>
    <row r="95" spans="1:17" s="42" customFormat="1" ht="15" customHeight="1" collapsed="1" x14ac:dyDescent="0.3">
      <c r="A95" s="34"/>
      <c r="B95" s="15" t="str">
        <f>CONCATENATE("     ","Services                                          ")</f>
        <v xml:space="preserve">     Services                                          </v>
      </c>
      <c r="C95" s="15"/>
      <c r="D95" s="2">
        <f>SUM(OSRRefD21_16x_0)</f>
        <v>155.59</v>
      </c>
      <c r="E95" s="2">
        <f>SUM(OSRRefD21_16x_1)</f>
        <v>162.72</v>
      </c>
      <c r="F95" s="2">
        <f>SUM(OSRRefD21_16x_2)</f>
        <v>162.72</v>
      </c>
      <c r="G95" s="2">
        <f>SUM(OSRRefD21_16x_3)</f>
        <v>162.72</v>
      </c>
      <c r="H95" s="2">
        <f>SUM(OSRRefD21_16x_4)</f>
        <v>162.72</v>
      </c>
      <c r="I95" s="2">
        <f>SUM(OSRRefD21_16x_5)</f>
        <v>223.45</v>
      </c>
      <c r="J95" s="2">
        <f>SUM(OSRRefD21_16x_6)</f>
        <v>101.98999999999998</v>
      </c>
      <c r="K95" s="2">
        <f>SUM(OSRRefD21_16x_7)</f>
        <v>223.45</v>
      </c>
      <c r="L95" s="2">
        <f>SUM(OSRRefD21_16x_8)</f>
        <v>223.45</v>
      </c>
      <c r="M95" s="2">
        <f>SUM(OSRRefD21_16x_9)</f>
        <v>73.75</v>
      </c>
      <c r="N95" s="2">
        <f>SUM(OSRRefE21_16x_0)</f>
        <v>60</v>
      </c>
      <c r="O95" s="2">
        <f>SUM(OSRRefE21_16x_1)</f>
        <v>120</v>
      </c>
      <c r="Q95" s="3">
        <f>SUM(OSRRefD20_16x)+IFERROR(SUM(OSRRefE20_16x),0)</f>
        <v>1832.5600000000002</v>
      </c>
    </row>
    <row r="96" spans="1:17" s="42" customFormat="1" ht="15" hidden="1" customHeight="1" outlineLevel="1" x14ac:dyDescent="0.3">
      <c r="A96" s="34"/>
      <c r="B96" s="11" t="str">
        <f>CONCATENATE("          ","6284"," - ","TRASH REMOVAL EXPENSE")</f>
        <v xml:space="preserve">          6284 - TRASH REMOVAL EXPENSE</v>
      </c>
      <c r="C96" s="15"/>
      <c r="D96" s="3">
        <v>142.57</v>
      </c>
      <c r="E96" s="3">
        <v>149.69999999999999</v>
      </c>
      <c r="F96" s="3">
        <v>149.69999999999999</v>
      </c>
      <c r="G96" s="3">
        <v>149.69999999999999</v>
      </c>
      <c r="H96" s="3">
        <v>149.69999999999999</v>
      </c>
      <c r="I96" s="3">
        <v>149.69999999999999</v>
      </c>
      <c r="J96" s="3">
        <v>149.69999999999999</v>
      </c>
      <c r="K96" s="3">
        <v>149.69999999999999</v>
      </c>
      <c r="L96" s="3">
        <v>149.69999999999999</v>
      </c>
      <c r="M96" s="3"/>
      <c r="N96" s="3">
        <v>60</v>
      </c>
      <c r="O96" s="3">
        <v>120</v>
      </c>
      <c r="P96" s="10"/>
      <c r="Q96" s="3">
        <f>SUM(OSRRefD21_16_0x)+IFERROR(SUM(OSRRefE21_16_0x),0)</f>
        <v>1520.17</v>
      </c>
    </row>
    <row r="97" spans="1:17" s="42" customFormat="1" ht="15" hidden="1" customHeight="1" outlineLevel="1" x14ac:dyDescent="0.3">
      <c r="A97" s="34"/>
      <c r="B97" s="11" t="str">
        <f>CONCATENATE("          ","6285"," - ","JANITORIAL SERVICES")</f>
        <v xml:space="preserve">          6285 - JANITORIAL SERVICES</v>
      </c>
      <c r="C97" s="15"/>
      <c r="D97" s="3">
        <v>13.02</v>
      </c>
      <c r="E97" s="3">
        <v>13.02</v>
      </c>
      <c r="F97" s="3">
        <v>13.02</v>
      </c>
      <c r="G97" s="3">
        <v>13.02</v>
      </c>
      <c r="H97" s="3">
        <v>13.02</v>
      </c>
      <c r="I97" s="3">
        <v>73.75</v>
      </c>
      <c r="J97" s="3">
        <v>-47.71</v>
      </c>
      <c r="K97" s="3">
        <v>73.75</v>
      </c>
      <c r="L97" s="3">
        <v>73.75</v>
      </c>
      <c r="M97" s="3">
        <v>73.75</v>
      </c>
      <c r="N97" s="3"/>
      <c r="O97" s="3"/>
      <c r="P97" s="10"/>
      <c r="Q97" s="3">
        <f>SUM(OSRRefD21_16_1x)+IFERROR(SUM(OSRRefE21_16_1x),0)</f>
        <v>312.39</v>
      </c>
    </row>
    <row r="98" spans="1:17" s="42" customFormat="1" ht="15" customHeight="1" collapsed="1" x14ac:dyDescent="0.3">
      <c r="A98" s="34"/>
      <c r="B98" s="15" t="str">
        <f>CONCATENATE("     ","Subscriptions &amp; Dues                              ")</f>
        <v xml:space="preserve">     Subscriptions &amp; Dues                              </v>
      </c>
      <c r="C98" s="15"/>
      <c r="D98" s="2">
        <f>SUM(OSRRefD21_17x_0)</f>
        <v>0</v>
      </c>
      <c r="E98" s="2">
        <f>SUM(OSRRefD21_17x_1)</f>
        <v>0</v>
      </c>
      <c r="F98" s="2">
        <f>SUM(OSRRefD21_17x_2)</f>
        <v>0</v>
      </c>
      <c r="G98" s="2">
        <f>SUM(OSRRefD21_17x_3)</f>
        <v>0</v>
      </c>
      <c r="H98" s="2">
        <f>SUM(OSRRefD21_17x_4)</f>
        <v>0</v>
      </c>
      <c r="I98" s="2">
        <f>SUM(OSRRefD21_17x_5)</f>
        <v>0</v>
      </c>
      <c r="J98" s="2">
        <f>SUM(OSRRefD21_17x_6)</f>
        <v>0</v>
      </c>
      <c r="K98" s="2">
        <f>SUM(OSRRefD21_17x_7)</f>
        <v>0</v>
      </c>
      <c r="L98" s="2">
        <f>SUM(OSRRefD21_17x_8)</f>
        <v>125</v>
      </c>
      <c r="M98" s="2">
        <f>SUM(OSRRefD21_17x_9)</f>
        <v>0</v>
      </c>
      <c r="N98" s="2">
        <f>SUM(OSRRefE21_17x_0)</f>
        <v>181</v>
      </c>
      <c r="O98" s="2">
        <f>SUM(OSRRefE21_17x_1)</f>
        <v>361</v>
      </c>
      <c r="Q98" s="3">
        <f>SUM(OSRRefD20_17x)+IFERROR(SUM(OSRRefE20_17x),0)</f>
        <v>667</v>
      </c>
    </row>
    <row r="99" spans="1:17" s="42" customFormat="1" ht="15" hidden="1" customHeight="1" outlineLevel="1" x14ac:dyDescent="0.3">
      <c r="A99" s="34"/>
      <c r="B99" s="11" t="str">
        <f>CONCATENATE("          ","6258"," - ","MEMBERSHIP DUES")</f>
        <v xml:space="preserve">          6258 - MEMBERSHIP DUES</v>
      </c>
      <c r="C99" s="15"/>
      <c r="D99" s="3"/>
      <c r="E99" s="3"/>
      <c r="F99" s="3"/>
      <c r="G99" s="3"/>
      <c r="H99" s="3"/>
      <c r="I99" s="3"/>
      <c r="J99" s="3"/>
      <c r="K99" s="3"/>
      <c r="L99" s="3">
        <v>125</v>
      </c>
      <c r="M99" s="3"/>
      <c r="N99" s="3">
        <v>0</v>
      </c>
      <c r="O99" s="3">
        <v>200</v>
      </c>
      <c r="P99" s="10"/>
      <c r="Q99" s="3">
        <f>SUM(OSRRefD21_17_0x)+IFERROR(SUM(OSRRefE21_17_0x),0)</f>
        <v>325</v>
      </c>
    </row>
    <row r="100" spans="1:17" s="42" customFormat="1" ht="15" hidden="1" customHeight="1" outlineLevel="1" x14ac:dyDescent="0.3">
      <c r="A100" s="34"/>
      <c r="B100" s="11" t="str">
        <f>CONCATENATE("          ","6275"," - ","SUBSCRIPTIONS")</f>
        <v xml:space="preserve">          6275 - SUBSCRIPTIONS</v>
      </c>
      <c r="C100" s="15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>
        <v>181</v>
      </c>
      <c r="O100" s="3">
        <v>161</v>
      </c>
      <c r="P100" s="10"/>
      <c r="Q100" s="3">
        <f>SUM(OSRRefD21_17_1x)+IFERROR(SUM(OSRRefE21_17_1x),0)</f>
        <v>342</v>
      </c>
    </row>
    <row r="101" spans="1:17" s="42" customFormat="1" ht="15" customHeight="1" collapsed="1" x14ac:dyDescent="0.3">
      <c r="A101" s="34"/>
      <c r="B101" s="15" t="str">
        <f>CONCATENATE("     ","Supplies                                          ")</f>
        <v xml:space="preserve">     Supplies                                          </v>
      </c>
      <c r="C101" s="15"/>
      <c r="D101" s="2">
        <f>SUM(OSRRefD21_18x_0)</f>
        <v>2772.92</v>
      </c>
      <c r="E101" s="2">
        <f>SUM(OSRRefD21_18x_1)</f>
        <v>3146.37</v>
      </c>
      <c r="F101" s="2">
        <f>SUM(OSRRefD21_18x_2)</f>
        <v>324.99</v>
      </c>
      <c r="G101" s="2">
        <f>SUM(OSRRefD21_18x_3)</f>
        <v>1228.48</v>
      </c>
      <c r="H101" s="2">
        <f>SUM(OSRRefD21_18x_4)</f>
        <v>162.06</v>
      </c>
      <c r="I101" s="2">
        <f>SUM(OSRRefD21_18x_5)</f>
        <v>951.74</v>
      </c>
      <c r="J101" s="2">
        <f>SUM(OSRRefD21_18x_6)</f>
        <v>137.04</v>
      </c>
      <c r="K101" s="2">
        <f>SUM(OSRRefD21_18x_7)</f>
        <v>473.25</v>
      </c>
      <c r="L101" s="2">
        <f>SUM(OSRRefD21_18x_8)</f>
        <v>326.77000000000004</v>
      </c>
      <c r="M101" s="2">
        <f>SUM(OSRRefD21_18x_9)</f>
        <v>623.1400000000001</v>
      </c>
      <c r="N101" s="2">
        <f>SUM(OSRRefE21_18x_0)</f>
        <v>145</v>
      </c>
      <c r="O101" s="2">
        <f>SUM(OSRRefE21_18x_1)</f>
        <v>105</v>
      </c>
      <c r="Q101" s="3">
        <f>SUM(OSRRefD20_18x)+IFERROR(SUM(OSRRefE20_18x),0)</f>
        <v>10396.760000000002</v>
      </c>
    </row>
    <row r="102" spans="1:17" s="42" customFormat="1" ht="15" hidden="1" customHeight="1" outlineLevel="1" x14ac:dyDescent="0.3">
      <c r="A102" s="34"/>
      <c r="B102" s="11" t="str">
        <f>CONCATENATE("          ","6235"," - ","COVID-19 EXPENSES")</f>
        <v xml:space="preserve">          6235 - COVID-19 EXPENSES</v>
      </c>
      <c r="C102" s="15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>
        <v>0</v>
      </c>
      <c r="O102" s="3">
        <v>0</v>
      </c>
      <c r="P102" s="10"/>
      <c r="Q102" s="3">
        <f>SUM(OSRRefD21_18_0x)+IFERROR(SUM(OSRRefE21_18_0x),0)</f>
        <v>0</v>
      </c>
    </row>
    <row r="103" spans="1:17" s="42" customFormat="1" ht="15" hidden="1" customHeight="1" outlineLevel="1" x14ac:dyDescent="0.3">
      <c r="A103" s="34"/>
      <c r="B103" s="11" t="str">
        <f>CONCATENATE("          ","6237"," - ","JANITORIAL SUPPLIES")</f>
        <v xml:space="preserve">          6237 - JANITORIAL SUPPLIES</v>
      </c>
      <c r="C103" s="15"/>
      <c r="D103" s="3"/>
      <c r="E103" s="3">
        <v>77.17</v>
      </c>
      <c r="F103" s="3"/>
      <c r="G103" s="3"/>
      <c r="H103" s="3"/>
      <c r="I103" s="3"/>
      <c r="J103" s="3"/>
      <c r="K103" s="3"/>
      <c r="L103" s="3"/>
      <c r="M103" s="3">
        <v>692.84</v>
      </c>
      <c r="N103" s="3">
        <v>50</v>
      </c>
      <c r="O103" s="3">
        <v>10</v>
      </c>
      <c r="P103" s="10"/>
      <c r="Q103" s="3">
        <f>SUM(OSRRefD21_18_1x)+IFERROR(SUM(OSRRefE21_18_1x),0)</f>
        <v>830.01</v>
      </c>
    </row>
    <row r="104" spans="1:17" s="42" customFormat="1" ht="15" hidden="1" customHeight="1" outlineLevel="1" x14ac:dyDescent="0.3">
      <c r="A104" s="34"/>
      <c r="B104" s="11" t="str">
        <f>CONCATENATE("          ","6241"," - ","OFFICE EXPENSE")</f>
        <v xml:space="preserve">          6241 - OFFICE EXPENSE</v>
      </c>
      <c r="C104" s="15"/>
      <c r="D104" s="3">
        <v>131.47999999999999</v>
      </c>
      <c r="E104" s="3">
        <v>94.57</v>
      </c>
      <c r="F104" s="3">
        <v>267.68</v>
      </c>
      <c r="G104" s="3">
        <v>269.39</v>
      </c>
      <c r="H104" s="3">
        <v>164.36</v>
      </c>
      <c r="I104" s="3">
        <v>485.5</v>
      </c>
      <c r="J104" s="3">
        <v>137.04</v>
      </c>
      <c r="K104" s="3">
        <v>473.25</v>
      </c>
      <c r="L104" s="3">
        <v>258.54000000000002</v>
      </c>
      <c r="M104" s="3">
        <v>39.869999999999997</v>
      </c>
      <c r="N104" s="3">
        <v>45</v>
      </c>
      <c r="O104" s="3">
        <v>45</v>
      </c>
      <c r="P104" s="10"/>
      <c r="Q104" s="3">
        <f>SUM(OSRRefD21_18_2x)+IFERROR(SUM(OSRRefE21_18_2x),0)</f>
        <v>2411.6799999999998</v>
      </c>
    </row>
    <row r="105" spans="1:17" s="42" customFormat="1" ht="15" hidden="1" customHeight="1" outlineLevel="1" x14ac:dyDescent="0.3">
      <c r="A105" s="34"/>
      <c r="B105" s="11" t="str">
        <f>CONCATENATE("          ","6245"," - ","PRINTING")</f>
        <v xml:space="preserve">          6245 - PRINTING</v>
      </c>
      <c r="C105" s="15"/>
      <c r="D105" s="3"/>
      <c r="E105" s="3"/>
      <c r="F105" s="3"/>
      <c r="G105" s="3"/>
      <c r="H105" s="3"/>
      <c r="I105" s="3">
        <v>24.75</v>
      </c>
      <c r="J105" s="3"/>
      <c r="K105" s="3"/>
      <c r="L105" s="3">
        <v>10.8</v>
      </c>
      <c r="M105" s="3"/>
      <c r="N105" s="3"/>
      <c r="O105" s="3"/>
      <c r="P105" s="10"/>
      <c r="Q105" s="3">
        <f>SUM(OSRRefD21_18_3x)+IFERROR(SUM(OSRRefE21_18_3x),0)</f>
        <v>35.549999999999997</v>
      </c>
    </row>
    <row r="106" spans="1:17" s="42" customFormat="1" ht="15" hidden="1" customHeight="1" outlineLevel="1" x14ac:dyDescent="0.3">
      <c r="A106" s="34"/>
      <c r="B106" s="11" t="str">
        <f>CONCATENATE("          ","6247"," - ","STORE SUPPLIES")</f>
        <v xml:space="preserve">          6247 - STORE SUPPLIES</v>
      </c>
      <c r="C106" s="15"/>
      <c r="D106" s="3">
        <v>2641.44</v>
      </c>
      <c r="E106" s="3">
        <v>2974.63</v>
      </c>
      <c r="F106" s="3">
        <v>57.31</v>
      </c>
      <c r="G106" s="3">
        <v>959.09</v>
      </c>
      <c r="H106" s="3">
        <v>-2.2999999999999998</v>
      </c>
      <c r="I106" s="3">
        <v>441.49</v>
      </c>
      <c r="J106" s="3"/>
      <c r="K106" s="3"/>
      <c r="L106" s="3">
        <v>57.43</v>
      </c>
      <c r="M106" s="3">
        <v>-109.57</v>
      </c>
      <c r="N106" s="3">
        <v>50</v>
      </c>
      <c r="O106" s="3">
        <v>50</v>
      </c>
      <c r="P106" s="10"/>
      <c r="Q106" s="3">
        <f>SUM(OSRRefD21_18_4x)+IFERROR(SUM(OSRRefE21_18_4x),0)</f>
        <v>7119.52</v>
      </c>
    </row>
    <row r="107" spans="1:17" s="42" customFormat="1" ht="15" customHeight="1" collapsed="1" x14ac:dyDescent="0.3">
      <c r="A107" s="34"/>
      <c r="B107" s="15" t="str">
        <f>CONCATENATE("     ","Telephone/Data Lines                              ")</f>
        <v xml:space="preserve">     Telephone/Data Lines                              </v>
      </c>
      <c r="C107" s="15"/>
      <c r="D107" s="2">
        <f>SUM(OSRRefD21_19x_0)</f>
        <v>266.89</v>
      </c>
      <c r="E107" s="2">
        <f>SUM(OSRRefD21_19x_1)</f>
        <v>552.29</v>
      </c>
      <c r="F107" s="2">
        <f>SUM(OSRRefD21_19x_2)</f>
        <v>304.49</v>
      </c>
      <c r="G107" s="2">
        <f>SUM(OSRRefD21_19x_3)</f>
        <v>953.29</v>
      </c>
      <c r="H107" s="2">
        <f>SUM(OSRRefD21_19x_4)</f>
        <v>546.69000000000005</v>
      </c>
      <c r="I107" s="2">
        <f>SUM(OSRRefD21_19x_5)</f>
        <v>409.69</v>
      </c>
      <c r="J107" s="2">
        <f>SUM(OSRRefD21_19x_6)</f>
        <v>562.44000000000005</v>
      </c>
      <c r="K107" s="2">
        <f>SUM(OSRRefD21_19x_7)</f>
        <v>546.14</v>
      </c>
      <c r="L107" s="2">
        <f>SUM(OSRRefD21_19x_8)</f>
        <v>536.59</v>
      </c>
      <c r="M107" s="2">
        <f>SUM(OSRRefD21_19x_9)</f>
        <v>684.14</v>
      </c>
      <c r="N107" s="2">
        <f>SUM(OSRRefE21_19x_0)</f>
        <v>550</v>
      </c>
      <c r="O107" s="2">
        <f>SUM(OSRRefE21_19x_1)</f>
        <v>550</v>
      </c>
      <c r="Q107" s="3">
        <f>SUM(OSRRefD20_19x)+IFERROR(SUM(OSRRefE20_19x),0)</f>
        <v>6462.6500000000005</v>
      </c>
    </row>
    <row r="108" spans="1:17" s="42" customFormat="1" ht="15" hidden="1" customHeight="1" outlineLevel="1" x14ac:dyDescent="0.3">
      <c r="A108" s="34"/>
      <c r="B108" s="11" t="str">
        <f>CONCATENATE("          ","6309"," - ","TELEPHONE")</f>
        <v xml:space="preserve">          6309 - TELEPHONE</v>
      </c>
      <c r="C108" s="15"/>
      <c r="D108" s="3">
        <v>266.89</v>
      </c>
      <c r="E108" s="3">
        <v>552.29</v>
      </c>
      <c r="F108" s="3">
        <v>304.49</v>
      </c>
      <c r="G108" s="3">
        <v>953.29</v>
      </c>
      <c r="H108" s="3">
        <v>546.69000000000005</v>
      </c>
      <c r="I108" s="3">
        <v>409.69</v>
      </c>
      <c r="J108" s="3">
        <v>562.44000000000005</v>
      </c>
      <c r="K108" s="3">
        <v>546.14</v>
      </c>
      <c r="L108" s="3">
        <v>536.59</v>
      </c>
      <c r="M108" s="3">
        <v>684.14</v>
      </c>
      <c r="N108" s="3">
        <v>550</v>
      </c>
      <c r="O108" s="3">
        <v>550</v>
      </c>
      <c r="P108" s="10"/>
      <c r="Q108" s="3">
        <f>SUM(OSRRefD21_19_0x)+IFERROR(SUM(OSRRefE21_19_0x),0)</f>
        <v>6462.6500000000005</v>
      </c>
    </row>
    <row r="109" spans="1:17" s="42" customFormat="1" ht="15" customHeight="1" collapsed="1" x14ac:dyDescent="0.3">
      <c r="A109" s="34"/>
      <c r="B109" s="15" t="str">
        <f>CONCATENATE("     ","Training                                          ")</f>
        <v xml:space="preserve">     Training                                          </v>
      </c>
      <c r="C109" s="15"/>
      <c r="D109" s="2">
        <f>SUM(OSRRefD21_20x_0)</f>
        <v>0</v>
      </c>
      <c r="E109" s="2">
        <f>SUM(OSRRefD21_20x_1)</f>
        <v>0</v>
      </c>
      <c r="F109" s="2">
        <f>SUM(OSRRefD21_20x_2)</f>
        <v>0</v>
      </c>
      <c r="G109" s="2">
        <f>SUM(OSRRefD21_20x_3)</f>
        <v>0</v>
      </c>
      <c r="H109" s="2">
        <f>SUM(OSRRefD21_20x_4)</f>
        <v>0</v>
      </c>
      <c r="I109" s="2">
        <f>SUM(OSRRefD21_20x_5)</f>
        <v>0</v>
      </c>
      <c r="J109" s="2">
        <f>SUM(OSRRefD21_20x_6)</f>
        <v>0</v>
      </c>
      <c r="K109" s="2">
        <f>SUM(OSRRefD21_20x_7)</f>
        <v>300</v>
      </c>
      <c r="L109" s="2">
        <f>SUM(OSRRefD21_20x_8)</f>
        <v>0</v>
      </c>
      <c r="M109" s="2">
        <f>SUM(OSRRefD21_20x_9)</f>
        <v>0</v>
      </c>
      <c r="N109" s="2">
        <f>SUM(OSRRefE21_20x_0)</f>
        <v>0</v>
      </c>
      <c r="O109" s="2">
        <f>SUM(OSRRefE21_20x_1)</f>
        <v>0</v>
      </c>
      <c r="Q109" s="3">
        <f>SUM(OSRRefD20_20x)+IFERROR(SUM(OSRRefE20_20x),0)</f>
        <v>300</v>
      </c>
    </row>
    <row r="110" spans="1:17" s="42" customFormat="1" ht="15" hidden="1" customHeight="1" outlineLevel="1" x14ac:dyDescent="0.3">
      <c r="A110" s="34"/>
      <c r="B110" s="11" t="str">
        <f>CONCATENATE("          ","6376"," - ","TRAINING")</f>
        <v xml:space="preserve">          6376 - TRAINING</v>
      </c>
      <c r="C110" s="15"/>
      <c r="D110" s="3"/>
      <c r="E110" s="3"/>
      <c r="F110" s="3"/>
      <c r="G110" s="3"/>
      <c r="H110" s="3"/>
      <c r="I110" s="3"/>
      <c r="J110" s="3"/>
      <c r="K110" s="3">
        <v>300</v>
      </c>
      <c r="L110" s="3"/>
      <c r="M110" s="3"/>
      <c r="N110" s="3"/>
      <c r="O110" s="3"/>
      <c r="P110" s="10"/>
      <c r="Q110" s="3">
        <f>SUM(OSRRefD21_20_0x)+IFERROR(SUM(OSRRefE21_20_0x),0)</f>
        <v>300</v>
      </c>
    </row>
    <row r="111" spans="1:17" s="42" customFormat="1" ht="15" customHeight="1" collapsed="1" x14ac:dyDescent="0.3">
      <c r="A111" s="34"/>
      <c r="B111" s="15" t="str">
        <f>CONCATENATE("     ","Travel                                            ")</f>
        <v xml:space="preserve">     Travel                                            </v>
      </c>
      <c r="C111" s="15"/>
      <c r="D111" s="2">
        <f>SUM(OSRRefD21_21x_0)</f>
        <v>188.14</v>
      </c>
      <c r="E111" s="2">
        <f>SUM(OSRRefD21_21x_1)</f>
        <v>0</v>
      </c>
      <c r="F111" s="2">
        <f>SUM(OSRRefD21_21x_2)</f>
        <v>27.39</v>
      </c>
      <c r="G111" s="2">
        <f>SUM(OSRRefD21_21x_3)</f>
        <v>0</v>
      </c>
      <c r="H111" s="2">
        <f>SUM(OSRRefD21_21x_4)</f>
        <v>0</v>
      </c>
      <c r="I111" s="2">
        <f>SUM(OSRRefD21_21x_5)</f>
        <v>24.4</v>
      </c>
      <c r="J111" s="2">
        <f>SUM(OSRRefD21_21x_6)</f>
        <v>0</v>
      </c>
      <c r="K111" s="2">
        <f>SUM(OSRRefD21_21x_7)</f>
        <v>116.74</v>
      </c>
      <c r="L111" s="2">
        <f>SUM(OSRRefD21_21x_8)</f>
        <v>46.81</v>
      </c>
      <c r="M111" s="2">
        <f>SUM(OSRRefD21_21x_9)</f>
        <v>0</v>
      </c>
      <c r="N111" s="2">
        <f>SUM(OSRRefE21_21x_0)</f>
        <v>50</v>
      </c>
      <c r="O111" s="2">
        <f>SUM(OSRRefE21_21x_1)</f>
        <v>50</v>
      </c>
      <c r="Q111" s="3">
        <f>SUM(OSRRefD20_21x)+IFERROR(SUM(OSRRefE20_21x),0)</f>
        <v>503.47999999999996</v>
      </c>
    </row>
    <row r="112" spans="1:17" s="42" customFormat="1" ht="15" hidden="1" customHeight="1" outlineLevel="1" x14ac:dyDescent="0.3">
      <c r="A112" s="34"/>
      <c r="B112" s="11" t="str">
        <f>CONCATENATE("          ","6294"," - ","TRAVEL OPERATIONAL")</f>
        <v xml:space="preserve">          6294 - TRAVEL OPERATIONAL</v>
      </c>
      <c r="C112" s="15"/>
      <c r="D112" s="3">
        <v>188.14</v>
      </c>
      <c r="E112" s="3"/>
      <c r="F112" s="3">
        <v>27.39</v>
      </c>
      <c r="G112" s="3"/>
      <c r="H112" s="3"/>
      <c r="I112" s="3">
        <v>24.4</v>
      </c>
      <c r="J112" s="3"/>
      <c r="K112" s="3">
        <v>116.74</v>
      </c>
      <c r="L112" s="3">
        <v>46.81</v>
      </c>
      <c r="M112" s="3"/>
      <c r="N112" s="3">
        <v>25</v>
      </c>
      <c r="O112" s="3">
        <v>25</v>
      </c>
      <c r="P112" s="10"/>
      <c r="Q112" s="3">
        <f>SUM(OSRRefD21_21_0x)+IFERROR(SUM(OSRRefE21_21_0x),0)</f>
        <v>453.47999999999996</v>
      </c>
    </row>
    <row r="113" spans="1:17" s="42" customFormat="1" ht="15" hidden="1" customHeight="1" outlineLevel="1" x14ac:dyDescent="0.3">
      <c r="A113" s="34"/>
      <c r="B113" s="11" t="str">
        <f>CONCATENATE("          ","6298"," - ","VEHICLE MILEAGE")</f>
        <v xml:space="preserve">          6298 - VEHICLE MILEAGE</v>
      </c>
      <c r="C113" s="15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>
        <v>25</v>
      </c>
      <c r="O113" s="3">
        <v>25</v>
      </c>
      <c r="P113" s="10"/>
      <c r="Q113" s="3">
        <f>SUM(OSRRefD21_21_1x)+IFERROR(SUM(OSRRefE21_21_1x),0)</f>
        <v>50</v>
      </c>
    </row>
    <row r="114" spans="1:17" s="42" customFormat="1" ht="15" customHeight="1" collapsed="1" x14ac:dyDescent="0.3">
      <c r="A114" s="34"/>
      <c r="B114" s="15" t="str">
        <f>CONCATENATE("     ","Utilities                                         ")</f>
        <v xml:space="preserve">     Utilities                                         </v>
      </c>
      <c r="C114" s="15"/>
      <c r="D114" s="2">
        <f>SUM(OSRRefD21_22x_0)</f>
        <v>36.49</v>
      </c>
      <c r="E114" s="2">
        <f>SUM(OSRRefD21_22x_1)</f>
        <v>37.29</v>
      </c>
      <c r="F114" s="2">
        <f>SUM(OSRRefD21_22x_2)</f>
        <v>37.6</v>
      </c>
      <c r="G114" s="2">
        <f>SUM(OSRRefD21_22x_3)</f>
        <v>38.6</v>
      </c>
      <c r="H114" s="2">
        <f>SUM(OSRRefD21_22x_4)</f>
        <v>33.61</v>
      </c>
      <c r="I114" s="2">
        <f>SUM(OSRRefD21_22x_5)</f>
        <v>62.92</v>
      </c>
      <c r="J114" s="2">
        <f>SUM(OSRRefD21_22x_6)</f>
        <v>292.91000000000003</v>
      </c>
      <c r="K114" s="2">
        <f>SUM(OSRRefD21_22x_7)</f>
        <v>355.65</v>
      </c>
      <c r="L114" s="2">
        <f>SUM(OSRRefD21_22x_8)</f>
        <v>137.83000000000001</v>
      </c>
      <c r="M114" s="2">
        <f>SUM(OSRRefD21_22x_9)</f>
        <v>254.32</v>
      </c>
      <c r="N114" s="2">
        <f>SUM(OSRRefE21_22x_0)</f>
        <v>120</v>
      </c>
      <c r="O114" s="2">
        <f>SUM(OSRRefE21_22x_1)</f>
        <v>120</v>
      </c>
      <c r="Q114" s="3">
        <f>SUM(OSRRefD20_22x)+IFERROR(SUM(OSRRefE20_22x),0)</f>
        <v>1527.22</v>
      </c>
    </row>
    <row r="115" spans="1:17" s="42" customFormat="1" ht="15" hidden="1" customHeight="1" outlineLevel="1" x14ac:dyDescent="0.3">
      <c r="A115" s="34"/>
      <c r="B115" s="11" t="str">
        <f>CONCATENATE("          ","6274"," - ","UTILITIES")</f>
        <v xml:space="preserve">          6274 - UTILITIES</v>
      </c>
      <c r="C115" s="15"/>
      <c r="D115" s="3">
        <v>36.49</v>
      </c>
      <c r="E115" s="3">
        <v>37.29</v>
      </c>
      <c r="F115" s="3">
        <v>37.6</v>
      </c>
      <c r="G115" s="3">
        <v>38.6</v>
      </c>
      <c r="H115" s="3">
        <v>33.61</v>
      </c>
      <c r="I115" s="3">
        <v>62.92</v>
      </c>
      <c r="J115" s="3">
        <v>292.91000000000003</v>
      </c>
      <c r="K115" s="3">
        <v>355.65</v>
      </c>
      <c r="L115" s="3">
        <v>137.83000000000001</v>
      </c>
      <c r="M115" s="3">
        <v>254.32</v>
      </c>
      <c r="N115" s="3">
        <v>120</v>
      </c>
      <c r="O115" s="3">
        <v>120</v>
      </c>
      <c r="P115" s="10"/>
      <c r="Q115" s="3">
        <f>SUM(OSRRefD21_22_0x)+IFERROR(SUM(OSRRefE21_22_0x),0)</f>
        <v>1527.22</v>
      </c>
    </row>
    <row r="116" spans="1:17" s="40" customFormat="1" ht="15" customHeight="1" x14ac:dyDescent="0.3">
      <c r="A116" s="22"/>
      <c r="B116" s="22"/>
      <c r="C116" s="2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Q116" s="2"/>
    </row>
    <row r="117" spans="1:17" s="39" customFormat="1" ht="15" customHeight="1" x14ac:dyDescent="0.3">
      <c r="A117" s="24"/>
      <c r="B117" s="17" t="s">
        <v>287</v>
      </c>
      <c r="C117" s="23"/>
      <c r="D117" s="4">
        <f>--35082.02</f>
        <v>35082.019999999997</v>
      </c>
      <c r="E117" s="4">
        <f>--56991</f>
        <v>56991</v>
      </c>
      <c r="F117" s="4">
        <f>-308.7</f>
        <v>-308.7</v>
      </c>
      <c r="G117" s="4">
        <f>--27298.8</f>
        <v>27298.799999999999</v>
      </c>
      <c r="H117" s="4">
        <f>0</f>
        <v>0</v>
      </c>
      <c r="I117" s="4">
        <f>--290</f>
        <v>290</v>
      </c>
      <c r="J117" s="4">
        <f>--39149.25</f>
        <v>39149.25</v>
      </c>
      <c r="K117" s="4">
        <f>--145</f>
        <v>145</v>
      </c>
      <c r="L117" s="4">
        <f>--175055</f>
        <v>175055</v>
      </c>
      <c r="M117" s="4">
        <f>--33877.66</f>
        <v>33877.660000000003</v>
      </c>
      <c r="N117" s="4">
        <v>250000</v>
      </c>
      <c r="O117" s="4">
        <v>208334</v>
      </c>
      <c r="Q117" s="3">
        <f>SUM(OSRRefD23_0x)+IFERROR(SUM(OSRRefE23_0x),0)</f>
        <v>825914.03</v>
      </c>
    </row>
    <row r="118" spans="1:17" ht="15" customHeight="1" x14ac:dyDescent="0.3">
      <c r="A118" s="6"/>
      <c r="B118" s="7"/>
      <c r="C118" s="7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Q118" s="4"/>
    </row>
    <row r="119" spans="1:17" s="37" customFormat="1" ht="15" customHeight="1" x14ac:dyDescent="0.3">
      <c r="A119" s="7"/>
      <c r="B119" s="18" t="s">
        <v>288</v>
      </c>
      <c r="C119" s="18"/>
      <c r="D119" s="9">
        <f t="shared" ref="D119:O119" si="2">IFERROR(+D38-D41+D117,0)</f>
        <v>12021.139999999948</v>
      </c>
      <c r="E119" s="9">
        <f t="shared" si="2"/>
        <v>208636.18</v>
      </c>
      <c r="F119" s="9">
        <f t="shared" si="2"/>
        <v>77111.25999999998</v>
      </c>
      <c r="G119" s="9">
        <f t="shared" si="2"/>
        <v>127262.24999999996</v>
      </c>
      <c r="H119" s="9">
        <f t="shared" si="2"/>
        <v>59992.430000000051</v>
      </c>
      <c r="I119" s="9">
        <f t="shared" si="2"/>
        <v>130239.74</v>
      </c>
      <c r="J119" s="9">
        <f t="shared" si="2"/>
        <v>4031.800000000032</v>
      </c>
      <c r="K119" s="9">
        <f t="shared" si="2"/>
        <v>181407.76999999996</v>
      </c>
      <c r="L119" s="9">
        <f t="shared" si="2"/>
        <v>361263.93000000005</v>
      </c>
      <c r="M119" s="9">
        <f t="shared" si="2"/>
        <v>311100.58000000007</v>
      </c>
      <c r="N119" s="9">
        <f t="shared" si="2"/>
        <v>281053.89725810767</v>
      </c>
      <c r="O119" s="9">
        <f t="shared" si="2"/>
        <v>229200.94619480768</v>
      </c>
      <c r="Q119" s="9">
        <f>IFERROR(+Q38-Q41+Q117,0)</f>
        <v>1983321.9234529145</v>
      </c>
    </row>
    <row r="120" spans="1:17" s="38" customFormat="1" ht="15" customHeight="1" x14ac:dyDescent="0.3">
      <c r="B120" s="17"/>
      <c r="C120" s="17"/>
      <c r="D120" s="5">
        <f t="shared" ref="D120:O120" si="3">IFERROR(D119/D10,0)</f>
        <v>7.7131963996519434E-2</v>
      </c>
      <c r="E120" s="5">
        <f t="shared" si="3"/>
        <v>0.48445075922049924</v>
      </c>
      <c r="F120" s="5">
        <f t="shared" si="3"/>
        <v>0.25044391278263545</v>
      </c>
      <c r="G120" s="5">
        <f t="shared" si="3"/>
        <v>0.26622184041514968</v>
      </c>
      <c r="H120" s="5">
        <f t="shared" si="3"/>
        <v>0.22614061531654442</v>
      </c>
      <c r="I120" s="5">
        <f t="shared" si="3"/>
        <v>0.30225108816642859</v>
      </c>
      <c r="J120" s="5">
        <f t="shared" si="3"/>
        <v>2.2918903530732362E-2</v>
      </c>
      <c r="K120" s="5">
        <f t="shared" si="3"/>
        <v>0.34086968178228044</v>
      </c>
      <c r="L120" s="5">
        <f t="shared" si="3"/>
        <v>0.70934126267418796</v>
      </c>
      <c r="M120" s="5">
        <f t="shared" si="3"/>
        <v>0.41385953535114783</v>
      </c>
      <c r="N120" s="5">
        <f t="shared" si="3"/>
        <v>1.0633776281695919</v>
      </c>
      <c r="O120" s="5">
        <f t="shared" si="3"/>
        <v>0.89738790017112824</v>
      </c>
      <c r="P120" s="19"/>
      <c r="Q120" s="5">
        <f>IFERROR(Q119/Q10,0)</f>
        <v>0.43518208371872819</v>
      </c>
    </row>
    <row r="121" spans="1:17" ht="15" customHeight="1" x14ac:dyDescent="0.3">
      <c r="A121" s="6"/>
      <c r="B121" s="7"/>
      <c r="C121" s="6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Q121" s="4"/>
    </row>
    <row r="122" spans="1:17" s="37" customFormat="1" ht="15" customHeight="1" x14ac:dyDescent="0.3">
      <c r="A122" s="26"/>
      <c r="B122" s="7" t="s">
        <v>289</v>
      </c>
      <c r="C122" s="7"/>
      <c r="D122" s="4">
        <v>72002.8</v>
      </c>
      <c r="E122" s="4">
        <v>15642.22</v>
      </c>
      <c r="F122" s="4">
        <v>23061.8</v>
      </c>
      <c r="G122" s="4">
        <v>47936.61</v>
      </c>
      <c r="H122" s="4">
        <v>36429.949999999997</v>
      </c>
      <c r="I122" s="4">
        <v>53929.69</v>
      </c>
      <c r="J122" s="4">
        <v>48102.07</v>
      </c>
      <c r="K122" s="4">
        <v>49495.11</v>
      </c>
      <c r="L122" s="4">
        <v>45580.01</v>
      </c>
      <c r="M122" s="4">
        <v>65230.71</v>
      </c>
      <c r="N122" s="4">
        <v>35322</v>
      </c>
      <c r="O122" s="4">
        <v>-2360</v>
      </c>
      <c r="Q122" s="3">
        <f>SUM(OSRRefD28_0x)+IFERROR(SUM(OSRRefE28_0x),0)</f>
        <v>490372.97000000003</v>
      </c>
    </row>
    <row r="123" spans="1:17" ht="15" customHeight="1" x14ac:dyDescent="0.3">
      <c r="A123" s="6"/>
      <c r="B123" s="7"/>
      <c r="C123" s="7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Q123" s="4"/>
    </row>
    <row r="124" spans="1:17" s="37" customFormat="1" ht="15.75" customHeight="1" x14ac:dyDescent="0.3">
      <c r="A124" s="7"/>
      <c r="B124" s="18" t="s">
        <v>290</v>
      </c>
      <c r="C124" s="18"/>
      <c r="D124" s="8">
        <f t="shared" ref="D124:O124" si="4">IFERROR(+D119-D122,0)</f>
        <v>-59981.660000000054</v>
      </c>
      <c r="E124" s="8">
        <f t="shared" si="4"/>
        <v>192993.96</v>
      </c>
      <c r="F124" s="8">
        <f t="shared" si="4"/>
        <v>54049.459999999977</v>
      </c>
      <c r="G124" s="8">
        <f t="shared" si="4"/>
        <v>79325.639999999956</v>
      </c>
      <c r="H124" s="8">
        <f t="shared" si="4"/>
        <v>23562.480000000054</v>
      </c>
      <c r="I124" s="8">
        <f t="shared" si="4"/>
        <v>76310.05</v>
      </c>
      <c r="J124" s="8">
        <f t="shared" si="4"/>
        <v>-44070.269999999968</v>
      </c>
      <c r="K124" s="8">
        <f t="shared" si="4"/>
        <v>131912.65999999997</v>
      </c>
      <c r="L124" s="8">
        <f t="shared" si="4"/>
        <v>315683.92000000004</v>
      </c>
      <c r="M124" s="8">
        <f t="shared" si="4"/>
        <v>245869.87000000008</v>
      </c>
      <c r="N124" s="8">
        <f t="shared" si="4"/>
        <v>245731.89725810767</v>
      </c>
      <c r="O124" s="8">
        <f t="shared" si="4"/>
        <v>231560.94619480768</v>
      </c>
      <c r="Q124" s="8">
        <f>IFERROR(+Q119-Q122,0)</f>
        <v>1492948.9534529145</v>
      </c>
    </row>
    <row r="125" spans="1:17" ht="15.75" customHeight="1" x14ac:dyDescent="0.3">
      <c r="A125" s="6"/>
      <c r="B125" s="6"/>
      <c r="C125" s="6"/>
      <c r="D125" s="5">
        <f t="shared" ref="D125:O125" si="5">IFERROR(D124/D10,0)</f>
        <v>-0.38486393466605445</v>
      </c>
      <c r="E125" s="5">
        <f t="shared" si="5"/>
        <v>0.44812970812143249</v>
      </c>
      <c r="F125" s="5">
        <f t="shared" si="5"/>
        <v>0.17554321179797272</v>
      </c>
      <c r="G125" s="5">
        <f t="shared" si="5"/>
        <v>0.16594251534064194</v>
      </c>
      <c r="H125" s="5">
        <f t="shared" si="5"/>
        <v>8.8818434685572489E-2</v>
      </c>
      <c r="I125" s="5">
        <f t="shared" si="5"/>
        <v>0.17709491473596747</v>
      </c>
      <c r="J125" s="5">
        <f t="shared" si="5"/>
        <v>-0.25051894109413159</v>
      </c>
      <c r="K125" s="5">
        <f t="shared" si="5"/>
        <v>0.24786714724101483</v>
      </c>
      <c r="L125" s="5">
        <f t="shared" si="5"/>
        <v>0.61984497156618246</v>
      </c>
      <c r="M125" s="5">
        <f t="shared" si="5"/>
        <v>0.32708261153048035</v>
      </c>
      <c r="N125" s="5">
        <f t="shared" si="5"/>
        <v>0.92973555827254195</v>
      </c>
      <c r="O125" s="5">
        <f t="shared" si="5"/>
        <v>0.90662798176574699</v>
      </c>
      <c r="P125" s="19"/>
      <c r="Q125" s="5">
        <f>IFERROR(Q124/Q10,0)</f>
        <v>0.32758405419036268</v>
      </c>
    </row>
    <row r="126" spans="1:17" ht="15" customHeight="1" x14ac:dyDescent="0.3">
      <c r="A126" s="6"/>
      <c r="B126" s="6"/>
      <c r="C126" s="6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Q126" s="4"/>
    </row>
    <row r="127" spans="1:17" ht="15" customHeight="1" x14ac:dyDescent="0.3">
      <c r="A127" s="6"/>
      <c r="B127" s="6"/>
      <c r="C127" s="6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Q127" s="4"/>
    </row>
    <row r="128" spans="1:17" s="37" customFormat="1" ht="15.75" customHeight="1" x14ac:dyDescent="0.3">
      <c r="A128" s="7"/>
      <c r="B128" s="18" t="s">
        <v>293</v>
      </c>
      <c r="C128" s="18"/>
      <c r="D128" s="8">
        <f t="shared" ref="D128:O128" si="6">IFERROR(SUM(D124:D127),0)</f>
        <v>-59982.044863934723</v>
      </c>
      <c r="E128" s="8">
        <f t="shared" si="6"/>
        <v>192994.40812970811</v>
      </c>
      <c r="F128" s="8">
        <f t="shared" si="6"/>
        <v>54049.635543211778</v>
      </c>
      <c r="G128" s="8">
        <f t="shared" si="6"/>
        <v>79325.80594251529</v>
      </c>
      <c r="H128" s="8">
        <f t="shared" si="6"/>
        <v>23562.568818434738</v>
      </c>
      <c r="I128" s="8">
        <f t="shared" si="6"/>
        <v>76310.227094914735</v>
      </c>
      <c r="J128" s="8">
        <f t="shared" si="6"/>
        <v>-44070.520518941063</v>
      </c>
      <c r="K128" s="8">
        <f t="shared" si="6"/>
        <v>131912.90786714721</v>
      </c>
      <c r="L128" s="8">
        <f t="shared" si="6"/>
        <v>315684.53984497162</v>
      </c>
      <c r="M128" s="8">
        <f t="shared" si="6"/>
        <v>245870.19708261162</v>
      </c>
      <c r="N128" s="8">
        <f t="shared" si="6"/>
        <v>245732.82699366595</v>
      </c>
      <c r="O128" s="8">
        <f t="shared" si="6"/>
        <v>231561.85282278946</v>
      </c>
      <c r="Q128" s="8">
        <f>IFERROR(SUM(Q124:Q127),0)</f>
        <v>1492949.2810369686</v>
      </c>
    </row>
    <row r="129" spans="1:17" ht="15.75" customHeight="1" x14ac:dyDescent="0.3">
      <c r="A129" s="6"/>
      <c r="C129" s="6"/>
      <c r="D129" s="5">
        <f t="shared" ref="D129:O129" si="7">IFERROR(D128/D10,0)</f>
        <v>-0.38486640409167899</v>
      </c>
      <c r="E129" s="5">
        <f t="shared" si="7"/>
        <v>0.44813074867335084</v>
      </c>
      <c r="F129" s="5">
        <f t="shared" si="7"/>
        <v>0.17554378193168374</v>
      </c>
      <c r="G129" s="5">
        <f t="shared" si="7"/>
        <v>0.16594286247831894</v>
      </c>
      <c r="H129" s="5">
        <f t="shared" si="7"/>
        <v>8.881876948540425E-2</v>
      </c>
      <c r="I129" s="5">
        <f t="shared" si="7"/>
        <v>0.17709532572519923</v>
      </c>
      <c r="J129" s="5">
        <f t="shared" si="7"/>
        <v>-0.25052036517752946</v>
      </c>
      <c r="K129" s="5">
        <f t="shared" si="7"/>
        <v>0.24786761298950841</v>
      </c>
      <c r="L129" s="5">
        <f t="shared" si="7"/>
        <v>0.61984618863098817</v>
      </c>
      <c r="M129" s="5">
        <f t="shared" si="7"/>
        <v>0.32708304665103732</v>
      </c>
      <c r="N129" s="5">
        <f t="shared" si="7"/>
        <v>0.92973907596079486</v>
      </c>
      <c r="O129" s="5">
        <f t="shared" si="7"/>
        <v>0.90663153147614006</v>
      </c>
      <c r="P129" s="19"/>
      <c r="Q129" s="5">
        <f>IFERROR(Q128/Q10,0)</f>
        <v>0.32758412606911796</v>
      </c>
    </row>
    <row r="130" spans="1:17" ht="15" customHeight="1" x14ac:dyDescent="0.3">
      <c r="A130" s="6"/>
      <c r="B130" s="33">
        <v>44694.892827546297</v>
      </c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Q130" s="14"/>
    </row>
    <row r="131" spans="1:17" ht="15" customHeight="1" x14ac:dyDescent="0.3">
      <c r="A131" s="6"/>
      <c r="B131" s="31" t="s">
        <v>294</v>
      </c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Q131" s="14"/>
    </row>
    <row r="132" spans="1:17" ht="15" customHeight="1" x14ac:dyDescent="0.3">
      <c r="A132" s="6"/>
      <c r="B132" s="27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Q132" s="14"/>
    </row>
    <row r="133" spans="1:17" ht="15" customHeight="1" x14ac:dyDescent="0.3"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Q133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DB2F8-A836-A0C6-736D-B41205D8D0F2}">
  <sheetPr>
    <tabColor rgb="FF92D050"/>
    <outlinePr summaryBelow="0" summaryRight="0"/>
    <pageSetUpPr fitToPage="1"/>
  </sheetPr>
  <dimension ref="A2:R122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","315"," - ","Bookstore Retail")</f>
        <v>Department 315 - Bookstore Retail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124040.73</v>
      </c>
      <c r="E10" s="4">
        <f>SUM(OSRRefD11x_1)</f>
        <v>395630.21</v>
      </c>
      <c r="F10" s="4">
        <f>SUM(OSRRefD11x_2)</f>
        <v>285269.82</v>
      </c>
      <c r="G10" s="4">
        <f>SUM(OSRRefD11x_3)</f>
        <v>449676.7</v>
      </c>
      <c r="H10" s="4">
        <f>SUM(OSRRefD11x_4)</f>
        <v>235903.39</v>
      </c>
      <c r="I10" s="4">
        <f>SUM(OSRRefD11x_5)</f>
        <v>373398.06000000006</v>
      </c>
      <c r="J10" s="4">
        <f>SUM(OSRRefD11x_6)</f>
        <v>149324.49</v>
      </c>
      <c r="K10" s="4">
        <f>SUM(OSRRefD11x_7)</f>
        <v>505355.36000000004</v>
      </c>
      <c r="L10" s="4">
        <f>SUM(OSRRefD11x_8)</f>
        <v>476662.26999999996</v>
      </c>
      <c r="M10" s="4">
        <f>SUM(OSRRefD11x_9)</f>
        <v>706063.1100000001</v>
      </c>
      <c r="N10" s="4">
        <f>SUM(OSRRefE11x_0)</f>
        <v>201585</v>
      </c>
      <c r="O10" s="4">
        <f>SUM(OSRRefE11x_1)</f>
        <v>194754</v>
      </c>
      <c r="P10" s="25"/>
      <c r="Q10" s="4">
        <f>SUM(OSRRefG11x)</f>
        <v>4097663.1400000006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--118177.59</f>
        <v>118177.59</v>
      </c>
      <c r="E11" s="3">
        <f>--377298.06</f>
        <v>377298.06</v>
      </c>
      <c r="F11" s="3">
        <f>--247528.61</f>
        <v>247528.61</v>
      </c>
      <c r="G11" s="3">
        <f>--402019.25</f>
        <v>402019.25</v>
      </c>
      <c r="H11" s="3">
        <f>--212367.92</f>
        <v>212367.92</v>
      </c>
      <c r="I11" s="3">
        <f>--386085.06</f>
        <v>386085.06</v>
      </c>
      <c r="J11" s="3">
        <f>--141554.15</f>
        <v>141554.15</v>
      </c>
      <c r="K11" s="3">
        <f>--453352.52</f>
        <v>453352.52</v>
      </c>
      <c r="L11" s="3">
        <f>--430208.89</f>
        <v>430208.89</v>
      </c>
      <c r="M11" s="3">
        <f>--628817.79</f>
        <v>628817.79</v>
      </c>
      <c r="N11" s="3">
        <v>201585</v>
      </c>
      <c r="O11" s="3">
        <v>194754</v>
      </c>
      <c r="Q11" s="3">
        <f>SUM(OSRRefD11_0x)+IFERROR(SUM(OSRRefE11_0x),0)</f>
        <v>3793748.8400000003</v>
      </c>
    </row>
    <row r="12" spans="1:18" s="39" customFormat="1" ht="15" hidden="1" customHeight="1" outlineLevel="1" x14ac:dyDescent="0.3">
      <c r="A12" s="24"/>
      <c r="B12" s="11" t="str">
        <f>CONCATENATE("          ","4100"," - ","NON-TAXABLE SALES")</f>
        <v xml:space="preserve">          4100 - NON-TAXABLE SALES</v>
      </c>
      <c r="C12" s="23"/>
      <c r="D12" s="3">
        <f>--9614.79</f>
        <v>9614.7900000000009</v>
      </c>
      <c r="E12" s="3">
        <f>--25658.79</f>
        <v>25658.79</v>
      </c>
      <c r="F12" s="3">
        <f>--48110.96</f>
        <v>48110.96</v>
      </c>
      <c r="G12" s="3">
        <f>--62874.2</f>
        <v>62874.2</v>
      </c>
      <c r="H12" s="3">
        <f>--38141.75</f>
        <v>38141.75</v>
      </c>
      <c r="I12" s="3">
        <f>--43630.31</f>
        <v>43630.31</v>
      </c>
      <c r="J12" s="3">
        <f>--17493.72</f>
        <v>17493.72</v>
      </c>
      <c r="K12" s="3">
        <f>--71929.49</f>
        <v>71929.490000000005</v>
      </c>
      <c r="L12" s="3">
        <f>--68802.85</f>
        <v>68802.850000000006</v>
      </c>
      <c r="M12" s="3">
        <f>--112286.4</f>
        <v>112286.39999999999</v>
      </c>
      <c r="N12" s="3"/>
      <c r="O12" s="3"/>
      <c r="Q12" s="3">
        <f>SUM(OSRRefD11_1x)+IFERROR(SUM(OSRRefE11_1x),0)</f>
        <v>498543.26</v>
      </c>
    </row>
    <row r="13" spans="1:18" s="39" customFormat="1" ht="15" hidden="1" customHeight="1" outlineLevel="1" x14ac:dyDescent="0.3">
      <c r="A13" s="24"/>
      <c r="B13" s="11" t="str">
        <f>CONCATENATE("          ","4200"," - ","TAXABLE RETURNS")</f>
        <v xml:space="preserve">          4200 - TAXABLE RETURNS</v>
      </c>
      <c r="C13" s="23"/>
      <c r="D13" s="3">
        <f>-3631.8</f>
        <v>-3631.8</v>
      </c>
      <c r="E13" s="3">
        <f>-7228.29</f>
        <v>-7228.29</v>
      </c>
      <c r="F13" s="3">
        <f>-10028.97</f>
        <v>-10028.969999999999</v>
      </c>
      <c r="G13" s="3">
        <f>-8294.97</f>
        <v>-8294.9699999999993</v>
      </c>
      <c r="H13" s="3">
        <f>-8320.43</f>
        <v>-8320.43</v>
      </c>
      <c r="I13" s="3">
        <f>-12312.36</f>
        <v>-12312.36</v>
      </c>
      <c r="J13" s="3">
        <f>-5363.67</f>
        <v>-5363.67</v>
      </c>
      <c r="K13" s="3">
        <f>-12311.98</f>
        <v>-12311.98</v>
      </c>
      <c r="L13" s="3">
        <f>-13913.76</f>
        <v>-13913.76</v>
      </c>
      <c r="M13" s="3">
        <f>-19926.32</f>
        <v>-19926.32</v>
      </c>
      <c r="N13" s="3"/>
      <c r="O13" s="3"/>
      <c r="Q13" s="3">
        <f>SUM(OSRRefD11_2x)+IFERROR(SUM(OSRRefE11_2x),0)</f>
        <v>-101332.54999999999</v>
      </c>
    </row>
    <row r="14" spans="1:18" s="39" customFormat="1" ht="15" hidden="1" customHeight="1" outlineLevel="1" x14ac:dyDescent="0.3">
      <c r="A14" s="24"/>
      <c r="B14" s="11" t="str">
        <f>CONCATENATE("          ","4300"," - ","NON-TAX RETURNS")</f>
        <v xml:space="preserve">          4300 - NON-TAX RETURNS</v>
      </c>
      <c r="C14" s="23"/>
      <c r="D14" s="3">
        <f>-119.85</f>
        <v>-119.85</v>
      </c>
      <c r="E14" s="3">
        <f>-98.35</f>
        <v>-98.35</v>
      </c>
      <c r="F14" s="3">
        <f>-340.78</f>
        <v>-340.78</v>
      </c>
      <c r="G14" s="3">
        <f>-335.33</f>
        <v>-335.33</v>
      </c>
      <c r="H14" s="3">
        <f>-213.1</f>
        <v>-213.1</v>
      </c>
      <c r="I14" s="3">
        <f>-168.79</f>
        <v>-168.79</v>
      </c>
      <c r="J14" s="3">
        <f>-376.59</f>
        <v>-376.59</v>
      </c>
      <c r="K14" s="3">
        <f>-245.74</f>
        <v>-245.74</v>
      </c>
      <c r="L14" s="3">
        <f>0</f>
        <v>0</v>
      </c>
      <c r="M14" s="3">
        <f>-1251.61</f>
        <v>-1251.6099999999999</v>
      </c>
      <c r="N14" s="3"/>
      <c r="O14" s="3"/>
      <c r="Q14" s="3">
        <f>SUM(OSRRefD11_3x)+IFERROR(SUM(OSRRefE11_3x),0)</f>
        <v>-3150.1399999999994</v>
      </c>
    </row>
    <row r="15" spans="1:18" s="39" customFormat="1" ht="15" hidden="1" customHeight="1" outlineLevel="1" x14ac:dyDescent="0.3">
      <c r="A15" s="24"/>
      <c r="B15" s="11" t="str">
        <f>CONCATENATE("          ","4500"," - ","SALES DISCOUNT")</f>
        <v xml:space="preserve">          4500 - SALES DISCOUNT</v>
      </c>
      <c r="C15" s="23"/>
      <c r="D15" s="3">
        <f>0</f>
        <v>0</v>
      </c>
      <c r="E15" s="3">
        <f>0</f>
        <v>0</v>
      </c>
      <c r="F15" s="3">
        <f>0</f>
        <v>0</v>
      </c>
      <c r="G15" s="3">
        <f>-6586.45</f>
        <v>-6586.45</v>
      </c>
      <c r="H15" s="3">
        <f>-6072.75</f>
        <v>-6072.75</v>
      </c>
      <c r="I15" s="3">
        <f>-43836.16</f>
        <v>-43836.160000000003</v>
      </c>
      <c r="J15" s="3">
        <f>-3983.12</f>
        <v>-3983.12</v>
      </c>
      <c r="K15" s="3">
        <f>-7368.93</f>
        <v>-7368.93</v>
      </c>
      <c r="L15" s="3">
        <f>-8435.71</f>
        <v>-8435.7099999999991</v>
      </c>
      <c r="M15" s="3">
        <f>-13863.15</f>
        <v>-13863.15</v>
      </c>
      <c r="N15" s="3"/>
      <c r="O15" s="3"/>
      <c r="Q15" s="3">
        <f>SUM(OSRRefD11_4x)+IFERROR(SUM(OSRRefE11_4x),0)</f>
        <v>-90146.26999999999</v>
      </c>
    </row>
    <row r="16" spans="1:18" ht="15" customHeight="1" x14ac:dyDescent="0.3">
      <c r="A16" s="6"/>
      <c r="B16" s="7"/>
      <c r="C16" s="6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Q16" s="4"/>
    </row>
    <row r="17" spans="1:17" s="39" customFormat="1" ht="15" customHeight="1" collapsed="1" x14ac:dyDescent="0.3">
      <c r="A17" s="24"/>
      <c r="B17" s="17" t="s">
        <v>284</v>
      </c>
      <c r="C17" s="23"/>
      <c r="D17" s="4">
        <f>SUM(OSRRefD14x_0)</f>
        <v>66737.360000000015</v>
      </c>
      <c r="E17" s="4">
        <f>SUM(OSRRefD14x_1)</f>
        <v>163570.48000000004</v>
      </c>
      <c r="F17" s="4">
        <f>SUM(OSRRefD14x_2)</f>
        <v>134223.49</v>
      </c>
      <c r="G17" s="4">
        <f>SUM(OSRRefD14x_3)</f>
        <v>259592.27</v>
      </c>
      <c r="H17" s="4">
        <f>SUM(OSRRefD14x_4)</f>
        <v>110780</v>
      </c>
      <c r="I17" s="4">
        <f>SUM(OSRRefD14x_5)</f>
        <v>185783.58</v>
      </c>
      <c r="J17" s="4">
        <f>SUM(OSRRefD14x_6)</f>
        <v>71420.520000000019</v>
      </c>
      <c r="K17" s="4">
        <f>SUM(OSRRefD14x_7)</f>
        <v>228403.65</v>
      </c>
      <c r="L17" s="4">
        <f>SUM(OSRRefD14x_8)</f>
        <v>206428.73</v>
      </c>
      <c r="M17" s="4">
        <f>SUM(OSRRefD14x_9)</f>
        <v>310892.98</v>
      </c>
      <c r="N17" s="4">
        <f>SUM(OSRRefE14x_0)</f>
        <v>103318</v>
      </c>
      <c r="O17" s="4">
        <f>SUM(OSRRefE14x_1)</f>
        <v>107948</v>
      </c>
      <c r="Q17" s="4">
        <f>SUM(OSRRefG14x)</f>
        <v>1949099.06</v>
      </c>
    </row>
    <row r="18" spans="1:17" s="39" customFormat="1" ht="15" hidden="1" customHeight="1" outlineLevel="1" x14ac:dyDescent="0.3">
      <c r="A18" s="24"/>
      <c r="B18" s="11" t="str">
        <f>CONCATENATE("          ","5000"," - ","PURCHASES @ COST")</f>
        <v xml:space="preserve">          5000 - PURCHASES @ COST</v>
      </c>
      <c r="C18" s="23"/>
      <c r="D18" s="3">
        <v>80555.63</v>
      </c>
      <c r="E18" s="3">
        <v>63702.01</v>
      </c>
      <c r="F18" s="3">
        <v>133581.15</v>
      </c>
      <c r="G18" s="3">
        <v>445922.98</v>
      </c>
      <c r="H18" s="3">
        <v>109123.35</v>
      </c>
      <c r="I18" s="3">
        <v>210648.98</v>
      </c>
      <c r="J18" s="3">
        <v>166985.17000000001</v>
      </c>
      <c r="K18" s="3">
        <v>205846.32</v>
      </c>
      <c r="L18" s="3">
        <v>364854.79</v>
      </c>
      <c r="M18" s="3">
        <v>324756.86</v>
      </c>
      <c r="N18" s="3">
        <v>103318</v>
      </c>
      <c r="O18" s="3">
        <v>107948</v>
      </c>
      <c r="Q18" s="3">
        <f>SUM(OSRRefD14_0x)+IFERROR(SUM(OSRRefE14_0x),0)</f>
        <v>2317243.2400000002</v>
      </c>
    </row>
    <row r="19" spans="1:17" s="39" customFormat="1" ht="15" hidden="1" customHeight="1" outlineLevel="1" x14ac:dyDescent="0.3">
      <c r="A19" s="24"/>
      <c r="B19" s="11" t="str">
        <f>CONCATENATE("          ","5027"," - ","PURCHASES @ COST-SCHOOL SUPPLI")</f>
        <v xml:space="preserve">          5027 - PURCHASES @ COST-SCHOOL SUPPLI</v>
      </c>
      <c r="C19" s="23"/>
      <c r="D19" s="3"/>
      <c r="E19" s="3">
        <v>0</v>
      </c>
      <c r="F19" s="3">
        <v>0</v>
      </c>
      <c r="G19" s="3"/>
      <c r="H19" s="3"/>
      <c r="I19" s="3"/>
      <c r="J19" s="3"/>
      <c r="K19" s="3"/>
      <c r="L19" s="3"/>
      <c r="M19" s="3"/>
      <c r="N19" s="3"/>
      <c r="O19" s="3"/>
      <c r="Q19" s="3">
        <f>SUM(OSRRefD14_1x)+IFERROR(SUM(OSRRefE14_1x),0)</f>
        <v>0</v>
      </c>
    </row>
    <row r="20" spans="1:17" s="39" customFormat="1" ht="15" hidden="1" customHeight="1" outlineLevel="1" x14ac:dyDescent="0.3">
      <c r="A20" s="24"/>
      <c r="B20" s="11" t="str">
        <f>CONCATENATE("          ","5028"," - ","PURCHASES @ COST-ART/TECH")</f>
        <v xml:space="preserve">          5028 - PURCHASES @ COST-ART/TECH</v>
      </c>
      <c r="C20" s="23"/>
      <c r="D20" s="3"/>
      <c r="E20" s="3">
        <v>0</v>
      </c>
      <c r="F20" s="3">
        <v>0</v>
      </c>
      <c r="G20" s="3"/>
      <c r="H20" s="3"/>
      <c r="I20" s="3"/>
      <c r="J20" s="3"/>
      <c r="K20" s="3"/>
      <c r="L20" s="3"/>
      <c r="M20" s="3"/>
      <c r="N20" s="3"/>
      <c r="O20" s="3"/>
      <c r="Q20" s="3">
        <f>SUM(OSRRefD14_2x)+IFERROR(SUM(OSRRefE14_2x),0)</f>
        <v>0</v>
      </c>
    </row>
    <row r="21" spans="1:17" s="39" customFormat="1" ht="15" hidden="1" customHeight="1" outlineLevel="1" x14ac:dyDescent="0.3">
      <c r="A21" s="24"/>
      <c r="B21" s="11" t="str">
        <f>CONCATENATE("          ","5031"," - ","PURCHASES @ COST-FOOD")</f>
        <v xml:space="preserve">          5031 - PURCHASES @ COST-FOOD</v>
      </c>
      <c r="C21" s="23"/>
      <c r="D21" s="3"/>
      <c r="E21" s="3">
        <v>0</v>
      </c>
      <c r="F21" s="3">
        <v>0</v>
      </c>
      <c r="G21" s="3"/>
      <c r="H21" s="3"/>
      <c r="I21" s="3"/>
      <c r="J21" s="3"/>
      <c r="K21" s="3"/>
      <c r="L21" s="3"/>
      <c r="M21" s="3"/>
      <c r="N21" s="3"/>
      <c r="O21" s="3"/>
      <c r="Q21" s="3">
        <f>SUM(OSRRefD14_3x)+IFERROR(SUM(OSRRefE14_3x),0)</f>
        <v>0</v>
      </c>
    </row>
    <row r="22" spans="1:17" s="39" customFormat="1" ht="15" hidden="1" customHeight="1" outlineLevel="1" x14ac:dyDescent="0.3">
      <c r="A22" s="24"/>
      <c r="B22" s="11" t="str">
        <f>CONCATENATE("          ","5040"," - ","PURCHASES @ COST-LOGO CLOTHING")</f>
        <v xml:space="preserve">          5040 - PURCHASES @ COST-LOGO CLOTHING</v>
      </c>
      <c r="C22" s="23"/>
      <c r="D22" s="3">
        <v>0</v>
      </c>
      <c r="E22" s="3">
        <v>0</v>
      </c>
      <c r="F22" s="3">
        <v>0</v>
      </c>
      <c r="G22" s="3"/>
      <c r="H22" s="3"/>
      <c r="I22" s="3"/>
      <c r="J22" s="3"/>
      <c r="K22" s="3"/>
      <c r="L22" s="3"/>
      <c r="M22" s="3"/>
      <c r="N22" s="3"/>
      <c r="O22" s="3"/>
      <c r="Q22" s="3">
        <f>SUM(OSRRefD14_4x)+IFERROR(SUM(OSRRefE14_4x),0)</f>
        <v>0</v>
      </c>
    </row>
    <row r="23" spans="1:17" s="39" customFormat="1" ht="15" hidden="1" customHeight="1" outlineLevel="1" x14ac:dyDescent="0.3">
      <c r="A23" s="24"/>
      <c r="B23" s="11" t="str">
        <f>CONCATENATE("          ","5041"," - ","PURCHASES @ COST-LOGO GIFTS")</f>
        <v xml:space="preserve">          5041 - PURCHASES @ COST-LOGO GIFTS</v>
      </c>
      <c r="C23" s="23"/>
      <c r="D23" s="3">
        <v>0</v>
      </c>
      <c r="E23" s="3">
        <v>0</v>
      </c>
      <c r="F23" s="3">
        <v>0</v>
      </c>
      <c r="G23" s="3"/>
      <c r="H23" s="3"/>
      <c r="I23" s="3"/>
      <c r="J23" s="3"/>
      <c r="K23" s="3"/>
      <c r="L23" s="3"/>
      <c r="M23" s="3"/>
      <c r="N23" s="3"/>
      <c r="O23" s="3"/>
      <c r="Q23" s="3">
        <f>SUM(OSRRefD14_5x)+IFERROR(SUM(OSRRefE14_5x),0)</f>
        <v>0</v>
      </c>
    </row>
    <row r="24" spans="1:17" s="39" customFormat="1" ht="15" hidden="1" customHeight="1" outlineLevel="1" x14ac:dyDescent="0.3">
      <c r="A24" s="24"/>
      <c r="B24" s="11" t="str">
        <f>CONCATENATE("          ","5042"," - ","PURCHASES @ COST-EVERYDAY GIFT")</f>
        <v xml:space="preserve">          5042 - PURCHASES @ COST-EVERYDAY GIFT</v>
      </c>
      <c r="C24" s="23"/>
      <c r="D24" s="3">
        <v>0</v>
      </c>
      <c r="E24" s="3">
        <v>0</v>
      </c>
      <c r="F24" s="3"/>
      <c r="G24" s="3"/>
      <c r="H24" s="3"/>
      <c r="I24" s="3"/>
      <c r="J24" s="3"/>
      <c r="K24" s="3"/>
      <c r="L24" s="3"/>
      <c r="M24" s="3"/>
      <c r="N24" s="3"/>
      <c r="O24" s="3"/>
      <c r="Q24" s="3">
        <f>SUM(OSRRefD14_6x)+IFERROR(SUM(OSRRefE14_6x),0)</f>
        <v>0</v>
      </c>
    </row>
    <row r="25" spans="1:17" s="39" customFormat="1" ht="15" hidden="1" customHeight="1" outlineLevel="1" x14ac:dyDescent="0.3">
      <c r="A25" s="24"/>
      <c r="B25" s="11" t="str">
        <f>CONCATENATE("          ","5043"," - ","PURCHASES @ COST-CARDS")</f>
        <v xml:space="preserve">          5043 - PURCHASES @ COST-CARDS</v>
      </c>
      <c r="C25" s="23"/>
      <c r="D25" s="3">
        <v>0</v>
      </c>
      <c r="E25" s="3">
        <v>0</v>
      </c>
      <c r="F25" s="3"/>
      <c r="G25" s="3"/>
      <c r="H25" s="3"/>
      <c r="I25" s="3"/>
      <c r="J25" s="3"/>
      <c r="K25" s="3"/>
      <c r="L25" s="3"/>
      <c r="M25" s="3"/>
      <c r="N25" s="3"/>
      <c r="O25" s="3"/>
      <c r="Q25" s="3">
        <f>SUM(OSRRefD14_7x)+IFERROR(SUM(OSRRefE14_7x),0)</f>
        <v>0</v>
      </c>
    </row>
    <row r="26" spans="1:17" s="39" customFormat="1" ht="15" hidden="1" customHeight="1" outlineLevel="1" x14ac:dyDescent="0.3">
      <c r="A26" s="24"/>
      <c r="B26" s="11" t="str">
        <f>CONCATENATE("          ","5044"," - ","PURCHASES @ COST-ACCESSORIES")</f>
        <v xml:space="preserve">          5044 - PURCHASES @ COST-ACCESSORIES</v>
      </c>
      <c r="C26" s="23"/>
      <c r="D26" s="3">
        <v>0</v>
      </c>
      <c r="E26" s="3">
        <v>0</v>
      </c>
      <c r="F26" s="3"/>
      <c r="G26" s="3"/>
      <c r="H26" s="3"/>
      <c r="I26" s="3"/>
      <c r="J26" s="3"/>
      <c r="K26" s="3"/>
      <c r="L26" s="3"/>
      <c r="M26" s="3"/>
      <c r="N26" s="3"/>
      <c r="O26" s="3"/>
      <c r="Q26" s="3">
        <f>SUM(OSRRefD14_8x)+IFERROR(SUM(OSRRefE14_8x),0)</f>
        <v>0</v>
      </c>
    </row>
    <row r="27" spans="1:17" s="39" customFormat="1" ht="15" hidden="1" customHeight="1" outlineLevel="1" x14ac:dyDescent="0.3">
      <c r="A27" s="24"/>
      <c r="B27" s="11" t="str">
        <f>CONCATENATE("          ","5045"," - ","PURCHASES @ COST-SPECIAL ORDER")</f>
        <v xml:space="preserve">          5045 - PURCHASES @ COST-SPECIAL ORDER</v>
      </c>
      <c r="C27" s="23"/>
      <c r="D27" s="3">
        <v>0</v>
      </c>
      <c r="E27" s="3">
        <v>0</v>
      </c>
      <c r="F27" s="3">
        <v>0</v>
      </c>
      <c r="G27" s="3"/>
      <c r="H27" s="3"/>
      <c r="I27" s="3"/>
      <c r="J27" s="3"/>
      <c r="K27" s="3"/>
      <c r="L27" s="3"/>
      <c r="M27" s="3"/>
      <c r="N27" s="3"/>
      <c r="O27" s="3"/>
      <c r="Q27" s="3">
        <f>SUM(OSRRefD14_9x)+IFERROR(SUM(OSRRefE14_9x),0)</f>
        <v>0</v>
      </c>
    </row>
    <row r="28" spans="1:17" s="39" customFormat="1" ht="15" hidden="1" customHeight="1" outlineLevel="1" x14ac:dyDescent="0.3">
      <c r="A28" s="24"/>
      <c r="B28" s="11" t="str">
        <f>CONCATENATE("          ","5200"," - ","PURCHASES OFFSET")</f>
        <v xml:space="preserve">          5200 - PURCHASES OFFSET</v>
      </c>
      <c r="C28" s="23"/>
      <c r="D28" s="3">
        <v>-81956.95</v>
      </c>
      <c r="E28" s="3">
        <v>-66711.179999999993</v>
      </c>
      <c r="F28" s="3">
        <v>-136492.88</v>
      </c>
      <c r="G28" s="3">
        <v>-451294.36</v>
      </c>
      <c r="H28" s="3">
        <v>-119795.1</v>
      </c>
      <c r="I28" s="3">
        <v>-219133.53</v>
      </c>
      <c r="J28" s="3">
        <v>-177423.53</v>
      </c>
      <c r="K28" s="3">
        <v>-215663.88</v>
      </c>
      <c r="L28" s="3">
        <v>-385967.61</v>
      </c>
      <c r="M28" s="3">
        <v>-357289.81</v>
      </c>
      <c r="N28" s="3"/>
      <c r="O28" s="3"/>
      <c r="Q28" s="3">
        <f>SUM(OSRRefD14_10x)+IFERROR(SUM(OSRRefE14_10x),0)</f>
        <v>-2211728.83</v>
      </c>
    </row>
    <row r="29" spans="1:17" s="39" customFormat="1" ht="15" hidden="1" customHeight="1" outlineLevel="1" x14ac:dyDescent="0.3">
      <c r="A29" s="24"/>
      <c r="B29" s="11" t="str">
        <f>CONCATENATE("          ","5300"," - ","COG$ OFFSET")</f>
        <v xml:space="preserve">          5300 - COG$ OFFSET</v>
      </c>
      <c r="C29" s="23"/>
      <c r="D29" s="3">
        <v>66737.36</v>
      </c>
      <c r="E29" s="3">
        <v>163570.48000000001</v>
      </c>
      <c r="F29" s="3">
        <v>134223.49</v>
      </c>
      <c r="G29" s="3">
        <v>259592.27</v>
      </c>
      <c r="H29" s="3">
        <v>110780</v>
      </c>
      <c r="I29" s="3">
        <v>185783.58</v>
      </c>
      <c r="J29" s="3">
        <v>71420.52</v>
      </c>
      <c r="K29" s="3">
        <v>228403.65</v>
      </c>
      <c r="L29" s="3">
        <v>209428.73</v>
      </c>
      <c r="M29" s="3">
        <v>310892.98</v>
      </c>
      <c r="N29" s="3"/>
      <c r="O29" s="3"/>
      <c r="Q29" s="3">
        <f>SUM(OSRRefD14_11x)+IFERROR(SUM(OSRRefE14_11x),0)</f>
        <v>1740833.0599999998</v>
      </c>
    </row>
    <row r="30" spans="1:17" s="39" customFormat="1" ht="15" hidden="1" customHeight="1" outlineLevel="1" x14ac:dyDescent="0.3">
      <c r="A30" s="24"/>
      <c r="B30" s="11" t="str">
        <f>CONCATENATE("          ","5500"," - ","FREIGHT-IN")</f>
        <v xml:space="preserve">          5500 - FREIGHT-IN</v>
      </c>
      <c r="C30" s="23"/>
      <c r="D30" s="3">
        <v>1401.32</v>
      </c>
      <c r="E30" s="3">
        <v>3009.17</v>
      </c>
      <c r="F30" s="3">
        <v>2911.73</v>
      </c>
      <c r="G30" s="3">
        <v>5371.38</v>
      </c>
      <c r="H30" s="3">
        <v>10671.75</v>
      </c>
      <c r="I30" s="3">
        <v>8484.5499999999993</v>
      </c>
      <c r="J30" s="3">
        <v>10438.36</v>
      </c>
      <c r="K30" s="3">
        <v>9817.56</v>
      </c>
      <c r="L30" s="3">
        <v>18112.82</v>
      </c>
      <c r="M30" s="3">
        <v>32532.95</v>
      </c>
      <c r="N30" s="3"/>
      <c r="O30" s="3"/>
      <c r="Q30" s="3">
        <f>SUM(OSRRefD14_12x)+IFERROR(SUM(OSRRefE14_12x),0)</f>
        <v>102751.58999999998</v>
      </c>
    </row>
    <row r="31" spans="1:17" s="39" customFormat="1" ht="15" hidden="1" customHeight="1" outlineLevel="1" x14ac:dyDescent="0.3">
      <c r="A31" s="24"/>
      <c r="B31" s="11" t="str">
        <f>CONCATENATE("          ","5527"," - ","FREIGHT-IN-SCHOOL SUPPLIES")</f>
        <v xml:space="preserve">          5527 - FREIGHT-IN-SCHOOL SUPPLIES</v>
      </c>
      <c r="C31" s="23"/>
      <c r="D31" s="3"/>
      <c r="E31" s="3">
        <v>0</v>
      </c>
      <c r="F31" s="3"/>
      <c r="G31" s="3"/>
      <c r="H31" s="3"/>
      <c r="I31" s="3"/>
      <c r="J31" s="3"/>
      <c r="K31" s="3"/>
      <c r="L31" s="3"/>
      <c r="M31" s="3"/>
      <c r="N31" s="3"/>
      <c r="O31" s="3"/>
      <c r="Q31" s="3">
        <f>SUM(OSRRefD14_13x)+IFERROR(SUM(OSRRefE14_13x),0)</f>
        <v>0</v>
      </c>
    </row>
    <row r="32" spans="1:17" s="39" customFormat="1" ht="15" hidden="1" customHeight="1" outlineLevel="1" x14ac:dyDescent="0.3">
      <c r="A32" s="24"/>
      <c r="B32" s="11" t="str">
        <f>CONCATENATE("          ","5540"," - ","FREIGHT-IN-LOGO CLOTHING")</f>
        <v xml:space="preserve">          5540 - FREIGHT-IN-LOGO CLOTHING</v>
      </c>
      <c r="C32" s="23"/>
      <c r="D32" s="3">
        <v>0</v>
      </c>
      <c r="E32" s="3">
        <v>0</v>
      </c>
      <c r="F32" s="3"/>
      <c r="G32" s="3"/>
      <c r="H32" s="3"/>
      <c r="I32" s="3"/>
      <c r="J32" s="3"/>
      <c r="K32" s="3"/>
      <c r="L32" s="3"/>
      <c r="M32" s="3"/>
      <c r="N32" s="3"/>
      <c r="O32" s="3"/>
      <c r="Q32" s="3">
        <f>SUM(OSRRefD14_14x)+IFERROR(SUM(OSRRefE14_14x),0)</f>
        <v>0</v>
      </c>
    </row>
    <row r="33" spans="1:17" s="39" customFormat="1" ht="15" hidden="1" customHeight="1" outlineLevel="1" x14ac:dyDescent="0.3">
      <c r="A33" s="24"/>
      <c r="B33" s="11" t="str">
        <f>CONCATENATE("          ","5541"," - ","FREIGHT-IN-LOGO GIFTS")</f>
        <v xml:space="preserve">          5541 - FREIGHT-IN-LOGO GIFTS</v>
      </c>
      <c r="C33" s="23"/>
      <c r="D33" s="3">
        <v>0</v>
      </c>
      <c r="E33" s="3">
        <v>0</v>
      </c>
      <c r="F33" s="3">
        <v>0</v>
      </c>
      <c r="G33" s="3"/>
      <c r="H33" s="3"/>
      <c r="I33" s="3"/>
      <c r="J33" s="3"/>
      <c r="K33" s="3"/>
      <c r="L33" s="3"/>
      <c r="M33" s="3"/>
      <c r="N33" s="3"/>
      <c r="O33" s="3"/>
      <c r="Q33" s="3">
        <f>SUM(OSRRefD14_15x)+IFERROR(SUM(OSRRefE14_15x),0)</f>
        <v>0</v>
      </c>
    </row>
    <row r="34" spans="1:17" s="39" customFormat="1" ht="15" hidden="1" customHeight="1" outlineLevel="1" x14ac:dyDescent="0.3">
      <c r="A34" s="24"/>
      <c r="B34" s="11" t="str">
        <f>CONCATENATE("          ","5542"," - ","FREIGHT-IN-EVERYDAY GIFTS")</f>
        <v xml:space="preserve">          5542 - FREIGHT-IN-EVERYDAY GIFTS</v>
      </c>
      <c r="C34" s="23"/>
      <c r="D34" s="3">
        <v>0</v>
      </c>
      <c r="E34" s="3">
        <v>0</v>
      </c>
      <c r="F34" s="3"/>
      <c r="G34" s="3"/>
      <c r="H34" s="3"/>
      <c r="I34" s="3"/>
      <c r="J34" s="3"/>
      <c r="K34" s="3"/>
      <c r="L34" s="3"/>
      <c r="M34" s="3"/>
      <c r="N34" s="3"/>
      <c r="O34" s="3"/>
      <c r="Q34" s="3">
        <f>SUM(OSRRefD14_16x)+IFERROR(SUM(OSRRefE14_16x),0)</f>
        <v>0</v>
      </c>
    </row>
    <row r="35" spans="1:17" s="39" customFormat="1" ht="15" hidden="1" customHeight="1" outlineLevel="1" x14ac:dyDescent="0.3">
      <c r="A35" s="24"/>
      <c r="B35" s="11" t="str">
        <f>CONCATENATE("          ","5544"," - ","FREIGHT-IN-ACCESSORIES")</f>
        <v xml:space="preserve">          5544 - FREIGHT-IN-ACCESSORIES</v>
      </c>
      <c r="C35" s="23"/>
      <c r="D35" s="3">
        <v>0</v>
      </c>
      <c r="E35" s="3">
        <v>0</v>
      </c>
      <c r="F35" s="3"/>
      <c r="G35" s="3"/>
      <c r="H35" s="3"/>
      <c r="I35" s="3"/>
      <c r="J35" s="3"/>
      <c r="K35" s="3"/>
      <c r="L35" s="3"/>
      <c r="M35" s="3"/>
      <c r="N35" s="3"/>
      <c r="O35" s="3"/>
      <c r="Q35" s="3">
        <f>SUM(OSRRefD14_17x)+IFERROR(SUM(OSRRefE14_17x),0)</f>
        <v>0</v>
      </c>
    </row>
    <row r="36" spans="1:17" s="39" customFormat="1" ht="15" hidden="1" customHeight="1" outlineLevel="1" x14ac:dyDescent="0.3">
      <c r="A36" s="24"/>
      <c r="B36" s="11" t="str">
        <f>CONCATENATE("          ","5545"," - ","FREIGHT-IN-SPECIAL ORDERS")</f>
        <v xml:space="preserve">          5545 - FREIGHT-IN-SPECIAL ORDERS</v>
      </c>
      <c r="C36" s="23"/>
      <c r="D36" s="3">
        <v>0</v>
      </c>
      <c r="E36" s="3">
        <v>0</v>
      </c>
      <c r="F36" s="3"/>
      <c r="G36" s="3"/>
      <c r="H36" s="3"/>
      <c r="I36" s="3"/>
      <c r="J36" s="3"/>
      <c r="K36" s="3"/>
      <c r="L36" s="3"/>
      <c r="M36" s="3"/>
      <c r="N36" s="3"/>
      <c r="O36" s="3"/>
      <c r="Q36" s="3">
        <f>SUM(OSRRefD14_18x)+IFERROR(SUM(OSRRefE14_18x),0)</f>
        <v>0</v>
      </c>
    </row>
    <row r="37" spans="1:17" ht="15" customHeight="1" x14ac:dyDescent="0.3">
      <c r="A37" s="6"/>
      <c r="B37" s="7"/>
      <c r="C37" s="7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Q37" s="4"/>
    </row>
    <row r="38" spans="1:17" s="37" customFormat="1" ht="15" customHeight="1" x14ac:dyDescent="0.3">
      <c r="A38" s="7"/>
      <c r="B38" s="18" t="s">
        <v>285</v>
      </c>
      <c r="C38" s="18"/>
      <c r="D38" s="9">
        <f t="shared" ref="D38:O38" si="0">IFERROR(+D10-D17,0)</f>
        <v>57303.369999999981</v>
      </c>
      <c r="E38" s="9">
        <f t="shared" si="0"/>
        <v>232059.72999999998</v>
      </c>
      <c r="F38" s="9">
        <f t="shared" si="0"/>
        <v>151046.33000000002</v>
      </c>
      <c r="G38" s="9">
        <f t="shared" si="0"/>
        <v>190084.43000000002</v>
      </c>
      <c r="H38" s="9">
        <f t="shared" si="0"/>
        <v>125123.39000000001</v>
      </c>
      <c r="I38" s="9">
        <f t="shared" si="0"/>
        <v>187614.48000000007</v>
      </c>
      <c r="J38" s="9">
        <f t="shared" si="0"/>
        <v>77903.969999999972</v>
      </c>
      <c r="K38" s="9">
        <f t="shared" si="0"/>
        <v>276951.71000000008</v>
      </c>
      <c r="L38" s="9">
        <f t="shared" si="0"/>
        <v>270233.53999999992</v>
      </c>
      <c r="M38" s="9">
        <f t="shared" si="0"/>
        <v>395170.13000000012</v>
      </c>
      <c r="N38" s="9">
        <f t="shared" si="0"/>
        <v>98267</v>
      </c>
      <c r="O38" s="9">
        <f t="shared" si="0"/>
        <v>86806</v>
      </c>
      <c r="Q38" s="9">
        <f>IFERROR(+Q10-Q17,0)</f>
        <v>2148564.0800000005</v>
      </c>
    </row>
    <row r="39" spans="1:17" s="38" customFormat="1" ht="15" customHeight="1" x14ac:dyDescent="0.3">
      <c r="B39" s="17"/>
      <c r="C39" s="17"/>
      <c r="D39" s="5">
        <f t="shared" ref="D39:O39" si="1">IFERROR(D38/D10,0)</f>
        <v>0.46197220864469263</v>
      </c>
      <c r="E39" s="5">
        <f t="shared" si="1"/>
        <v>0.58655715396455688</v>
      </c>
      <c r="F39" s="5">
        <f t="shared" si="1"/>
        <v>0.52948583905581048</v>
      </c>
      <c r="G39" s="5">
        <f t="shared" si="1"/>
        <v>0.42271354063930822</v>
      </c>
      <c r="H39" s="5">
        <f t="shared" si="1"/>
        <v>0.530400983216053</v>
      </c>
      <c r="I39" s="5">
        <f t="shared" si="1"/>
        <v>0.50245167315545247</v>
      </c>
      <c r="J39" s="5">
        <f t="shared" si="1"/>
        <v>0.52170926550628083</v>
      </c>
      <c r="K39" s="5">
        <f t="shared" si="1"/>
        <v>0.54803358571283389</v>
      </c>
      <c r="L39" s="5">
        <f t="shared" si="1"/>
        <v>0.56692873971334035</v>
      </c>
      <c r="M39" s="5">
        <f t="shared" si="1"/>
        <v>0.55968103191228902</v>
      </c>
      <c r="N39" s="5">
        <f t="shared" si="1"/>
        <v>0.48747178609519559</v>
      </c>
      <c r="O39" s="5">
        <f t="shared" si="1"/>
        <v>0.44572126888279573</v>
      </c>
      <c r="P39" s="19"/>
      <c r="Q39" s="5">
        <f>IFERROR(Q38/Q10,0)</f>
        <v>0.52433887476655783</v>
      </c>
    </row>
    <row r="40" spans="1:17" ht="15" customHeight="1" x14ac:dyDescent="0.3">
      <c r="A40" s="6"/>
      <c r="B40" s="7"/>
      <c r="C40" s="6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Q40" s="2"/>
    </row>
    <row r="41" spans="1:17" s="37" customFormat="1" ht="15" customHeight="1" x14ac:dyDescent="0.3">
      <c r="A41" s="7"/>
      <c r="B41" s="17" t="s">
        <v>286</v>
      </c>
      <c r="C41" s="7"/>
      <c r="D41" s="12" cm="1">
        <f t="array" ref="D41">SUM(OSRRefD20x_0)</f>
        <v>79291.010000000009</v>
      </c>
      <c r="E41" s="12" cm="1">
        <f t="array" ref="E41">SUM(OSRRefD20x_1)</f>
        <v>82435.01999999999</v>
      </c>
      <c r="F41" s="12" cm="1">
        <f t="array" ref="F41">SUM(OSRRefD20x_2)</f>
        <v>70582.309999999983</v>
      </c>
      <c r="G41" s="12" cm="1">
        <f t="array" ref="G41">SUM(OSRRefD20x_3)</f>
        <v>87608.65</v>
      </c>
      <c r="H41" s="12" cm="1">
        <f t="array" ref="H41">SUM(OSRRefD20x_4)</f>
        <v>62596.710000000006</v>
      </c>
      <c r="I41" s="12" cm="1">
        <f t="array" ref="I41">SUM(OSRRefD20x_5)</f>
        <v>69462.920000000013</v>
      </c>
      <c r="J41" s="12" cm="1">
        <f t="array" ref="J41">SUM(OSRRefD20x_6)</f>
        <v>109887.09000000001</v>
      </c>
      <c r="K41" s="12" cm="1">
        <f t="array" ref="K41">SUM(OSRRefD20x_7)</f>
        <v>93983.140000000014</v>
      </c>
      <c r="L41" s="12" cm="1">
        <f t="array" ref="L41">SUM(OSRRefD20x_8)</f>
        <v>85895.55</v>
      </c>
      <c r="M41" s="12" cm="1">
        <f t="array" ref="M41">SUM(OSRRefD20x_9)</f>
        <v>121453.51000000002</v>
      </c>
      <c r="N41" s="12" cm="1">
        <f t="array" ref="N41">SUM(OSRRefE20x_0)</f>
        <v>80344.075597923074</v>
      </c>
      <c r="O41" s="12" cm="1">
        <f t="array" ref="O41">SUM(OSRRefE20x_1)</f>
        <v>79249.991637923085</v>
      </c>
      <c r="Q41" s="12" cm="1">
        <f t="array" ref="Q41">SUM(OSRRefG20x)</f>
        <v>1022789.9772358463</v>
      </c>
    </row>
    <row r="42" spans="1:17" s="42" customFormat="1" ht="15" customHeight="1" collapsed="1" x14ac:dyDescent="0.3">
      <c r="A42" s="34"/>
      <c r="B42" s="15" t="str">
        <f>CONCATENATE("     ","*Benefits                                         ")</f>
        <v xml:space="preserve">     *Benefits                                         </v>
      </c>
      <c r="C42" s="15"/>
      <c r="D42" s="2">
        <f>SUM(OSRRefD21_0x_0)</f>
        <v>12377.75</v>
      </c>
      <c r="E42" s="2">
        <f>SUM(OSRRefD21_0x_1)</f>
        <v>13757.34</v>
      </c>
      <c r="F42" s="2">
        <f>SUM(OSRRefD21_0x_2)</f>
        <v>12262.359999999999</v>
      </c>
      <c r="G42" s="2">
        <f>SUM(OSRRefD21_0x_3)</f>
        <v>15766.84</v>
      </c>
      <c r="H42" s="2">
        <f>SUM(OSRRefD21_0x_4)</f>
        <v>12180.270000000002</v>
      </c>
      <c r="I42" s="2">
        <f>SUM(OSRRefD21_0x_5)</f>
        <v>12134.150000000001</v>
      </c>
      <c r="J42" s="2">
        <f>SUM(OSRRefD21_0x_6)</f>
        <v>17597.28</v>
      </c>
      <c r="K42" s="2">
        <f>SUM(OSRRefD21_0x_7)</f>
        <v>13524.150000000001</v>
      </c>
      <c r="L42" s="2">
        <f>SUM(OSRRefD21_0x_8)</f>
        <v>11028.36</v>
      </c>
      <c r="M42" s="2">
        <f>SUM(OSRRefD21_0x_9)</f>
        <v>12636.570000000002</v>
      </c>
      <c r="N42" s="2">
        <f>SUM(OSRRefE21_0x_0)</f>
        <v>17751.285597923081</v>
      </c>
      <c r="O42" s="2">
        <f>SUM(OSRRefE21_0x_1)</f>
        <v>15491.201637923081</v>
      </c>
      <c r="Q42" s="3">
        <f>SUM(OSRRefD20_0x)+IFERROR(SUM(OSRRefE20_0x),0)</f>
        <v>166507.55723584612</v>
      </c>
    </row>
    <row r="43" spans="1:17" s="42" customFormat="1" ht="15" hidden="1" customHeight="1" outlineLevel="1" x14ac:dyDescent="0.3">
      <c r="A43" s="34"/>
      <c r="B43" s="11" t="str">
        <f>CONCATENATE("          ","6111"," - ","F.I.C.A.")</f>
        <v xml:space="preserve">          6111 - F.I.C.A.</v>
      </c>
      <c r="C43" s="15"/>
      <c r="D43" s="3">
        <v>2854.43</v>
      </c>
      <c r="E43" s="3">
        <v>3791.4</v>
      </c>
      <c r="F43" s="3">
        <v>2183.9299999999998</v>
      </c>
      <c r="G43" s="3">
        <v>2869.48</v>
      </c>
      <c r="H43" s="3">
        <v>1994.06</v>
      </c>
      <c r="I43" s="3">
        <v>1919.5</v>
      </c>
      <c r="J43" s="3">
        <v>2103.94</v>
      </c>
      <c r="K43" s="3">
        <v>2080.38</v>
      </c>
      <c r="L43" s="3">
        <v>1865.14</v>
      </c>
      <c r="M43" s="3">
        <v>2755.2</v>
      </c>
      <c r="N43" s="3">
        <v>4436.6507309999997</v>
      </c>
      <c r="O43" s="3">
        <v>2176.5667709999998</v>
      </c>
      <c r="P43" s="10"/>
      <c r="Q43" s="3">
        <f>SUM(OSRRefD21_0_0x)+IFERROR(SUM(OSRRefE21_0_0x),0)</f>
        <v>31030.677501999999</v>
      </c>
    </row>
    <row r="44" spans="1:17" s="42" customFormat="1" ht="15" hidden="1" customHeight="1" outlineLevel="1" x14ac:dyDescent="0.3">
      <c r="A44" s="34"/>
      <c r="B44" s="11" t="str">
        <f>CONCATENATE("          ","6112"," - ","COMPENSATION INSURANCE")</f>
        <v xml:space="preserve">          6112 - COMPENSATION INSURANCE</v>
      </c>
      <c r="C44" s="15"/>
      <c r="D44" s="3">
        <v>697.24</v>
      </c>
      <c r="E44" s="3">
        <v>881.59</v>
      </c>
      <c r="F44" s="3">
        <v>806.1</v>
      </c>
      <c r="G44" s="3">
        <v>1193.6300000000001</v>
      </c>
      <c r="H44" s="3">
        <v>797.22</v>
      </c>
      <c r="I44" s="3">
        <v>791.11</v>
      </c>
      <c r="J44" s="3">
        <v>801.85</v>
      </c>
      <c r="K44" s="3">
        <v>1079.67</v>
      </c>
      <c r="L44" s="3">
        <v>984.31</v>
      </c>
      <c r="M44" s="3">
        <v>915.44</v>
      </c>
      <c r="N44" s="3">
        <v>904.37411999999995</v>
      </c>
      <c r="O44" s="3">
        <v>904.37411999999995</v>
      </c>
      <c r="P44" s="10"/>
      <c r="Q44" s="3">
        <f>SUM(OSRRefD21_0_1x)+IFERROR(SUM(OSRRefE21_0_1x),0)</f>
        <v>10756.908240000001</v>
      </c>
    </row>
    <row r="45" spans="1:17" s="42" customFormat="1" ht="15" hidden="1" customHeight="1" outlineLevel="1" x14ac:dyDescent="0.3">
      <c r="A45" s="34"/>
      <c r="B45" s="11" t="str">
        <f>CONCATENATE("          ","6113"," - ","GROUP INSURANCE")</f>
        <v xml:space="preserve">          6113 - GROUP INSURANCE</v>
      </c>
      <c r="C45" s="15"/>
      <c r="D45" s="3">
        <v>4284.43</v>
      </c>
      <c r="E45" s="3">
        <v>4284.43</v>
      </c>
      <c r="F45" s="3">
        <v>4306.93</v>
      </c>
      <c r="G45" s="3">
        <v>4284.43</v>
      </c>
      <c r="H45" s="3">
        <v>4284.43</v>
      </c>
      <c r="I45" s="3">
        <v>4284.43</v>
      </c>
      <c r="J45" s="3">
        <v>3945.42</v>
      </c>
      <c r="K45" s="3">
        <v>4501.42</v>
      </c>
      <c r="L45" s="3">
        <v>3347.46</v>
      </c>
      <c r="M45" s="3">
        <v>3347.46</v>
      </c>
      <c r="N45" s="3">
        <v>6784.4230769230799</v>
      </c>
      <c r="O45" s="3">
        <v>6784.4230769230799</v>
      </c>
      <c r="P45" s="10"/>
      <c r="Q45" s="3">
        <f>SUM(OSRRefD21_0_2x)+IFERROR(SUM(OSRRefE21_0_2x),0)</f>
        <v>54439.686153846153</v>
      </c>
    </row>
    <row r="46" spans="1:17" s="42" customFormat="1" ht="15" hidden="1" customHeight="1" outlineLevel="1" x14ac:dyDescent="0.3">
      <c r="A46" s="34"/>
      <c r="B46" s="11" t="str">
        <f>CONCATENATE("          ","6114"," - ","STATE UNEMPLOYMENT INSURANCE")</f>
        <v xml:space="preserve">          6114 - STATE UNEMPLOYMENT INSURANCE</v>
      </c>
      <c r="C46" s="15"/>
      <c r="D46" s="3">
        <v>122.49</v>
      </c>
      <c r="E46" s="3">
        <v>154.87</v>
      </c>
      <c r="F46" s="3">
        <v>141.61000000000001</v>
      </c>
      <c r="G46" s="3">
        <v>209.69</v>
      </c>
      <c r="H46" s="3">
        <v>140.05000000000001</v>
      </c>
      <c r="I46" s="3">
        <v>138.97999999999999</v>
      </c>
      <c r="J46" s="3">
        <v>140.97</v>
      </c>
      <c r="K46" s="3">
        <v>190.52</v>
      </c>
      <c r="L46" s="3">
        <v>173.13</v>
      </c>
      <c r="M46" s="3">
        <v>160.82</v>
      </c>
      <c r="N46" s="3">
        <v>121.74267</v>
      </c>
      <c r="O46" s="3">
        <v>121.74267</v>
      </c>
      <c r="P46" s="10"/>
      <c r="Q46" s="3">
        <f>SUM(OSRRefD21_0_3x)+IFERROR(SUM(OSRRefE21_0_3x),0)</f>
        <v>1816.6153399999998</v>
      </c>
    </row>
    <row r="47" spans="1:17" s="42" customFormat="1" ht="15" hidden="1" customHeight="1" outlineLevel="1" x14ac:dyDescent="0.3">
      <c r="A47" s="34"/>
      <c r="B47" s="11" t="str">
        <f>CONCATENATE("          ","6115"," - ","P.E.R.S.")</f>
        <v xml:space="preserve">          6115 - P.E.R.S.</v>
      </c>
      <c r="C47" s="15"/>
      <c r="D47" s="3">
        <v>1490.59</v>
      </c>
      <c r="E47" s="3">
        <v>1490.59</v>
      </c>
      <c r="F47" s="3">
        <v>1490.59</v>
      </c>
      <c r="G47" s="3">
        <v>2235.89</v>
      </c>
      <c r="H47" s="3">
        <v>1550.21</v>
      </c>
      <c r="I47" s="3">
        <v>1550.21</v>
      </c>
      <c r="J47" s="3">
        <v>1550.21</v>
      </c>
      <c r="K47" s="3">
        <v>1307.8399999999999</v>
      </c>
      <c r="L47" s="3">
        <v>1050.5</v>
      </c>
      <c r="M47" s="3">
        <v>1440.09</v>
      </c>
      <c r="N47" s="3">
        <v>1207.2249999999999</v>
      </c>
      <c r="O47" s="3">
        <v>1207.2249999999999</v>
      </c>
      <c r="P47" s="10"/>
      <c r="Q47" s="3">
        <f>SUM(OSRRefD21_0_4x)+IFERROR(SUM(OSRRefE21_0_4x),0)</f>
        <v>17571.169999999998</v>
      </c>
    </row>
    <row r="48" spans="1:17" s="42" customFormat="1" ht="15" hidden="1" customHeight="1" outlineLevel="1" x14ac:dyDescent="0.3">
      <c r="A48" s="34"/>
      <c r="B48" s="11" t="str">
        <f>CONCATENATE("          ","6116"," - ","EDUCATIONAL BENEFITS")</f>
        <v xml:space="preserve">          6116 - EDUCATIONAL BENEFITS</v>
      </c>
      <c r="C48" s="15"/>
      <c r="D48" s="3"/>
      <c r="E48" s="3"/>
      <c r="F48" s="3"/>
      <c r="G48" s="3"/>
      <c r="H48" s="3"/>
      <c r="I48" s="3"/>
      <c r="J48" s="3"/>
      <c r="K48" s="3"/>
      <c r="L48" s="3"/>
      <c r="M48" s="3"/>
      <c r="N48" s="3">
        <v>0</v>
      </c>
      <c r="O48" s="3">
        <v>0</v>
      </c>
      <c r="P48" s="10"/>
      <c r="Q48" s="3">
        <f>SUM(OSRRefD21_0_5x)+IFERROR(SUM(OSRRefE21_0_5x),0)</f>
        <v>0</v>
      </c>
    </row>
    <row r="49" spans="1:17" s="42" customFormat="1" ht="15" hidden="1" customHeight="1" outlineLevel="1" x14ac:dyDescent="0.3">
      <c r="A49" s="34"/>
      <c r="B49" s="11" t="str">
        <f>CONCATENATE("          ","6118"," - ","VACATION")</f>
        <v xml:space="preserve">          6118 - VACATION</v>
      </c>
      <c r="C49" s="15"/>
      <c r="D49" s="3">
        <v>1573.42</v>
      </c>
      <c r="E49" s="3">
        <v>1573.42</v>
      </c>
      <c r="F49" s="3">
        <v>1599.65</v>
      </c>
      <c r="G49" s="3">
        <v>2438.8200000000002</v>
      </c>
      <c r="H49" s="3">
        <v>1690.93</v>
      </c>
      <c r="I49" s="3">
        <v>1690.93</v>
      </c>
      <c r="J49" s="3">
        <v>3218.84</v>
      </c>
      <c r="K49" s="3">
        <v>1833.1</v>
      </c>
      <c r="L49" s="3">
        <v>1560.78</v>
      </c>
      <c r="M49" s="3">
        <v>1724.27</v>
      </c>
      <c r="N49" s="3">
        <v>1113.875</v>
      </c>
      <c r="O49" s="3">
        <v>1113.875</v>
      </c>
      <c r="P49" s="10"/>
      <c r="Q49" s="3">
        <f>SUM(OSRRefD21_0_6x)+IFERROR(SUM(OSRRefE21_0_6x),0)</f>
        <v>21131.91</v>
      </c>
    </row>
    <row r="50" spans="1:17" s="42" customFormat="1" ht="15" hidden="1" customHeight="1" outlineLevel="1" x14ac:dyDescent="0.3">
      <c r="A50" s="34"/>
      <c r="B50" s="11" t="str">
        <f>CONCATENATE("          ","6119"," - ","SICK LEAVE")</f>
        <v xml:space="preserve">          6119 - SICK LEAVE</v>
      </c>
      <c r="C50" s="15"/>
      <c r="D50" s="3">
        <v>1066.4000000000001</v>
      </c>
      <c r="E50" s="3">
        <v>1066.4000000000001</v>
      </c>
      <c r="F50" s="3">
        <v>1066.4000000000001</v>
      </c>
      <c r="G50" s="3">
        <v>1599.6</v>
      </c>
      <c r="H50" s="3">
        <v>1109.04</v>
      </c>
      <c r="I50" s="3">
        <v>1109.04</v>
      </c>
      <c r="J50" s="3">
        <v>5169.1899999999996</v>
      </c>
      <c r="K50" s="3">
        <v>1721.44</v>
      </c>
      <c r="L50" s="3">
        <v>1176.8399999999999</v>
      </c>
      <c r="M50" s="3">
        <v>1627.12</v>
      </c>
      <c r="N50" s="3">
        <v>2307.9949999999999</v>
      </c>
      <c r="O50" s="3">
        <v>2307.9949999999999</v>
      </c>
      <c r="P50" s="10"/>
      <c r="Q50" s="3">
        <f>SUM(OSRRefD21_0_7x)+IFERROR(SUM(OSRRefE21_0_7x),0)</f>
        <v>21327.46</v>
      </c>
    </row>
    <row r="51" spans="1:17" s="42" customFormat="1" ht="15" hidden="1" customHeight="1" outlineLevel="1" x14ac:dyDescent="0.3">
      <c r="A51" s="34"/>
      <c r="B51" s="11" t="str">
        <f>CONCATENATE("          ","6156"," - ","EMPLOYEE MEALS")</f>
        <v xml:space="preserve">          6156 - EMPLOYEE MEALS</v>
      </c>
      <c r="C51" s="15"/>
      <c r="D51" s="3">
        <v>288.75</v>
      </c>
      <c r="E51" s="3">
        <v>514.64</v>
      </c>
      <c r="F51" s="3">
        <v>667.15</v>
      </c>
      <c r="G51" s="3">
        <v>935.3</v>
      </c>
      <c r="H51" s="3">
        <v>614.33000000000004</v>
      </c>
      <c r="I51" s="3">
        <v>649.95000000000005</v>
      </c>
      <c r="J51" s="3">
        <v>666.86</v>
      </c>
      <c r="K51" s="3">
        <v>809.78</v>
      </c>
      <c r="L51" s="3">
        <v>870.2</v>
      </c>
      <c r="M51" s="3">
        <v>666.17</v>
      </c>
      <c r="N51" s="3">
        <v>875</v>
      </c>
      <c r="O51" s="3">
        <v>875</v>
      </c>
      <c r="P51" s="10"/>
      <c r="Q51" s="3">
        <f>SUM(OSRRefD21_0_8x)+IFERROR(SUM(OSRRefE21_0_8x),0)</f>
        <v>8433.1299999999992</v>
      </c>
    </row>
    <row r="52" spans="1:17" s="42" customFormat="1" ht="15" customHeight="1" collapsed="1" x14ac:dyDescent="0.3">
      <c r="A52" s="34"/>
      <c r="B52" s="15" t="str">
        <f>CONCATENATE("     ","*Payroll                                          ")</f>
        <v xml:space="preserve">     *Payroll                                          </v>
      </c>
      <c r="C52" s="15"/>
      <c r="D52" s="2">
        <f>SUM(OSRRefD21_1x_0)</f>
        <v>52676.639999999999</v>
      </c>
      <c r="E52" s="2">
        <f>SUM(OSRRefD21_1x_1)</f>
        <v>61015.09</v>
      </c>
      <c r="F52" s="2">
        <f>SUM(OSRRefD21_1x_2)</f>
        <v>54230.46</v>
      </c>
      <c r="G52" s="2">
        <f>SUM(OSRRefD21_1x_3)</f>
        <v>57243.619999999995</v>
      </c>
      <c r="H52" s="2">
        <f>SUM(OSRRefD21_1x_4)</f>
        <v>46301.320000000007</v>
      </c>
      <c r="I52" s="2">
        <f>SUM(OSRRefD21_1x_5)</f>
        <v>51382.759999999995</v>
      </c>
      <c r="J52" s="2">
        <f>SUM(OSRRefD21_1x_6)</f>
        <v>64689.180000000008</v>
      </c>
      <c r="K52" s="2">
        <f>SUM(OSRRefD21_1x_7)</f>
        <v>71068.83</v>
      </c>
      <c r="L52" s="2">
        <f>SUM(OSRRefD21_1x_8)</f>
        <v>67625.81</v>
      </c>
      <c r="M52" s="2">
        <f>SUM(OSRRefD21_1x_9)</f>
        <v>74184.790000000008</v>
      </c>
      <c r="N52" s="2">
        <f>SUM(OSRRefE21_1x_0)</f>
        <v>55436.79</v>
      </c>
      <c r="O52" s="2">
        <f>SUM(OSRRefE21_1x_1)</f>
        <v>55436.79</v>
      </c>
      <c r="Q52" s="3">
        <f>SUM(OSRRefD20_1x)+IFERROR(SUM(OSRRefE20_1x),0)</f>
        <v>711292.08</v>
      </c>
    </row>
    <row r="53" spans="1:17" s="42" customFormat="1" ht="15" hidden="1" customHeight="1" outlineLevel="1" x14ac:dyDescent="0.3">
      <c r="A53" s="34"/>
      <c r="B53" s="11" t="str">
        <f>CONCATENATE("          ","6001"," - ","ADMINISTRATIVE SALARIES")</f>
        <v xml:space="preserve">          6001 - ADMINISTRATIVE SALARIES</v>
      </c>
      <c r="C53" s="15"/>
      <c r="D53" s="3"/>
      <c r="E53" s="3"/>
      <c r="F53" s="3"/>
      <c r="G53" s="3"/>
      <c r="H53" s="3"/>
      <c r="I53" s="3"/>
      <c r="J53" s="3"/>
      <c r="K53" s="3"/>
      <c r="L53" s="3"/>
      <c r="M53" s="3"/>
      <c r="N53" s="3">
        <v>0</v>
      </c>
      <c r="O53" s="3">
        <v>0</v>
      </c>
      <c r="P53" s="10"/>
      <c r="Q53" s="3">
        <f>SUM(OSRRefD21_1_0x)+IFERROR(SUM(OSRRefE21_1_0x),0)</f>
        <v>0</v>
      </c>
    </row>
    <row r="54" spans="1:17" s="42" customFormat="1" ht="15" hidden="1" customHeight="1" outlineLevel="1" x14ac:dyDescent="0.3">
      <c r="A54" s="34"/>
      <c r="B54" s="11" t="str">
        <f>CONCATENATE("          ","6002"," - ","STAFF SALARIES")</f>
        <v xml:space="preserve">          6002 - STAFF SALARIES</v>
      </c>
      <c r="C54" s="15"/>
      <c r="D54" s="3">
        <v>15720.22</v>
      </c>
      <c r="E54" s="3">
        <v>15956.48</v>
      </c>
      <c r="F54" s="3">
        <v>16378.33</v>
      </c>
      <c r="G54" s="3">
        <v>14934.13</v>
      </c>
      <c r="H54" s="3">
        <v>14156.72</v>
      </c>
      <c r="I54" s="3">
        <v>15353.2</v>
      </c>
      <c r="J54" s="3">
        <v>17550.939999999999</v>
      </c>
      <c r="K54" s="3">
        <v>12404.36</v>
      </c>
      <c r="L54" s="3">
        <v>10282.32</v>
      </c>
      <c r="M54" s="3">
        <v>12000.17</v>
      </c>
      <c r="N54" s="3">
        <v>12633.75</v>
      </c>
      <c r="O54" s="3">
        <v>12633.75</v>
      </c>
      <c r="P54" s="10"/>
      <c r="Q54" s="3">
        <f>SUM(OSRRefD21_1_1x)+IFERROR(SUM(OSRRefE21_1_1x),0)</f>
        <v>170004.37</v>
      </c>
    </row>
    <row r="55" spans="1:17" s="42" customFormat="1" ht="15" hidden="1" customHeight="1" outlineLevel="1" x14ac:dyDescent="0.3">
      <c r="A55" s="34"/>
      <c r="B55" s="11" t="str">
        <f>CONCATENATE("          ","6003"," - ","STAFF HOURLY-9 MONTH")</f>
        <v xml:space="preserve">          6003 - STAFF HOURLY-9 MONTH</v>
      </c>
      <c r="C55" s="15"/>
      <c r="D55" s="3"/>
      <c r="E55" s="3"/>
      <c r="F55" s="3"/>
      <c r="G55" s="3"/>
      <c r="H55" s="3"/>
      <c r="I55" s="3"/>
      <c r="J55" s="3"/>
      <c r="K55" s="3"/>
      <c r="L55" s="3"/>
      <c r="M55" s="3"/>
      <c r="N55" s="3">
        <v>0</v>
      </c>
      <c r="O55" s="3">
        <v>0</v>
      </c>
      <c r="P55" s="10"/>
      <c r="Q55" s="3">
        <f>SUM(OSRRefD21_1_2x)+IFERROR(SUM(OSRRefE21_1_2x),0)</f>
        <v>0</v>
      </c>
    </row>
    <row r="56" spans="1:17" s="42" customFormat="1" ht="15" hidden="1" customHeight="1" outlineLevel="1" x14ac:dyDescent="0.3">
      <c r="A56" s="34"/>
      <c r="B56" s="11" t="str">
        <f>CONCATENATE("          ","6004"," - ","STAFF HOURLY")</f>
        <v xml:space="preserve">          6004 - STAFF HOURLY</v>
      </c>
      <c r="C56" s="15"/>
      <c r="D56" s="3">
        <v>8114.48</v>
      </c>
      <c r="E56" s="3">
        <v>8099.25</v>
      </c>
      <c r="F56" s="3">
        <v>8783.39</v>
      </c>
      <c r="G56" s="3">
        <v>10729.89</v>
      </c>
      <c r="H56" s="3">
        <v>6570.37</v>
      </c>
      <c r="I56" s="3">
        <v>6934.8</v>
      </c>
      <c r="J56" s="3">
        <v>6306.96</v>
      </c>
      <c r="K56" s="3">
        <v>13957.01</v>
      </c>
      <c r="L56" s="3">
        <v>9796.66</v>
      </c>
      <c r="M56" s="3">
        <v>19083.689999999999</v>
      </c>
      <c r="N56" s="3">
        <v>13271.04</v>
      </c>
      <c r="O56" s="3">
        <v>13271.04</v>
      </c>
      <c r="P56" s="10"/>
      <c r="Q56" s="3">
        <f>SUM(OSRRefD21_1_3x)+IFERROR(SUM(OSRRefE21_1_3x),0)</f>
        <v>124918.58</v>
      </c>
    </row>
    <row r="57" spans="1:17" s="42" customFormat="1" ht="15" hidden="1" customHeight="1" outlineLevel="1" x14ac:dyDescent="0.3">
      <c r="A57" s="34"/>
      <c r="B57" s="11" t="str">
        <f>CONCATENATE("          ","6005"," - ","TEMPORARY WAGES-HOURLY")</f>
        <v xml:space="preserve">          6005 - TEMPORARY WAGES-HOURLY</v>
      </c>
      <c r="C57" s="15"/>
      <c r="D57" s="3">
        <v>2014.56</v>
      </c>
      <c r="E57" s="3">
        <v>2931.82</v>
      </c>
      <c r="F57" s="3">
        <v>2868.78</v>
      </c>
      <c r="G57" s="3">
        <v>3627.62</v>
      </c>
      <c r="H57" s="3">
        <v>2971.48</v>
      </c>
      <c r="I57" s="3">
        <v>2228.7399999999998</v>
      </c>
      <c r="J57" s="3">
        <v>2905.25</v>
      </c>
      <c r="K57" s="3">
        <v>2315.6</v>
      </c>
      <c r="L57" s="3">
        <v>567.05999999999995</v>
      </c>
      <c r="M57" s="3"/>
      <c r="N57" s="3">
        <v>0</v>
      </c>
      <c r="O57" s="3">
        <v>0</v>
      </c>
      <c r="P57" s="10"/>
      <c r="Q57" s="3">
        <f>SUM(OSRRefD21_1_4x)+IFERROR(SUM(OSRRefE21_1_4x),0)</f>
        <v>22430.91</v>
      </c>
    </row>
    <row r="58" spans="1:17" s="42" customFormat="1" ht="15" hidden="1" customHeight="1" outlineLevel="1" x14ac:dyDescent="0.3">
      <c r="A58" s="34"/>
      <c r="B58" s="11" t="str">
        <f>CONCATENATE("          ","6006"," - ","TEMPORARY PART TIME")</f>
        <v xml:space="preserve">          6006 - TEMPORARY PART TIME</v>
      </c>
      <c r="C58" s="15"/>
      <c r="D58" s="3"/>
      <c r="E58" s="3"/>
      <c r="F58" s="3"/>
      <c r="G58" s="3"/>
      <c r="H58" s="3"/>
      <c r="I58" s="3"/>
      <c r="J58" s="3"/>
      <c r="K58" s="3"/>
      <c r="L58" s="3"/>
      <c r="M58" s="3"/>
      <c r="N58" s="3">
        <v>0</v>
      </c>
      <c r="O58" s="3">
        <v>0</v>
      </c>
      <c r="P58" s="10"/>
      <c r="Q58" s="3">
        <f>SUM(OSRRefD21_1_5x)+IFERROR(SUM(OSRRefE21_1_5x),0)</f>
        <v>0</v>
      </c>
    </row>
    <row r="59" spans="1:17" s="42" customFormat="1" ht="15" hidden="1" customHeight="1" outlineLevel="1" x14ac:dyDescent="0.3">
      <c r="A59" s="34"/>
      <c r="B59" s="11" t="str">
        <f>CONCATENATE("          ","6007"," - ","STUDENT HOURLY")</f>
        <v xml:space="preserve">          6007 - STUDENT HOURLY</v>
      </c>
      <c r="C59" s="15"/>
      <c r="D59" s="3">
        <v>19302.939999999999</v>
      </c>
      <c r="E59" s="3">
        <v>24856.84</v>
      </c>
      <c r="F59" s="3">
        <v>20833.89</v>
      </c>
      <c r="G59" s="3">
        <v>20928.32</v>
      </c>
      <c r="H59" s="3">
        <v>17324.09</v>
      </c>
      <c r="I59" s="3">
        <v>22155.439999999999</v>
      </c>
      <c r="J59" s="3">
        <v>34111.120000000003</v>
      </c>
      <c r="K59" s="3">
        <v>30487.86</v>
      </c>
      <c r="L59" s="3">
        <v>38493.58</v>
      </c>
      <c r="M59" s="3">
        <v>29038.11</v>
      </c>
      <c r="N59" s="3">
        <v>29532</v>
      </c>
      <c r="O59" s="3">
        <v>0</v>
      </c>
      <c r="P59" s="10"/>
      <c r="Q59" s="3">
        <f>SUM(OSRRefD21_1_6x)+IFERROR(SUM(OSRRefE21_1_6x),0)</f>
        <v>287064.19</v>
      </c>
    </row>
    <row r="60" spans="1:17" s="42" customFormat="1" ht="15" hidden="1" customHeight="1" outlineLevel="1" x14ac:dyDescent="0.3">
      <c r="A60" s="34"/>
      <c r="B60" s="11" t="str">
        <f>CONCATENATE("          ","6008"," - ","STUDENT HOURLY-FICA EXEMPT")</f>
        <v xml:space="preserve">          6008 - STUDENT HOURLY-FICA EXEMPT</v>
      </c>
      <c r="C60" s="15"/>
      <c r="D60" s="3">
        <v>7524.44</v>
      </c>
      <c r="E60" s="3">
        <v>9170.7000000000007</v>
      </c>
      <c r="F60" s="3">
        <v>5366.07</v>
      </c>
      <c r="G60" s="3">
        <v>7023.66</v>
      </c>
      <c r="H60" s="3">
        <v>5278.66</v>
      </c>
      <c r="I60" s="3">
        <v>4710.58</v>
      </c>
      <c r="J60" s="3">
        <v>3814.91</v>
      </c>
      <c r="K60" s="3">
        <v>11904</v>
      </c>
      <c r="L60" s="3">
        <v>8486.19</v>
      </c>
      <c r="M60" s="3">
        <v>14062.82</v>
      </c>
      <c r="N60" s="3">
        <v>0</v>
      </c>
      <c r="O60" s="3">
        <v>29532</v>
      </c>
      <c r="P60" s="10"/>
      <c r="Q60" s="3">
        <f>SUM(OSRRefD21_1_7x)+IFERROR(SUM(OSRRefE21_1_7x),0)</f>
        <v>106874.03</v>
      </c>
    </row>
    <row r="61" spans="1:17" s="42" customFormat="1" ht="15" hidden="1" customHeight="1" outlineLevel="1" x14ac:dyDescent="0.3">
      <c r="A61" s="34"/>
      <c r="B61" s="11" t="str">
        <f>CONCATENATE("          ","6009"," - ","TEMPORARY-SEASONAL")</f>
        <v xml:space="preserve">          6009 - TEMPORARY-SEASONAL</v>
      </c>
      <c r="C61" s="15"/>
      <c r="D61" s="3"/>
      <c r="E61" s="3"/>
      <c r="F61" s="3"/>
      <c r="G61" s="3"/>
      <c r="H61" s="3"/>
      <c r="I61" s="3"/>
      <c r="J61" s="3"/>
      <c r="K61" s="3"/>
      <c r="L61" s="3"/>
      <c r="M61" s="3"/>
      <c r="N61" s="3">
        <v>0</v>
      </c>
      <c r="O61" s="3">
        <v>0</v>
      </c>
      <c r="P61" s="10"/>
      <c r="Q61" s="3">
        <f>SUM(OSRRefD21_1_8x)+IFERROR(SUM(OSRRefE21_1_8x),0)</f>
        <v>0</v>
      </c>
    </row>
    <row r="62" spans="1:17" s="42" customFormat="1" ht="15" hidden="1" customHeight="1" outlineLevel="1" x14ac:dyDescent="0.3">
      <c r="A62" s="34"/>
      <c r="B62" s="11" t="str">
        <f>CONCATENATE("          ","6010"," - ","GRATUITY")</f>
        <v xml:space="preserve">          6010 - GRATUITY</v>
      </c>
      <c r="C62" s="15"/>
      <c r="D62" s="3"/>
      <c r="E62" s="3"/>
      <c r="F62" s="3"/>
      <c r="G62" s="3"/>
      <c r="H62" s="3"/>
      <c r="I62" s="3"/>
      <c r="J62" s="3"/>
      <c r="K62" s="3"/>
      <c r="L62" s="3"/>
      <c r="M62" s="3"/>
      <c r="N62" s="3">
        <v>0</v>
      </c>
      <c r="O62" s="3">
        <v>0</v>
      </c>
      <c r="P62" s="10"/>
      <c r="Q62" s="3">
        <f>SUM(OSRRefD21_1_9x)+IFERROR(SUM(OSRRefE21_1_9x),0)</f>
        <v>0</v>
      </c>
    </row>
    <row r="63" spans="1:17" s="42" customFormat="1" ht="15" customHeight="1" collapsed="1" x14ac:dyDescent="0.3">
      <c r="A63" s="34"/>
      <c r="B63" s="15" t="str">
        <f>CONCATENATE("     ","Advertising/Promo                                 ")</f>
        <v xml:space="preserve">     Advertising/Promo                                 </v>
      </c>
      <c r="C63" s="15"/>
      <c r="D63" s="2">
        <f>SUM(OSRRefD21_2x_0)</f>
        <v>198.63</v>
      </c>
      <c r="E63" s="2">
        <f>SUM(OSRRefD21_2x_1)</f>
        <v>1068.1199999999999</v>
      </c>
      <c r="F63" s="2">
        <f>SUM(OSRRefD21_2x_2)</f>
        <v>110.26</v>
      </c>
      <c r="G63" s="2">
        <f>SUM(OSRRefD21_2x_3)</f>
        <v>303.05</v>
      </c>
      <c r="H63" s="2">
        <f>SUM(OSRRefD21_2x_4)</f>
        <v>348.39</v>
      </c>
      <c r="I63" s="2">
        <f>SUM(OSRRefD21_2x_5)</f>
        <v>158.76</v>
      </c>
      <c r="J63" s="2">
        <f>SUM(OSRRefD21_2x_6)</f>
        <v>428.83</v>
      </c>
      <c r="K63" s="2">
        <f>SUM(OSRRefD21_2x_7)</f>
        <v>316.10000000000002</v>
      </c>
      <c r="L63" s="2">
        <f>SUM(OSRRefD21_2x_8)</f>
        <v>2060.75</v>
      </c>
      <c r="M63" s="2">
        <f>SUM(OSRRefD21_2x_9)</f>
        <v>2164.9299999999998</v>
      </c>
      <c r="N63" s="2">
        <f>SUM(OSRRefE21_2x_0)</f>
        <v>50</v>
      </c>
      <c r="O63" s="2">
        <f>SUM(OSRRefE21_2x_1)</f>
        <v>50</v>
      </c>
      <c r="Q63" s="3">
        <f>SUM(OSRRefD20_2x)+IFERROR(SUM(OSRRefE20_2x),0)</f>
        <v>7257.82</v>
      </c>
    </row>
    <row r="64" spans="1:17" s="42" customFormat="1" ht="15" hidden="1" customHeight="1" outlineLevel="1" x14ac:dyDescent="0.3">
      <c r="A64" s="34"/>
      <c r="B64" s="11" t="str">
        <f>CONCATENATE("          ","6362"," - ","ADVERTISING EXPENSE")</f>
        <v xml:space="preserve">          6362 - ADVERTISING EXPENSE</v>
      </c>
      <c r="C64" s="15"/>
      <c r="D64" s="3">
        <v>198.63</v>
      </c>
      <c r="E64" s="3">
        <v>1068.1199999999999</v>
      </c>
      <c r="F64" s="3">
        <v>110.26</v>
      </c>
      <c r="G64" s="3">
        <v>303.05</v>
      </c>
      <c r="H64" s="3">
        <v>348.39</v>
      </c>
      <c r="I64" s="3">
        <v>158.76</v>
      </c>
      <c r="J64" s="3">
        <v>428.83</v>
      </c>
      <c r="K64" s="3">
        <v>316.10000000000002</v>
      </c>
      <c r="L64" s="3">
        <v>2060.75</v>
      </c>
      <c r="M64" s="3">
        <v>2164.9299999999998</v>
      </c>
      <c r="N64" s="3">
        <v>50</v>
      </c>
      <c r="O64" s="3">
        <v>50</v>
      </c>
      <c r="P64" s="10"/>
      <c r="Q64" s="3">
        <f>SUM(OSRRefD21_2_0x)+IFERROR(SUM(OSRRefE21_2_0x),0)</f>
        <v>7257.82</v>
      </c>
    </row>
    <row r="65" spans="1:17" s="42" customFormat="1" ht="15" customHeight="1" collapsed="1" x14ac:dyDescent="0.3">
      <c r="A65" s="34"/>
      <c r="B65" s="15" t="str">
        <f>CONCATENATE("     ","Bad Debts/Over/Short                              ")</f>
        <v xml:space="preserve">     Bad Debts/Over/Short                              </v>
      </c>
      <c r="C65" s="15"/>
      <c r="D65" s="2">
        <f>SUM(OSRRefD21_3x_0)</f>
        <v>0</v>
      </c>
      <c r="E65" s="2">
        <f>SUM(OSRRefD21_3x_1)</f>
        <v>0</v>
      </c>
      <c r="F65" s="2">
        <f>SUM(OSRRefD21_3x_2)</f>
        <v>0</v>
      </c>
      <c r="G65" s="2">
        <f>SUM(OSRRefD21_3x_3)</f>
        <v>0</v>
      </c>
      <c r="H65" s="2">
        <f>SUM(OSRRefD21_3x_4)</f>
        <v>0</v>
      </c>
      <c r="I65" s="2">
        <f>SUM(OSRRefD21_3x_5)</f>
        <v>0</v>
      </c>
      <c r="J65" s="2">
        <f>SUM(OSRRefD21_3x_6)</f>
        <v>0</v>
      </c>
      <c r="K65" s="2">
        <f>SUM(OSRRefD21_3x_7)</f>
        <v>0</v>
      </c>
      <c r="L65" s="2">
        <f>SUM(OSRRefD21_3x_8)</f>
        <v>0</v>
      </c>
      <c r="M65" s="2">
        <f>SUM(OSRRefD21_3x_9)</f>
        <v>0</v>
      </c>
      <c r="N65" s="2">
        <f>SUM(OSRRefE21_3x_0)</f>
        <v>0</v>
      </c>
      <c r="O65" s="2">
        <f>SUM(OSRRefE21_3x_1)</f>
        <v>0</v>
      </c>
      <c r="Q65" s="3">
        <f>SUM(OSRRefD20_3x)+IFERROR(SUM(OSRRefE20_3x),0)</f>
        <v>0</v>
      </c>
    </row>
    <row r="66" spans="1:17" s="42" customFormat="1" ht="15" hidden="1" customHeight="1" outlineLevel="1" x14ac:dyDescent="0.3">
      <c r="A66" s="34"/>
      <c r="B66" s="11" t="str">
        <f>CONCATENATE("          ","6272"," - ","CASH (OVER/SHORT)")</f>
        <v xml:space="preserve">          6272 - CASH (OVER/SHORT)</v>
      </c>
      <c r="C66" s="15"/>
      <c r="D66" s="3"/>
      <c r="E66" s="3"/>
      <c r="F66" s="3"/>
      <c r="G66" s="3"/>
      <c r="H66" s="3"/>
      <c r="I66" s="3"/>
      <c r="J66" s="3"/>
      <c r="K66" s="3"/>
      <c r="L66" s="3"/>
      <c r="M66" s="3"/>
      <c r="N66" s="3">
        <v>0</v>
      </c>
      <c r="O66" s="3">
        <v>0</v>
      </c>
      <c r="P66" s="10"/>
      <c r="Q66" s="3">
        <f>SUM(OSRRefD21_3_0x)+IFERROR(SUM(OSRRefE21_3_0x),0)</f>
        <v>0</v>
      </c>
    </row>
    <row r="67" spans="1:17" s="42" customFormat="1" ht="15" customHeight="1" collapsed="1" x14ac:dyDescent="0.3">
      <c r="A67" s="34"/>
      <c r="B67" s="15" t="str">
        <f>CONCATENATE("     ","Bank/card Fees                                    ")</f>
        <v xml:space="preserve">     Bank/card Fees                                    </v>
      </c>
      <c r="C67" s="15"/>
      <c r="D67" s="2">
        <f>SUM(OSRRefD21_4x_0)</f>
        <v>0</v>
      </c>
      <c r="E67" s="2">
        <f>SUM(OSRRefD21_4x_1)</f>
        <v>0</v>
      </c>
      <c r="F67" s="2">
        <f>SUM(OSRRefD21_4x_2)</f>
        <v>0</v>
      </c>
      <c r="G67" s="2">
        <f>SUM(OSRRefD21_4x_3)</f>
        <v>0</v>
      </c>
      <c r="H67" s="2">
        <f>SUM(OSRRefD21_4x_4)</f>
        <v>0</v>
      </c>
      <c r="I67" s="2">
        <f>SUM(OSRRefD21_4x_5)</f>
        <v>0</v>
      </c>
      <c r="J67" s="2">
        <f>SUM(OSRRefD21_4x_6)</f>
        <v>0</v>
      </c>
      <c r="K67" s="2">
        <f>SUM(OSRRefD21_4x_7)</f>
        <v>0</v>
      </c>
      <c r="L67" s="2">
        <f>SUM(OSRRefD21_4x_8)</f>
        <v>0</v>
      </c>
      <c r="M67" s="2">
        <f>SUM(OSRRefD21_4x_9)</f>
        <v>0</v>
      </c>
      <c r="N67" s="2">
        <f>SUM(OSRRefE21_4x_0)</f>
        <v>0</v>
      </c>
      <c r="O67" s="2">
        <f>SUM(OSRRefE21_4x_1)</f>
        <v>0</v>
      </c>
      <c r="Q67" s="3">
        <f>SUM(OSRRefD20_4x)+IFERROR(SUM(OSRRefE20_4x),0)</f>
        <v>0</v>
      </c>
    </row>
    <row r="68" spans="1:17" s="42" customFormat="1" ht="15" hidden="1" customHeight="1" outlineLevel="1" x14ac:dyDescent="0.3">
      <c r="A68" s="34"/>
      <c r="B68" s="11" t="str">
        <f>CONCATENATE("          ","6381"," - ","BANK/CREDIT CARD FEES")</f>
        <v xml:space="preserve">          6381 - BANK/CREDIT CARD FEES</v>
      </c>
      <c r="C68" s="15"/>
      <c r="D68" s="3"/>
      <c r="E68" s="3"/>
      <c r="F68" s="3"/>
      <c r="G68" s="3"/>
      <c r="H68" s="3"/>
      <c r="I68" s="3"/>
      <c r="J68" s="3"/>
      <c r="K68" s="3"/>
      <c r="L68" s="3"/>
      <c r="M68" s="3"/>
      <c r="N68" s="3">
        <v>0</v>
      </c>
      <c r="O68" s="3">
        <v>0</v>
      </c>
      <c r="P68" s="10"/>
      <c r="Q68" s="3">
        <f>SUM(OSRRefD21_4_0x)+IFERROR(SUM(OSRRefE21_4_0x),0)</f>
        <v>0</v>
      </c>
    </row>
    <row r="69" spans="1:17" s="42" customFormat="1" ht="15" customHeight="1" collapsed="1" x14ac:dyDescent="0.3">
      <c r="A69" s="34"/>
      <c r="B69" s="15" t="str">
        <f>CONCATENATE("     ","Discounts and Markdowns                           ")</f>
        <v xml:space="preserve">     Discounts and Markdowns                           </v>
      </c>
      <c r="C69" s="15"/>
      <c r="D69" s="2">
        <f>SUM(OSRRefD21_5x_0)</f>
        <v>0</v>
      </c>
      <c r="E69" s="2">
        <f>SUM(OSRRefD21_5x_1)</f>
        <v>-66.11</v>
      </c>
      <c r="F69" s="2">
        <f>SUM(OSRRefD21_5x_2)</f>
        <v>66.11</v>
      </c>
      <c r="G69" s="2">
        <f>SUM(OSRRefD21_5x_3)</f>
        <v>0</v>
      </c>
      <c r="H69" s="2">
        <f>SUM(OSRRefD21_5x_4)</f>
        <v>0</v>
      </c>
      <c r="I69" s="2">
        <f>SUM(OSRRefD21_5x_5)</f>
        <v>0</v>
      </c>
      <c r="J69" s="2">
        <f>SUM(OSRRefD21_5x_6)</f>
        <v>0</v>
      </c>
      <c r="K69" s="2">
        <f>SUM(OSRRefD21_5x_7)</f>
        <v>0</v>
      </c>
      <c r="L69" s="2">
        <f>SUM(OSRRefD21_5x_8)</f>
        <v>0</v>
      </c>
      <c r="M69" s="2">
        <f>SUM(OSRRefD21_5x_9)</f>
        <v>0</v>
      </c>
      <c r="N69" s="2">
        <f>SUM(OSRRefE21_5x_0)</f>
        <v>0</v>
      </c>
      <c r="O69" s="2">
        <f>SUM(OSRRefE21_5x_1)</f>
        <v>0</v>
      </c>
      <c r="Q69" s="3">
        <f>SUM(OSRRefD20_5x)+IFERROR(SUM(OSRRefE20_5x),0)</f>
        <v>0</v>
      </c>
    </row>
    <row r="70" spans="1:17" s="42" customFormat="1" ht="15" hidden="1" customHeight="1" outlineLevel="1" x14ac:dyDescent="0.3">
      <c r="A70" s="34"/>
      <c r="B70" s="11" t="str">
        <f>CONCATENATE("          ","9175"," - ","EARNED DISCOUNTS")</f>
        <v xml:space="preserve">          9175 - EARNED DISCOUNTS</v>
      </c>
      <c r="C70" s="15"/>
      <c r="D70" s="3"/>
      <c r="E70" s="3">
        <v>-66.11</v>
      </c>
      <c r="F70" s="3">
        <v>66.11</v>
      </c>
      <c r="G70" s="3">
        <v>0</v>
      </c>
      <c r="H70" s="3">
        <v>0</v>
      </c>
      <c r="I70" s="3"/>
      <c r="J70" s="3"/>
      <c r="K70" s="3"/>
      <c r="L70" s="3"/>
      <c r="M70" s="3"/>
      <c r="N70" s="3"/>
      <c r="O70" s="3"/>
      <c r="P70" s="10"/>
      <c r="Q70" s="3">
        <f>SUM(OSRRefD21_5_0x)+IFERROR(SUM(OSRRefE21_5_0x),0)</f>
        <v>0</v>
      </c>
    </row>
    <row r="71" spans="1:17" s="42" customFormat="1" ht="15" customHeight="1" collapsed="1" x14ac:dyDescent="0.3">
      <c r="A71" s="34"/>
      <c r="B71" s="15" t="str">
        <f>CONCATENATE("     ","Employees' Appreciation                           ")</f>
        <v xml:space="preserve">     Employees' Appreciation                           </v>
      </c>
      <c r="C71" s="15"/>
      <c r="D71" s="2">
        <f>SUM(OSRRefD21_6x_0)</f>
        <v>216.44</v>
      </c>
      <c r="E71" s="2">
        <f>SUM(OSRRefD21_6x_1)</f>
        <v>0</v>
      </c>
      <c r="F71" s="2">
        <f>SUM(OSRRefD21_6x_2)</f>
        <v>0</v>
      </c>
      <c r="G71" s="2">
        <f>SUM(OSRRefD21_6x_3)</f>
        <v>0</v>
      </c>
      <c r="H71" s="2">
        <f>SUM(OSRRefD21_6x_4)</f>
        <v>0</v>
      </c>
      <c r="I71" s="2">
        <f>SUM(OSRRefD21_6x_5)</f>
        <v>0</v>
      </c>
      <c r="J71" s="2">
        <f>SUM(OSRRefD21_6x_6)</f>
        <v>0</v>
      </c>
      <c r="K71" s="2">
        <f>SUM(OSRRefD21_6x_7)</f>
        <v>0</v>
      </c>
      <c r="L71" s="2">
        <f>SUM(OSRRefD21_6x_8)</f>
        <v>74.69</v>
      </c>
      <c r="M71" s="2">
        <f>SUM(OSRRefD21_6x_9)</f>
        <v>0</v>
      </c>
      <c r="N71" s="2">
        <f>SUM(OSRRefE21_6x_0)</f>
        <v>50</v>
      </c>
      <c r="O71" s="2">
        <f>SUM(OSRRefE21_6x_1)</f>
        <v>50</v>
      </c>
      <c r="Q71" s="3">
        <f>SUM(OSRRefD20_6x)+IFERROR(SUM(OSRRefE20_6x),0)</f>
        <v>391.13</v>
      </c>
    </row>
    <row r="72" spans="1:17" s="42" customFormat="1" ht="15" hidden="1" customHeight="1" outlineLevel="1" x14ac:dyDescent="0.3">
      <c r="A72" s="34"/>
      <c r="B72" s="11" t="str">
        <f>CONCATENATE("          ","6277"," - ","EMPLOYEE APPRECIATION")</f>
        <v xml:space="preserve">          6277 - EMPLOYEE APPRECIATION</v>
      </c>
      <c r="C72" s="15"/>
      <c r="D72" s="3">
        <v>216.44</v>
      </c>
      <c r="E72" s="3"/>
      <c r="F72" s="3"/>
      <c r="G72" s="3"/>
      <c r="H72" s="3"/>
      <c r="I72" s="3"/>
      <c r="J72" s="3"/>
      <c r="K72" s="3"/>
      <c r="L72" s="3">
        <v>74.69</v>
      </c>
      <c r="M72" s="3"/>
      <c r="N72" s="3">
        <v>50</v>
      </c>
      <c r="O72" s="3">
        <v>50</v>
      </c>
      <c r="P72" s="10"/>
      <c r="Q72" s="3">
        <f>SUM(OSRRefD21_6_0x)+IFERROR(SUM(OSRRefE21_6_0x),0)</f>
        <v>391.13</v>
      </c>
    </row>
    <row r="73" spans="1:17" s="42" customFormat="1" ht="15" customHeight="1" collapsed="1" x14ac:dyDescent="0.3">
      <c r="A73" s="34"/>
      <c r="B73" s="15" t="str">
        <f>CONCATENATE("     ","Equipment Rental                                  ")</f>
        <v xml:space="preserve">     Equipment Rental                                  </v>
      </c>
      <c r="C73" s="15"/>
      <c r="D73" s="2">
        <f>SUM(OSRRefD21_7x_0)</f>
        <v>0</v>
      </c>
      <c r="E73" s="2">
        <f>SUM(OSRRefD21_7x_1)</f>
        <v>0</v>
      </c>
      <c r="F73" s="2">
        <f>SUM(OSRRefD21_7x_2)</f>
        <v>0</v>
      </c>
      <c r="G73" s="2">
        <f>SUM(OSRRefD21_7x_3)</f>
        <v>0</v>
      </c>
      <c r="H73" s="2">
        <f>SUM(OSRRefD21_7x_4)</f>
        <v>0</v>
      </c>
      <c r="I73" s="2">
        <f>SUM(OSRRefD21_7x_5)</f>
        <v>118.91</v>
      </c>
      <c r="J73" s="2">
        <f>SUM(OSRRefD21_7x_6)</f>
        <v>0</v>
      </c>
      <c r="K73" s="2">
        <f>SUM(OSRRefD21_7x_7)</f>
        <v>0</v>
      </c>
      <c r="L73" s="2">
        <f>SUM(OSRRefD21_7x_8)</f>
        <v>0</v>
      </c>
      <c r="M73" s="2">
        <f>SUM(OSRRefD21_7x_9)</f>
        <v>0</v>
      </c>
      <c r="N73" s="2">
        <f>SUM(OSRRefE21_7x_0)</f>
        <v>0</v>
      </c>
      <c r="O73" s="2">
        <f>SUM(OSRRefE21_7x_1)</f>
        <v>0</v>
      </c>
      <c r="Q73" s="3">
        <f>SUM(OSRRefD20_7x)+IFERROR(SUM(OSRRefE20_7x),0)</f>
        <v>118.91</v>
      </c>
    </row>
    <row r="74" spans="1:17" s="42" customFormat="1" ht="15" hidden="1" customHeight="1" outlineLevel="1" x14ac:dyDescent="0.3">
      <c r="A74" s="34"/>
      <c r="B74" s="11" t="str">
        <f>CONCATENATE("          ","6351"," - ","EQUIPMENT RENTAL")</f>
        <v xml:space="preserve">          6351 - EQUIPMENT RENTAL</v>
      </c>
      <c r="C74" s="15"/>
      <c r="D74" s="3"/>
      <c r="E74" s="3"/>
      <c r="F74" s="3"/>
      <c r="G74" s="3"/>
      <c r="H74" s="3"/>
      <c r="I74" s="3">
        <v>118.91</v>
      </c>
      <c r="J74" s="3"/>
      <c r="K74" s="3"/>
      <c r="L74" s="3"/>
      <c r="M74" s="3"/>
      <c r="N74" s="3"/>
      <c r="O74" s="3"/>
      <c r="P74" s="10"/>
      <c r="Q74" s="3">
        <f>SUM(OSRRefD21_7_0x)+IFERROR(SUM(OSRRefE21_7_0x),0)</f>
        <v>118.91</v>
      </c>
    </row>
    <row r="75" spans="1:17" s="42" customFormat="1" ht="15" customHeight="1" collapsed="1" x14ac:dyDescent="0.3">
      <c r="A75" s="34"/>
      <c r="B75" s="15" t="str">
        <f>CONCATENATE("     ","Freight out/Postage                               ")</f>
        <v xml:space="preserve">     Freight out/Postage                               </v>
      </c>
      <c r="C75" s="15"/>
      <c r="D75" s="2">
        <f>SUM(OSRRefD21_8x_0)</f>
        <v>857.13</v>
      </c>
      <c r="E75" s="2">
        <f>SUM(OSRRefD21_8x_1)</f>
        <v>16.16</v>
      </c>
      <c r="F75" s="2">
        <f>SUM(OSRRefD21_8x_2)</f>
        <v>32.659999999999997</v>
      </c>
      <c r="G75" s="2">
        <f>SUM(OSRRefD21_8x_3)</f>
        <v>19.82</v>
      </c>
      <c r="H75" s="2">
        <f>SUM(OSRRefD21_8x_4)</f>
        <v>3.52</v>
      </c>
      <c r="I75" s="2">
        <f>SUM(OSRRefD21_8x_5)</f>
        <v>0</v>
      </c>
      <c r="J75" s="2">
        <f>SUM(OSRRefD21_8x_6)</f>
        <v>0</v>
      </c>
      <c r="K75" s="2">
        <f>SUM(OSRRefD21_8x_7)</f>
        <v>0</v>
      </c>
      <c r="L75" s="2">
        <f>SUM(OSRRefD21_8x_8)</f>
        <v>0</v>
      </c>
      <c r="M75" s="2">
        <f>SUM(OSRRefD21_8x_9)</f>
        <v>0</v>
      </c>
      <c r="N75" s="2">
        <f>SUM(OSRRefE21_8x_0)</f>
        <v>50</v>
      </c>
      <c r="O75" s="2">
        <f>SUM(OSRRefE21_8x_1)</f>
        <v>50</v>
      </c>
      <c r="Q75" s="3">
        <f>SUM(OSRRefD20_8x)+IFERROR(SUM(OSRRefE20_8x),0)</f>
        <v>1029.29</v>
      </c>
    </row>
    <row r="76" spans="1:17" s="42" customFormat="1" ht="15" hidden="1" customHeight="1" outlineLevel="1" x14ac:dyDescent="0.3">
      <c r="A76" s="34"/>
      <c r="B76" s="11" t="str">
        <f>CONCATENATE("          ","6305"," - ","FREIGHT OUT")</f>
        <v xml:space="preserve">          6305 - FREIGHT OUT</v>
      </c>
      <c r="C76" s="15"/>
      <c r="D76" s="3">
        <v>845.71</v>
      </c>
      <c r="E76" s="3">
        <v>16.16</v>
      </c>
      <c r="F76" s="3">
        <v>8.66</v>
      </c>
      <c r="G76" s="3">
        <v>19.82</v>
      </c>
      <c r="H76" s="3">
        <v>3.52</v>
      </c>
      <c r="I76" s="3"/>
      <c r="J76" s="3"/>
      <c r="K76" s="3"/>
      <c r="L76" s="3"/>
      <c r="M76" s="3"/>
      <c r="N76" s="3">
        <v>50</v>
      </c>
      <c r="O76" s="3">
        <v>50</v>
      </c>
      <c r="P76" s="10"/>
      <c r="Q76" s="3">
        <f>SUM(OSRRefD21_8_0x)+IFERROR(SUM(OSRRefE21_8_0x),0)</f>
        <v>993.87</v>
      </c>
    </row>
    <row r="77" spans="1:17" s="42" customFormat="1" ht="15" hidden="1" customHeight="1" outlineLevel="1" x14ac:dyDescent="0.3">
      <c r="A77" s="34"/>
      <c r="B77" s="11" t="str">
        <f>CONCATENATE("          ","6307"," - ","POSTAGE")</f>
        <v xml:space="preserve">          6307 - POSTAGE</v>
      </c>
      <c r="C77" s="15"/>
      <c r="D77" s="3">
        <v>11.42</v>
      </c>
      <c r="E77" s="3"/>
      <c r="F77" s="3">
        <v>24</v>
      </c>
      <c r="G77" s="3"/>
      <c r="H77" s="3"/>
      <c r="I77" s="3"/>
      <c r="J77" s="3"/>
      <c r="K77" s="3"/>
      <c r="L77" s="3"/>
      <c r="M77" s="3"/>
      <c r="N77" s="3"/>
      <c r="O77" s="3"/>
      <c r="P77" s="10"/>
      <c r="Q77" s="3">
        <f>SUM(OSRRefD21_8_1x)+IFERROR(SUM(OSRRefE21_8_1x),0)</f>
        <v>35.42</v>
      </c>
    </row>
    <row r="78" spans="1:17" s="42" customFormat="1" ht="15" customHeight="1" collapsed="1" x14ac:dyDescent="0.3">
      <c r="A78" s="34"/>
      <c r="B78" s="15" t="str">
        <f>CONCATENATE("     ","General                                           ")</f>
        <v xml:space="preserve">     General                                           </v>
      </c>
      <c r="C78" s="15"/>
      <c r="D78" s="2">
        <f>SUM(OSRRefD21_9x_0)</f>
        <v>0</v>
      </c>
      <c r="E78" s="2">
        <f>SUM(OSRRefD21_9x_1)</f>
        <v>0</v>
      </c>
      <c r="F78" s="2">
        <f>SUM(OSRRefD21_9x_2)</f>
        <v>0</v>
      </c>
      <c r="G78" s="2">
        <f>SUM(OSRRefD21_9x_3)</f>
        <v>0</v>
      </c>
      <c r="H78" s="2">
        <f>SUM(OSRRefD21_9x_4)</f>
        <v>0</v>
      </c>
      <c r="I78" s="2">
        <f>SUM(OSRRefD21_9x_5)</f>
        <v>0</v>
      </c>
      <c r="J78" s="2">
        <f>SUM(OSRRefD21_9x_6)</f>
        <v>0</v>
      </c>
      <c r="K78" s="2">
        <f>SUM(OSRRefD21_9x_7)</f>
        <v>1157.1099999999999</v>
      </c>
      <c r="L78" s="2">
        <f>SUM(OSRRefD21_9x_8)</f>
        <v>0</v>
      </c>
      <c r="M78" s="2">
        <f>SUM(OSRRefD21_9x_9)</f>
        <v>-168.94</v>
      </c>
      <c r="N78" s="2">
        <f>SUM(OSRRefE21_9x_0)</f>
        <v>0</v>
      </c>
      <c r="O78" s="2">
        <f>SUM(OSRRefE21_9x_1)</f>
        <v>1000</v>
      </c>
      <c r="Q78" s="3">
        <f>SUM(OSRRefD20_9x)+IFERROR(SUM(OSRRefE20_9x),0)</f>
        <v>1988.1699999999998</v>
      </c>
    </row>
    <row r="79" spans="1:17" s="42" customFormat="1" ht="15" hidden="1" customHeight="1" outlineLevel="1" x14ac:dyDescent="0.3">
      <c r="A79" s="34"/>
      <c r="B79" s="11" t="str">
        <f>CONCATENATE("          ","6279"," - ","GENERAL EXPENSE")</f>
        <v xml:space="preserve">          6279 - GENERAL EXPENSE</v>
      </c>
      <c r="C79" s="15"/>
      <c r="D79" s="3"/>
      <c r="E79" s="3"/>
      <c r="F79" s="3"/>
      <c r="G79" s="3"/>
      <c r="H79" s="3"/>
      <c r="I79" s="3"/>
      <c r="J79" s="3"/>
      <c r="K79" s="3">
        <v>1157.1099999999999</v>
      </c>
      <c r="L79" s="3"/>
      <c r="M79" s="3">
        <v>-168.94</v>
      </c>
      <c r="N79" s="3">
        <v>0</v>
      </c>
      <c r="O79" s="3">
        <v>1000</v>
      </c>
      <c r="P79" s="10"/>
      <c r="Q79" s="3">
        <f>SUM(OSRRefD21_9_0x)+IFERROR(SUM(OSRRefE21_9_0x),0)</f>
        <v>1988.1699999999998</v>
      </c>
    </row>
    <row r="80" spans="1:17" s="42" customFormat="1" ht="15" customHeight="1" collapsed="1" x14ac:dyDescent="0.3">
      <c r="A80" s="34"/>
      <c r="B80" s="15" t="str">
        <f>CONCATENATE("     ","Inventory Adjustment                              ")</f>
        <v xml:space="preserve">     Inventory Adjustment                              </v>
      </c>
      <c r="C80" s="15"/>
      <c r="D80" s="2">
        <f>SUM(OSRRefD21_10x_0)</f>
        <v>3350</v>
      </c>
      <c r="E80" s="2">
        <f>SUM(OSRRefD21_10x_1)</f>
        <v>3350</v>
      </c>
      <c r="F80" s="2">
        <f>SUM(OSRRefD21_10x_2)</f>
        <v>3350</v>
      </c>
      <c r="G80" s="2">
        <f>SUM(OSRRefD21_10x_3)</f>
        <v>3350</v>
      </c>
      <c r="H80" s="2">
        <f>SUM(OSRRefD21_10x_4)</f>
        <v>3350</v>
      </c>
      <c r="I80" s="2">
        <f>SUM(OSRRefD21_10x_5)</f>
        <v>3350</v>
      </c>
      <c r="J80" s="2">
        <f>SUM(OSRRefD21_10x_6)</f>
        <v>3350</v>
      </c>
      <c r="K80" s="2">
        <f>SUM(OSRRefD21_10x_7)</f>
        <v>3350</v>
      </c>
      <c r="L80" s="2">
        <f>SUM(OSRRefD21_10x_8)</f>
        <v>3350</v>
      </c>
      <c r="M80" s="2">
        <f>SUM(OSRRefD21_10x_9)</f>
        <v>3350</v>
      </c>
      <c r="N80" s="2">
        <f>SUM(OSRRefE21_10x_0)</f>
        <v>3350</v>
      </c>
      <c r="O80" s="2">
        <f>SUM(OSRRefE21_10x_1)</f>
        <v>3350</v>
      </c>
      <c r="Q80" s="3">
        <f>SUM(OSRRefD20_10x)+IFERROR(SUM(OSRRefE20_10x),0)</f>
        <v>40200</v>
      </c>
    </row>
    <row r="81" spans="1:17" s="42" customFormat="1" ht="15" hidden="1" customHeight="1" outlineLevel="1" x14ac:dyDescent="0.3">
      <c r="A81" s="34"/>
      <c r="B81" s="11" t="str">
        <f>CONCATENATE("          ","6408"," - ","INVENTORY ADJUSTMENT")</f>
        <v xml:space="preserve">          6408 - INVENTORY ADJUSTMENT</v>
      </c>
      <c r="C81" s="15"/>
      <c r="D81" s="3">
        <v>3350</v>
      </c>
      <c r="E81" s="3">
        <v>3350</v>
      </c>
      <c r="F81" s="3">
        <v>3350</v>
      </c>
      <c r="G81" s="3">
        <v>3350</v>
      </c>
      <c r="H81" s="3">
        <v>3350</v>
      </c>
      <c r="I81" s="3">
        <v>3350</v>
      </c>
      <c r="J81" s="3">
        <v>3350</v>
      </c>
      <c r="K81" s="3">
        <v>3350</v>
      </c>
      <c r="L81" s="3">
        <v>3350</v>
      </c>
      <c r="M81" s="3">
        <v>3350</v>
      </c>
      <c r="N81" s="3">
        <v>3350</v>
      </c>
      <c r="O81" s="3">
        <v>3350</v>
      </c>
      <c r="P81" s="10"/>
      <c r="Q81" s="3">
        <f>SUM(OSRRefD21_10_0x)+IFERROR(SUM(OSRRefE21_10_0x),0)</f>
        <v>40200</v>
      </c>
    </row>
    <row r="82" spans="1:17" s="42" customFormat="1" ht="15" customHeight="1" collapsed="1" x14ac:dyDescent="0.3">
      <c r="A82" s="34"/>
      <c r="B82" s="15" t="str">
        <f>CONCATENATE("     ","Professional Services                             ")</f>
        <v xml:space="preserve">     Professional Services                             </v>
      </c>
      <c r="C82" s="15"/>
      <c r="D82" s="2">
        <f>SUM(OSRRefD21_11x_0)</f>
        <v>0</v>
      </c>
      <c r="E82" s="2">
        <f>SUM(OSRRefD21_11x_1)</f>
        <v>0</v>
      </c>
      <c r="F82" s="2">
        <f>SUM(OSRRefD21_11x_2)</f>
        <v>0</v>
      </c>
      <c r="G82" s="2">
        <f>SUM(OSRRefD21_11x_3)</f>
        <v>507.64</v>
      </c>
      <c r="H82" s="2">
        <f>SUM(OSRRefD21_11x_4)</f>
        <v>0</v>
      </c>
      <c r="I82" s="2">
        <f>SUM(OSRRefD21_11x_5)</f>
        <v>0</v>
      </c>
      <c r="J82" s="2">
        <f>SUM(OSRRefD21_11x_6)</f>
        <v>0</v>
      </c>
      <c r="K82" s="2">
        <f>SUM(OSRRefD21_11x_7)</f>
        <v>390</v>
      </c>
      <c r="L82" s="2">
        <f>SUM(OSRRefD21_11x_8)</f>
        <v>1050</v>
      </c>
      <c r="M82" s="2">
        <f>SUM(OSRRefD21_11x_9)</f>
        <v>0</v>
      </c>
      <c r="N82" s="2">
        <f>SUM(OSRRefE21_11x_0)</f>
        <v>0</v>
      </c>
      <c r="O82" s="2">
        <f>SUM(OSRRefE21_11x_1)</f>
        <v>0</v>
      </c>
      <c r="Q82" s="3">
        <f>SUM(OSRRefD20_11x)+IFERROR(SUM(OSRRefE20_11x),0)</f>
        <v>1947.6399999999999</v>
      </c>
    </row>
    <row r="83" spans="1:17" s="42" customFormat="1" ht="15" hidden="1" customHeight="1" outlineLevel="1" x14ac:dyDescent="0.3">
      <c r="A83" s="34"/>
      <c r="B83" s="11" t="str">
        <f>CONCATENATE("          ","6336"," - ","PROFESSIONAL SERVICES")</f>
        <v xml:space="preserve">          6336 - PROFESSIONAL SERVICES</v>
      </c>
      <c r="C83" s="15"/>
      <c r="D83" s="3"/>
      <c r="E83" s="3"/>
      <c r="F83" s="3"/>
      <c r="G83" s="3">
        <v>507.64</v>
      </c>
      <c r="H83" s="3"/>
      <c r="I83" s="3"/>
      <c r="J83" s="3"/>
      <c r="K83" s="3">
        <v>390</v>
      </c>
      <c r="L83" s="3">
        <v>1050</v>
      </c>
      <c r="M83" s="3"/>
      <c r="N83" s="3">
        <v>0</v>
      </c>
      <c r="O83" s="3">
        <v>0</v>
      </c>
      <c r="P83" s="10"/>
      <c r="Q83" s="3">
        <f>SUM(OSRRefD21_11_0x)+IFERROR(SUM(OSRRefE21_11_0x),0)</f>
        <v>1947.6399999999999</v>
      </c>
    </row>
    <row r="84" spans="1:17" s="42" customFormat="1" ht="15" customHeight="1" collapsed="1" x14ac:dyDescent="0.3">
      <c r="A84" s="34"/>
      <c r="B84" s="15" t="str">
        <f>CONCATENATE("     ","Repair and Maintenance                            ")</f>
        <v xml:space="preserve">     Repair and Maintenance                            </v>
      </c>
      <c r="C84" s="15"/>
      <c r="D84" s="2">
        <f>SUM(OSRRefD21_12x_0)</f>
        <v>0</v>
      </c>
      <c r="E84" s="2">
        <f>SUM(OSRRefD21_12x_1)</f>
        <v>9.24</v>
      </c>
      <c r="F84" s="2">
        <f>SUM(OSRRefD21_12x_2)</f>
        <v>0</v>
      </c>
      <c r="G84" s="2">
        <f>SUM(OSRRefD21_12x_3)</f>
        <v>0</v>
      </c>
      <c r="H84" s="2">
        <f>SUM(OSRRefD21_12x_4)</f>
        <v>0</v>
      </c>
      <c r="I84" s="2">
        <f>SUM(OSRRefD21_12x_5)</f>
        <v>1675.05</v>
      </c>
      <c r="J84" s="2">
        <f>SUM(OSRRefD21_12x_6)</f>
        <v>0</v>
      </c>
      <c r="K84" s="2">
        <f>SUM(OSRRefD21_12x_7)</f>
        <v>20.29</v>
      </c>
      <c r="L84" s="2">
        <f>SUM(OSRRefD21_12x_8)</f>
        <v>0</v>
      </c>
      <c r="M84" s="2">
        <f>SUM(OSRRefD21_12x_9)</f>
        <v>2154.4699999999998</v>
      </c>
      <c r="N84" s="2">
        <f>SUM(OSRRefE21_12x_0)</f>
        <v>0</v>
      </c>
      <c r="O84" s="2">
        <f>SUM(OSRRefE21_12x_1)</f>
        <v>0</v>
      </c>
      <c r="Q84" s="3">
        <f>SUM(OSRRefD20_12x)+IFERROR(SUM(OSRRefE20_12x),0)</f>
        <v>3859.0499999999997</v>
      </c>
    </row>
    <row r="85" spans="1:17" s="42" customFormat="1" ht="15" hidden="1" customHeight="1" outlineLevel="1" x14ac:dyDescent="0.3">
      <c r="A85" s="34"/>
      <c r="B85" s="11" t="str">
        <f>CONCATENATE("          ","6373"," - ","MAINTENANCE CONTRACTS")</f>
        <v xml:space="preserve">          6373 - MAINTENANCE CONTRACTS</v>
      </c>
      <c r="C85" s="15"/>
      <c r="D85" s="3"/>
      <c r="E85" s="3">
        <v>5.7</v>
      </c>
      <c r="F85" s="3"/>
      <c r="G85" s="3"/>
      <c r="H85" s="3"/>
      <c r="I85" s="3"/>
      <c r="J85" s="3"/>
      <c r="K85" s="3">
        <v>12.04</v>
      </c>
      <c r="L85" s="3"/>
      <c r="M85" s="3"/>
      <c r="N85" s="3"/>
      <c r="O85" s="3"/>
      <c r="P85" s="10"/>
      <c r="Q85" s="3">
        <f>SUM(OSRRefD21_12_0x)+IFERROR(SUM(OSRRefE21_12_0x),0)</f>
        <v>17.739999999999998</v>
      </c>
    </row>
    <row r="86" spans="1:17" s="42" customFormat="1" ht="15" hidden="1" customHeight="1" outlineLevel="1" x14ac:dyDescent="0.3">
      <c r="A86" s="34"/>
      <c r="B86" s="11" t="str">
        <f>CONCATENATE("          ","6375"," - ","OUTSIDE REPAIRS &amp; MAINTENANCE")</f>
        <v xml:space="preserve">          6375 - OUTSIDE REPAIRS &amp; MAINTENANCE</v>
      </c>
      <c r="C86" s="15"/>
      <c r="D86" s="3"/>
      <c r="E86" s="3">
        <v>3.54</v>
      </c>
      <c r="F86" s="3"/>
      <c r="G86" s="3"/>
      <c r="H86" s="3"/>
      <c r="I86" s="3">
        <v>1675.05</v>
      </c>
      <c r="J86" s="3"/>
      <c r="K86" s="3">
        <v>8.25</v>
      </c>
      <c r="L86" s="3"/>
      <c r="M86" s="3">
        <v>2154.4699999999998</v>
      </c>
      <c r="N86" s="3">
        <v>0</v>
      </c>
      <c r="O86" s="3">
        <v>0</v>
      </c>
      <c r="P86" s="10"/>
      <c r="Q86" s="3">
        <f>SUM(OSRRefD21_12_1x)+IFERROR(SUM(OSRRefE21_12_1x),0)</f>
        <v>3841.3099999999995</v>
      </c>
    </row>
    <row r="87" spans="1:17" s="42" customFormat="1" ht="15" customHeight="1" collapsed="1" x14ac:dyDescent="0.3">
      <c r="A87" s="34"/>
      <c r="B87" s="15" t="str">
        <f>CONCATENATE("     ","Royalty &amp; Commissions                             ")</f>
        <v xml:space="preserve">     Royalty &amp; Commissions                             </v>
      </c>
      <c r="C87" s="15"/>
      <c r="D87" s="2">
        <f>SUM(OSRRefD21_13x_0)</f>
        <v>7349.0400000000009</v>
      </c>
      <c r="E87" s="2">
        <f>SUM(OSRRefD21_13x_1)</f>
        <v>0</v>
      </c>
      <c r="F87" s="2">
        <f>SUM(OSRRefD21_13x_2)</f>
        <v>0</v>
      </c>
      <c r="G87" s="2">
        <f>SUM(OSRRefD21_13x_3)</f>
        <v>8783.75</v>
      </c>
      <c r="H87" s="2">
        <f>SUM(OSRRefD21_13x_4)</f>
        <v>0</v>
      </c>
      <c r="I87" s="2">
        <f>SUM(OSRRefD21_13x_5)</f>
        <v>0</v>
      </c>
      <c r="J87" s="2">
        <f>SUM(OSRRefD21_13x_6)</f>
        <v>23450.06</v>
      </c>
      <c r="K87" s="2">
        <f>SUM(OSRRefD21_13x_7)</f>
        <v>3147.46</v>
      </c>
      <c r="L87" s="2">
        <f>SUM(OSRRefD21_13x_8)</f>
        <v>0</v>
      </c>
      <c r="M87" s="2">
        <f>SUM(OSRRefD21_13x_9)</f>
        <v>26841.57</v>
      </c>
      <c r="N87" s="2">
        <f>SUM(OSRRefE21_13x_0)</f>
        <v>3156</v>
      </c>
      <c r="O87" s="2">
        <f>SUM(OSRRefE21_13x_1)</f>
        <v>3322</v>
      </c>
      <c r="Q87" s="3">
        <f>SUM(OSRRefD20_13x)+IFERROR(SUM(OSRRefE20_13x),0)</f>
        <v>76049.88</v>
      </c>
    </row>
    <row r="88" spans="1:17" s="42" customFormat="1" ht="15" hidden="1" customHeight="1" outlineLevel="1" x14ac:dyDescent="0.3">
      <c r="A88" s="34"/>
      <c r="B88" s="11" t="str">
        <f>CONCATENATE("          ","6252"," - ","ROYALTY DUE CSTV")</f>
        <v xml:space="preserve">          6252 - ROYALTY DUE CSTV</v>
      </c>
      <c r="C88" s="15"/>
      <c r="D88" s="3"/>
      <c r="E88" s="3"/>
      <c r="F88" s="3"/>
      <c r="G88" s="3"/>
      <c r="H88" s="3"/>
      <c r="I88" s="3"/>
      <c r="J88" s="3"/>
      <c r="K88" s="3"/>
      <c r="L88" s="3"/>
      <c r="M88" s="3"/>
      <c r="N88" s="3">
        <v>2156</v>
      </c>
      <c r="O88" s="3">
        <v>3322</v>
      </c>
      <c r="P88" s="10"/>
      <c r="Q88" s="3">
        <f>SUM(OSRRefD21_13_0x)+IFERROR(SUM(OSRRefE21_13_0x),0)</f>
        <v>5478</v>
      </c>
    </row>
    <row r="89" spans="1:17" s="42" customFormat="1" ht="15" hidden="1" customHeight="1" outlineLevel="1" x14ac:dyDescent="0.3">
      <c r="A89" s="34"/>
      <c r="B89" s="11" t="str">
        <f>CONCATENATE("          ","6253"," - ","ROYALTY DUE ATHLETICS-LRG")</f>
        <v xml:space="preserve">          6253 - ROYALTY DUE ATHLETICS-LRG</v>
      </c>
      <c r="C89" s="15"/>
      <c r="D89" s="3">
        <v>14376.54</v>
      </c>
      <c r="E89" s="3"/>
      <c r="F89" s="3"/>
      <c r="G89" s="3">
        <v>8783.75</v>
      </c>
      <c r="H89" s="3"/>
      <c r="I89" s="3"/>
      <c r="J89" s="3">
        <v>16060.87</v>
      </c>
      <c r="K89" s="3"/>
      <c r="L89" s="3"/>
      <c r="M89" s="3">
        <v>15944.33</v>
      </c>
      <c r="N89" s="3">
        <v>0</v>
      </c>
      <c r="O89" s="3">
        <v>0</v>
      </c>
      <c r="P89" s="10"/>
      <c r="Q89" s="3">
        <f>SUM(OSRRefD21_13_1x)+IFERROR(SUM(OSRRefE21_13_1x),0)</f>
        <v>55165.490000000005</v>
      </c>
    </row>
    <row r="90" spans="1:17" s="42" customFormat="1" ht="15" hidden="1" customHeight="1" outlineLevel="1" x14ac:dyDescent="0.3">
      <c r="A90" s="34"/>
      <c r="B90" s="11" t="str">
        <f>CONCATENATE("          ","6254"," - ","ROYALTY &amp; COMMISSIONS")</f>
        <v xml:space="preserve">          6254 - ROYALTY &amp; COMMISSIONS</v>
      </c>
      <c r="C90" s="15"/>
      <c r="D90" s="3">
        <v>-7027.5</v>
      </c>
      <c r="E90" s="3"/>
      <c r="F90" s="3"/>
      <c r="G90" s="3"/>
      <c r="H90" s="3"/>
      <c r="I90" s="3">
        <v>0</v>
      </c>
      <c r="J90" s="3">
        <v>7389.19</v>
      </c>
      <c r="K90" s="3">
        <v>3147.46</v>
      </c>
      <c r="L90" s="3"/>
      <c r="M90" s="3">
        <v>10897.24</v>
      </c>
      <c r="N90" s="3">
        <v>1000</v>
      </c>
      <c r="O90" s="3">
        <v>0</v>
      </c>
      <c r="P90" s="10"/>
      <c r="Q90" s="3">
        <f>SUM(OSRRefD21_13_2x)+IFERROR(SUM(OSRRefE21_13_2x),0)</f>
        <v>15406.39</v>
      </c>
    </row>
    <row r="91" spans="1:17" s="42" customFormat="1" ht="15" customHeight="1" collapsed="1" x14ac:dyDescent="0.3">
      <c r="A91" s="34"/>
      <c r="B91" s="15" t="str">
        <f>CONCATENATE("     ","Subscriptions &amp; Dues                              ")</f>
        <v xml:space="preserve">     Subscriptions &amp; Dues                              </v>
      </c>
      <c r="C91" s="15"/>
      <c r="D91" s="2">
        <f>SUM(OSRRefD21_14x_0)</f>
        <v>0</v>
      </c>
      <c r="E91" s="2">
        <f>SUM(OSRRefD21_14x_1)</f>
        <v>0</v>
      </c>
      <c r="F91" s="2">
        <f>SUM(OSRRefD21_14x_2)</f>
        <v>0</v>
      </c>
      <c r="G91" s="2">
        <f>SUM(OSRRefD21_14x_3)</f>
        <v>0</v>
      </c>
      <c r="H91" s="2">
        <f>SUM(OSRRefD21_14x_4)</f>
        <v>0</v>
      </c>
      <c r="I91" s="2">
        <f>SUM(OSRRefD21_14x_5)</f>
        <v>0</v>
      </c>
      <c r="J91" s="2">
        <f>SUM(OSRRefD21_14x_6)</f>
        <v>0</v>
      </c>
      <c r="K91" s="2">
        <f>SUM(OSRRefD21_14x_7)</f>
        <v>0</v>
      </c>
      <c r="L91" s="2">
        <f>SUM(OSRRefD21_14x_8)</f>
        <v>125</v>
      </c>
      <c r="M91" s="2">
        <f>SUM(OSRRefD21_14x_9)</f>
        <v>0</v>
      </c>
      <c r="N91" s="2">
        <f>SUM(OSRRefE21_14x_0)</f>
        <v>100</v>
      </c>
      <c r="O91" s="2">
        <f>SUM(OSRRefE21_14x_1)</f>
        <v>100</v>
      </c>
      <c r="Q91" s="3">
        <f>SUM(OSRRefD20_14x)+IFERROR(SUM(OSRRefE20_14x),0)</f>
        <v>325</v>
      </c>
    </row>
    <row r="92" spans="1:17" s="42" customFormat="1" ht="15" hidden="1" customHeight="1" outlineLevel="1" x14ac:dyDescent="0.3">
      <c r="A92" s="34"/>
      <c r="B92" s="11" t="str">
        <f>CONCATENATE("          ","6258"," - ","MEMBERSHIP DUES")</f>
        <v xml:space="preserve">          6258 - MEMBERSHIP DUES</v>
      </c>
      <c r="C92" s="15"/>
      <c r="D92" s="3"/>
      <c r="E92" s="3"/>
      <c r="F92" s="3"/>
      <c r="G92" s="3"/>
      <c r="H92" s="3"/>
      <c r="I92" s="3"/>
      <c r="J92" s="3"/>
      <c r="K92" s="3"/>
      <c r="L92" s="3">
        <v>125</v>
      </c>
      <c r="M92" s="3"/>
      <c r="N92" s="3">
        <v>0</v>
      </c>
      <c r="O92" s="3">
        <v>0</v>
      </c>
      <c r="P92" s="10"/>
      <c r="Q92" s="3">
        <f>SUM(OSRRefD21_14_0x)+IFERROR(SUM(OSRRefE21_14_0x),0)</f>
        <v>125</v>
      </c>
    </row>
    <row r="93" spans="1:17" s="42" customFormat="1" ht="15" hidden="1" customHeight="1" outlineLevel="1" x14ac:dyDescent="0.3">
      <c r="A93" s="34"/>
      <c r="B93" s="11" t="str">
        <f>CONCATENATE("          ","6275"," - ","SUBSCRIPTIONS")</f>
        <v xml:space="preserve">          6275 - SUBSCRIPTIONS</v>
      </c>
      <c r="C93" s="15"/>
      <c r="D93" s="3"/>
      <c r="E93" s="3"/>
      <c r="F93" s="3"/>
      <c r="G93" s="3"/>
      <c r="H93" s="3"/>
      <c r="I93" s="3"/>
      <c r="J93" s="3"/>
      <c r="K93" s="3"/>
      <c r="L93" s="3"/>
      <c r="M93" s="3"/>
      <c r="N93" s="3">
        <v>100</v>
      </c>
      <c r="O93" s="3">
        <v>100</v>
      </c>
      <c r="P93" s="10"/>
      <c r="Q93" s="3">
        <f>SUM(OSRRefD21_14_1x)+IFERROR(SUM(OSRRefE21_14_1x),0)</f>
        <v>200</v>
      </c>
    </row>
    <row r="94" spans="1:17" s="42" customFormat="1" ht="15" customHeight="1" collapsed="1" x14ac:dyDescent="0.3">
      <c r="A94" s="34"/>
      <c r="B94" s="15" t="str">
        <f>CONCATENATE("     ","Supplies                                          ")</f>
        <v xml:space="preserve">     Supplies                                          </v>
      </c>
      <c r="C94" s="15"/>
      <c r="D94" s="2">
        <f>SUM(OSRRefD21_15x_0)</f>
        <v>2351.0099999999998</v>
      </c>
      <c r="E94" s="2">
        <f>SUM(OSRRefD21_15x_1)</f>
        <v>3030.73</v>
      </c>
      <c r="F94" s="2">
        <f>SUM(OSRRefD21_15x_2)</f>
        <v>273.81</v>
      </c>
      <c r="G94" s="2">
        <f>SUM(OSRRefD21_15x_3)</f>
        <v>1228.48</v>
      </c>
      <c r="H94" s="2">
        <f>SUM(OSRRefD21_15x_4)</f>
        <v>164.36</v>
      </c>
      <c r="I94" s="2">
        <f>SUM(OSRRefD21_15x_5)</f>
        <v>531.44000000000005</v>
      </c>
      <c r="J94" s="2">
        <f>SUM(OSRRefD21_15x_6)</f>
        <v>107.14</v>
      </c>
      <c r="K94" s="2">
        <f>SUM(OSRRefD21_15x_7)</f>
        <v>473.25</v>
      </c>
      <c r="L94" s="2">
        <f>SUM(OSRRefD21_15x_8)</f>
        <v>317.47000000000003</v>
      </c>
      <c r="M94" s="2">
        <f>SUM(OSRRefD21_15x_9)</f>
        <v>-83.679999999999993</v>
      </c>
      <c r="N94" s="2">
        <f>SUM(OSRRefE21_15x_0)</f>
        <v>75</v>
      </c>
      <c r="O94" s="2">
        <f>SUM(OSRRefE21_15x_1)</f>
        <v>75</v>
      </c>
      <c r="Q94" s="3">
        <f>SUM(OSRRefD20_15x)+IFERROR(SUM(OSRRefE20_15x),0)</f>
        <v>8544.01</v>
      </c>
    </row>
    <row r="95" spans="1:17" s="42" customFormat="1" ht="15" hidden="1" customHeight="1" outlineLevel="1" x14ac:dyDescent="0.3">
      <c r="A95" s="34"/>
      <c r="B95" s="11" t="str">
        <f>CONCATENATE("          ","6235"," - ","COVID-19 EXPENSES")</f>
        <v xml:space="preserve">          6235 - COVID-19 EXPENSES</v>
      </c>
      <c r="C95" s="15"/>
      <c r="D95" s="3"/>
      <c r="E95" s="3"/>
      <c r="F95" s="3"/>
      <c r="G95" s="3"/>
      <c r="H95" s="3"/>
      <c r="I95" s="3"/>
      <c r="J95" s="3"/>
      <c r="K95" s="3"/>
      <c r="L95" s="3"/>
      <c r="M95" s="3"/>
      <c r="N95" s="3">
        <v>0</v>
      </c>
      <c r="O95" s="3">
        <v>0</v>
      </c>
      <c r="P95" s="10"/>
      <c r="Q95" s="3">
        <f>SUM(OSRRefD21_15_0x)+IFERROR(SUM(OSRRefE21_15_0x),0)</f>
        <v>0</v>
      </c>
    </row>
    <row r="96" spans="1:17" s="42" customFormat="1" ht="15" hidden="1" customHeight="1" outlineLevel="1" x14ac:dyDescent="0.3">
      <c r="A96" s="34"/>
      <c r="B96" s="11" t="str">
        <f>CONCATENATE("          ","6241"," - ","OFFICE EXPENSE")</f>
        <v xml:space="preserve">          6241 - OFFICE EXPENSE</v>
      </c>
      <c r="C96" s="15"/>
      <c r="D96" s="3">
        <v>124.89</v>
      </c>
      <c r="E96" s="3">
        <v>56.1</v>
      </c>
      <c r="F96" s="3">
        <v>216.5</v>
      </c>
      <c r="G96" s="3">
        <v>269.39</v>
      </c>
      <c r="H96" s="3">
        <v>164.36</v>
      </c>
      <c r="I96" s="3">
        <v>251.68</v>
      </c>
      <c r="J96" s="3">
        <v>107.14</v>
      </c>
      <c r="K96" s="3">
        <v>473.25</v>
      </c>
      <c r="L96" s="3">
        <v>253.69</v>
      </c>
      <c r="M96" s="3">
        <v>25.89</v>
      </c>
      <c r="N96" s="3">
        <v>25</v>
      </c>
      <c r="O96" s="3">
        <v>25</v>
      </c>
      <c r="P96" s="10"/>
      <c r="Q96" s="3">
        <f>SUM(OSRRefD21_15_1x)+IFERROR(SUM(OSRRefE21_15_1x),0)</f>
        <v>1992.8900000000003</v>
      </c>
    </row>
    <row r="97" spans="1:17" s="42" customFormat="1" ht="15" hidden="1" customHeight="1" outlineLevel="1" x14ac:dyDescent="0.3">
      <c r="A97" s="34"/>
      <c r="B97" s="11" t="str">
        <f>CONCATENATE("          ","6245"," - ","PRINTING")</f>
        <v xml:space="preserve">          6245 - PRINTING</v>
      </c>
      <c r="C97" s="15"/>
      <c r="D97" s="3"/>
      <c r="E97" s="3"/>
      <c r="F97" s="3"/>
      <c r="G97" s="3"/>
      <c r="H97" s="3"/>
      <c r="I97" s="3">
        <v>24.75</v>
      </c>
      <c r="J97" s="3"/>
      <c r="K97" s="3"/>
      <c r="L97" s="3">
        <v>10.8</v>
      </c>
      <c r="M97" s="3"/>
      <c r="N97" s="3"/>
      <c r="O97" s="3"/>
      <c r="P97" s="10"/>
      <c r="Q97" s="3">
        <f>SUM(OSRRefD21_15_2x)+IFERROR(SUM(OSRRefE21_15_2x),0)</f>
        <v>35.549999999999997</v>
      </c>
    </row>
    <row r="98" spans="1:17" s="42" customFormat="1" ht="15" hidden="1" customHeight="1" outlineLevel="1" x14ac:dyDescent="0.3">
      <c r="A98" s="34"/>
      <c r="B98" s="11" t="str">
        <f>CONCATENATE("          ","6247"," - ","STORE SUPPLIES")</f>
        <v xml:space="preserve">          6247 - STORE SUPPLIES</v>
      </c>
      <c r="C98" s="15"/>
      <c r="D98" s="3">
        <v>2226.12</v>
      </c>
      <c r="E98" s="3">
        <v>2974.63</v>
      </c>
      <c r="F98" s="3">
        <v>57.31</v>
      </c>
      <c r="G98" s="3">
        <v>959.09</v>
      </c>
      <c r="H98" s="3"/>
      <c r="I98" s="3">
        <v>255.01</v>
      </c>
      <c r="J98" s="3"/>
      <c r="K98" s="3"/>
      <c r="L98" s="3">
        <v>52.98</v>
      </c>
      <c r="M98" s="3">
        <v>-109.57</v>
      </c>
      <c r="N98" s="3">
        <v>50</v>
      </c>
      <c r="O98" s="3">
        <v>50</v>
      </c>
      <c r="P98" s="10"/>
      <c r="Q98" s="3">
        <f>SUM(OSRRefD21_15_3x)+IFERROR(SUM(OSRRefE21_15_3x),0)</f>
        <v>6515.5700000000006</v>
      </c>
    </row>
    <row r="99" spans="1:17" s="42" customFormat="1" ht="15" customHeight="1" collapsed="1" x14ac:dyDescent="0.3">
      <c r="A99" s="34"/>
      <c r="B99" s="15" t="str">
        <f>CONCATENATE("     ","Telephone/Data Lines                              ")</f>
        <v xml:space="preserve">     Telephone/Data Lines                              </v>
      </c>
      <c r="C99" s="15"/>
      <c r="D99" s="2">
        <f>SUM(OSRRefD21_16x_0)</f>
        <v>-125.95</v>
      </c>
      <c r="E99" s="2">
        <f>SUM(OSRRefD21_16x_1)</f>
        <v>254.45</v>
      </c>
      <c r="F99" s="2">
        <f>SUM(OSRRefD21_16x_2)</f>
        <v>256.64999999999998</v>
      </c>
      <c r="G99" s="2">
        <f>SUM(OSRRefD21_16x_3)</f>
        <v>405.45</v>
      </c>
      <c r="H99" s="2">
        <f>SUM(OSRRefD21_16x_4)</f>
        <v>248.85</v>
      </c>
      <c r="I99" s="2">
        <f>SUM(OSRRefD21_16x_5)</f>
        <v>111.85</v>
      </c>
      <c r="J99" s="2">
        <f>SUM(OSRRefD21_16x_6)</f>
        <v>264.60000000000002</v>
      </c>
      <c r="K99" s="2">
        <f>SUM(OSRRefD21_16x_7)</f>
        <v>235.95</v>
      </c>
      <c r="L99" s="2">
        <f>SUM(OSRRefD21_16x_8)</f>
        <v>226.4</v>
      </c>
      <c r="M99" s="2">
        <f>SUM(OSRRefD21_16x_9)</f>
        <v>373.8</v>
      </c>
      <c r="N99" s="2">
        <f>SUM(OSRRefE21_16x_0)</f>
        <v>300</v>
      </c>
      <c r="O99" s="2">
        <f>SUM(OSRRefE21_16x_1)</f>
        <v>300</v>
      </c>
      <c r="Q99" s="3">
        <f>SUM(OSRRefD20_16x)+IFERROR(SUM(OSRRefE20_16x),0)</f>
        <v>2852.0499999999997</v>
      </c>
    </row>
    <row r="100" spans="1:17" s="42" customFormat="1" ht="15" hidden="1" customHeight="1" outlineLevel="1" x14ac:dyDescent="0.3">
      <c r="A100" s="34"/>
      <c r="B100" s="11" t="str">
        <f>CONCATENATE("          ","6309"," - ","TELEPHONE")</f>
        <v xml:space="preserve">          6309 - TELEPHONE</v>
      </c>
      <c r="C100" s="15"/>
      <c r="D100" s="3">
        <v>-125.95</v>
      </c>
      <c r="E100" s="3">
        <v>254.45</v>
      </c>
      <c r="F100" s="3">
        <v>256.64999999999998</v>
      </c>
      <c r="G100" s="3">
        <v>405.45</v>
      </c>
      <c r="H100" s="3">
        <v>248.85</v>
      </c>
      <c r="I100" s="3">
        <v>111.85</v>
      </c>
      <c r="J100" s="3">
        <v>264.60000000000002</v>
      </c>
      <c r="K100" s="3">
        <v>235.95</v>
      </c>
      <c r="L100" s="3">
        <v>226.4</v>
      </c>
      <c r="M100" s="3">
        <v>373.8</v>
      </c>
      <c r="N100" s="3">
        <v>300</v>
      </c>
      <c r="O100" s="3">
        <v>300</v>
      </c>
      <c r="P100" s="10"/>
      <c r="Q100" s="3">
        <f>SUM(OSRRefD21_16_0x)+IFERROR(SUM(OSRRefE21_16_0x),0)</f>
        <v>2852.0499999999997</v>
      </c>
    </row>
    <row r="101" spans="1:17" s="42" customFormat="1" ht="15" customHeight="1" collapsed="1" x14ac:dyDescent="0.3">
      <c r="A101" s="34"/>
      <c r="B101" s="15" t="str">
        <f>CONCATENATE("     ","Training                                          ")</f>
        <v xml:space="preserve">     Training                                          </v>
      </c>
      <c r="C101" s="15"/>
      <c r="D101" s="2">
        <f>SUM(OSRRefD21_17x_0)</f>
        <v>0</v>
      </c>
      <c r="E101" s="2">
        <f>SUM(OSRRefD21_17x_1)</f>
        <v>0</v>
      </c>
      <c r="F101" s="2">
        <f>SUM(OSRRefD21_17x_2)</f>
        <v>0</v>
      </c>
      <c r="G101" s="2">
        <f>SUM(OSRRefD21_17x_3)</f>
        <v>0</v>
      </c>
      <c r="H101" s="2">
        <f>SUM(OSRRefD21_17x_4)</f>
        <v>0</v>
      </c>
      <c r="I101" s="2">
        <f>SUM(OSRRefD21_17x_5)</f>
        <v>0</v>
      </c>
      <c r="J101" s="2">
        <f>SUM(OSRRefD21_17x_6)</f>
        <v>0</v>
      </c>
      <c r="K101" s="2">
        <f>SUM(OSRRefD21_17x_7)</f>
        <v>300</v>
      </c>
      <c r="L101" s="2">
        <f>SUM(OSRRefD21_17x_8)</f>
        <v>0</v>
      </c>
      <c r="M101" s="2">
        <f>SUM(OSRRefD21_17x_9)</f>
        <v>0</v>
      </c>
      <c r="N101" s="2">
        <f>SUM(OSRRefE21_17x_0)</f>
        <v>0</v>
      </c>
      <c r="O101" s="2">
        <f>SUM(OSRRefE21_17x_1)</f>
        <v>0</v>
      </c>
      <c r="Q101" s="3">
        <f>SUM(OSRRefD20_17x)+IFERROR(SUM(OSRRefE20_17x),0)</f>
        <v>300</v>
      </c>
    </row>
    <row r="102" spans="1:17" s="42" customFormat="1" ht="15" hidden="1" customHeight="1" outlineLevel="1" x14ac:dyDescent="0.3">
      <c r="A102" s="34"/>
      <c r="B102" s="11" t="str">
        <f>CONCATENATE("          ","6376"," - ","TRAINING")</f>
        <v xml:space="preserve">          6376 - TRAINING</v>
      </c>
      <c r="C102" s="15"/>
      <c r="D102" s="3"/>
      <c r="E102" s="3"/>
      <c r="F102" s="3"/>
      <c r="G102" s="3"/>
      <c r="H102" s="3"/>
      <c r="I102" s="3"/>
      <c r="J102" s="3"/>
      <c r="K102" s="3">
        <v>300</v>
      </c>
      <c r="L102" s="3"/>
      <c r="M102" s="3"/>
      <c r="N102" s="3"/>
      <c r="O102" s="3"/>
      <c r="P102" s="10"/>
      <c r="Q102" s="3">
        <f>SUM(OSRRefD21_17_0x)+IFERROR(SUM(OSRRefE21_17_0x),0)</f>
        <v>300</v>
      </c>
    </row>
    <row r="103" spans="1:17" s="42" customFormat="1" ht="15" customHeight="1" collapsed="1" x14ac:dyDescent="0.3">
      <c r="A103" s="34"/>
      <c r="B103" s="15" t="str">
        <f>CONCATENATE("     ","Travel                                            ")</f>
        <v xml:space="preserve">     Travel                                            </v>
      </c>
      <c r="C103" s="15"/>
      <c r="D103" s="2">
        <f>SUM(OSRRefD21_18x_0)</f>
        <v>40.32</v>
      </c>
      <c r="E103" s="2">
        <f>SUM(OSRRefD21_18x_1)</f>
        <v>0</v>
      </c>
      <c r="F103" s="2">
        <f>SUM(OSRRefD21_18x_2)</f>
        <v>0</v>
      </c>
      <c r="G103" s="2">
        <f>SUM(OSRRefD21_18x_3)</f>
        <v>0</v>
      </c>
      <c r="H103" s="2">
        <f>SUM(OSRRefD21_18x_4)</f>
        <v>0</v>
      </c>
      <c r="I103" s="2">
        <f>SUM(OSRRefD21_18x_5)</f>
        <v>0</v>
      </c>
      <c r="J103" s="2">
        <f>SUM(OSRRefD21_18x_6)</f>
        <v>0</v>
      </c>
      <c r="K103" s="2">
        <f>SUM(OSRRefD21_18x_7)</f>
        <v>0</v>
      </c>
      <c r="L103" s="2">
        <f>SUM(OSRRefD21_18x_8)</f>
        <v>37.07</v>
      </c>
      <c r="M103" s="2">
        <f>SUM(OSRRefD21_18x_9)</f>
        <v>0</v>
      </c>
      <c r="N103" s="2">
        <f>SUM(OSRRefE21_18x_0)</f>
        <v>25</v>
      </c>
      <c r="O103" s="2">
        <f>SUM(OSRRefE21_18x_1)</f>
        <v>25</v>
      </c>
      <c r="Q103" s="3">
        <f>SUM(OSRRefD20_18x)+IFERROR(SUM(OSRRefE20_18x),0)</f>
        <v>127.39</v>
      </c>
    </row>
    <row r="104" spans="1:17" s="42" customFormat="1" ht="15" hidden="1" customHeight="1" outlineLevel="1" x14ac:dyDescent="0.3">
      <c r="A104" s="34"/>
      <c r="B104" s="11" t="str">
        <f>CONCATENATE("          ","6294"," - ","TRAVEL OPERATIONAL")</f>
        <v xml:space="preserve">          6294 - TRAVEL OPERATIONAL</v>
      </c>
      <c r="C104" s="15"/>
      <c r="D104" s="3">
        <v>40.32</v>
      </c>
      <c r="E104" s="3"/>
      <c r="F104" s="3"/>
      <c r="G104" s="3"/>
      <c r="H104" s="3"/>
      <c r="I104" s="3"/>
      <c r="J104" s="3"/>
      <c r="K104" s="3"/>
      <c r="L104" s="3">
        <v>37.07</v>
      </c>
      <c r="M104" s="3"/>
      <c r="N104" s="3">
        <v>25</v>
      </c>
      <c r="O104" s="3">
        <v>25</v>
      </c>
      <c r="P104" s="10"/>
      <c r="Q104" s="3">
        <f>SUM(OSRRefD21_18_0x)+IFERROR(SUM(OSRRefE21_18_0x),0)</f>
        <v>127.39</v>
      </c>
    </row>
    <row r="105" spans="1:17" s="40" customFormat="1" ht="15" customHeight="1" x14ac:dyDescent="0.3">
      <c r="A105" s="22"/>
      <c r="B105" s="22"/>
      <c r="C105" s="2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Q105" s="2"/>
    </row>
    <row r="106" spans="1:17" s="39" customFormat="1" ht="15" customHeight="1" x14ac:dyDescent="0.3">
      <c r="A106" s="24"/>
      <c r="B106" s="17" t="s">
        <v>287</v>
      </c>
      <c r="C106" s="23"/>
      <c r="D106" s="4">
        <f>--35082.02</f>
        <v>35082.019999999997</v>
      </c>
      <c r="E106" s="4">
        <f>--56991</f>
        <v>56991</v>
      </c>
      <c r="F106" s="4">
        <f>-308.7</f>
        <v>-308.7</v>
      </c>
      <c r="G106" s="4">
        <f>--27298.8</f>
        <v>27298.799999999999</v>
      </c>
      <c r="H106" s="4">
        <f>0</f>
        <v>0</v>
      </c>
      <c r="I106" s="4">
        <f>--290</f>
        <v>290</v>
      </c>
      <c r="J106" s="4">
        <f>--39149.25</f>
        <v>39149.25</v>
      </c>
      <c r="K106" s="4">
        <f>--145</f>
        <v>145</v>
      </c>
      <c r="L106" s="4">
        <f>--175055</f>
        <v>175055</v>
      </c>
      <c r="M106" s="4">
        <f>--33877.66</f>
        <v>33877.660000000003</v>
      </c>
      <c r="N106" s="4">
        <v>250000</v>
      </c>
      <c r="O106" s="4">
        <v>208334</v>
      </c>
      <c r="Q106" s="3">
        <f>SUM(OSRRefD23_0x)+IFERROR(SUM(OSRRefE23_0x),0)</f>
        <v>825914.03</v>
      </c>
    </row>
    <row r="107" spans="1:17" ht="15" customHeight="1" x14ac:dyDescent="0.3">
      <c r="A107" s="6"/>
      <c r="B107" s="7"/>
      <c r="C107" s="7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Q107" s="4"/>
    </row>
    <row r="108" spans="1:17" s="37" customFormat="1" ht="15" customHeight="1" x14ac:dyDescent="0.3">
      <c r="A108" s="7"/>
      <c r="B108" s="18" t="s">
        <v>288</v>
      </c>
      <c r="C108" s="18"/>
      <c r="D108" s="9">
        <f t="shared" ref="D108:O108" si="2">IFERROR(+D38-D41+D106,0)</f>
        <v>13094.379999999968</v>
      </c>
      <c r="E108" s="9">
        <f t="shared" si="2"/>
        <v>206615.71</v>
      </c>
      <c r="F108" s="9">
        <f t="shared" si="2"/>
        <v>80155.320000000036</v>
      </c>
      <c r="G108" s="9">
        <f t="shared" si="2"/>
        <v>129774.58000000003</v>
      </c>
      <c r="H108" s="9">
        <f t="shared" si="2"/>
        <v>62526.680000000008</v>
      </c>
      <c r="I108" s="9">
        <f t="shared" si="2"/>
        <v>118441.56000000006</v>
      </c>
      <c r="J108" s="9">
        <f t="shared" si="2"/>
        <v>7166.129999999961</v>
      </c>
      <c r="K108" s="9">
        <f t="shared" si="2"/>
        <v>183113.57000000007</v>
      </c>
      <c r="L108" s="9">
        <f t="shared" si="2"/>
        <v>359392.98999999993</v>
      </c>
      <c r="M108" s="9">
        <f t="shared" si="2"/>
        <v>307594.28000000014</v>
      </c>
      <c r="N108" s="9">
        <f t="shared" si="2"/>
        <v>267922.92440207693</v>
      </c>
      <c r="O108" s="9">
        <f t="shared" si="2"/>
        <v>215890.00836207691</v>
      </c>
      <c r="Q108" s="9">
        <f>IFERROR(+Q38-Q41+Q106,0)</f>
        <v>1951688.1327641543</v>
      </c>
    </row>
    <row r="109" spans="1:17" s="38" customFormat="1" ht="15" customHeight="1" x14ac:dyDescent="0.3">
      <c r="B109" s="17"/>
      <c r="C109" s="17"/>
      <c r="D109" s="5">
        <f t="shared" ref="D109:O109" si="3">IFERROR(D108/D10,0)</f>
        <v>0.10556516395864463</v>
      </c>
      <c r="E109" s="5">
        <f t="shared" si="3"/>
        <v>0.52224452222695528</v>
      </c>
      <c r="F109" s="5">
        <f t="shared" si="3"/>
        <v>0.28098072204062818</v>
      </c>
      <c r="G109" s="5">
        <f t="shared" si="3"/>
        <v>0.28859529524211514</v>
      </c>
      <c r="H109" s="5">
        <f t="shared" si="3"/>
        <v>0.26505206220224309</v>
      </c>
      <c r="I109" s="5">
        <f t="shared" si="3"/>
        <v>0.31719918416287446</v>
      </c>
      <c r="J109" s="5">
        <f t="shared" si="3"/>
        <v>4.7990319605310298E-2</v>
      </c>
      <c r="K109" s="5">
        <f t="shared" si="3"/>
        <v>0.36234615182472796</v>
      </c>
      <c r="L109" s="5">
        <f t="shared" si="3"/>
        <v>0.75397826221907593</v>
      </c>
      <c r="M109" s="5">
        <f t="shared" si="3"/>
        <v>0.43564700611536</v>
      </c>
      <c r="N109" s="5">
        <f t="shared" si="3"/>
        <v>1.3290816499346525</v>
      </c>
      <c r="O109" s="5">
        <f t="shared" si="3"/>
        <v>1.1085266970746528</v>
      </c>
      <c r="P109" s="19"/>
      <c r="Q109" s="5">
        <f>IFERROR(Q108/Q10,0)</f>
        <v>0.4762929665233912</v>
      </c>
    </row>
    <row r="110" spans="1:17" ht="15" customHeight="1" x14ac:dyDescent="0.3">
      <c r="A110" s="6"/>
      <c r="B110" s="7"/>
      <c r="C110" s="6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Q110" s="4"/>
    </row>
    <row r="111" spans="1:17" s="37" customFormat="1" ht="15" customHeight="1" x14ac:dyDescent="0.3">
      <c r="A111" s="26"/>
      <c r="B111" s="7" t="s">
        <v>289</v>
      </c>
      <c r="C111" s="7"/>
      <c r="D111" s="4">
        <v>57306.31</v>
      </c>
      <c r="E111" s="4">
        <v>20349.7</v>
      </c>
      <c r="F111" s="4">
        <v>21976.04</v>
      </c>
      <c r="G111" s="4">
        <v>45391.360000000001</v>
      </c>
      <c r="H111" s="4">
        <v>32515.119999999999</v>
      </c>
      <c r="I111" s="4">
        <v>46822.879999999997</v>
      </c>
      <c r="J111" s="4">
        <v>42126.36</v>
      </c>
      <c r="K111" s="4">
        <v>47890.54</v>
      </c>
      <c r="L111" s="4">
        <v>43098.75</v>
      </c>
      <c r="M111" s="4">
        <v>61823.3</v>
      </c>
      <c r="N111" s="4">
        <v>27260</v>
      </c>
      <c r="O111" s="4">
        <v>-5369</v>
      </c>
      <c r="Q111" s="3">
        <f>SUM(OSRRefD28_0x)+IFERROR(SUM(OSRRefE28_0x),0)</f>
        <v>441191.35999999993</v>
      </c>
    </row>
    <row r="112" spans="1:17" ht="15" customHeight="1" x14ac:dyDescent="0.3">
      <c r="A112" s="6"/>
      <c r="B112" s="7"/>
      <c r="C112" s="7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Q112" s="4"/>
    </row>
    <row r="113" spans="1:17" s="37" customFormat="1" ht="15.75" customHeight="1" x14ac:dyDescent="0.3">
      <c r="A113" s="7"/>
      <c r="B113" s="18" t="s">
        <v>290</v>
      </c>
      <c r="C113" s="18"/>
      <c r="D113" s="8">
        <f t="shared" ref="D113:O113" si="4">IFERROR(+D108-D111,0)</f>
        <v>-44211.930000000029</v>
      </c>
      <c r="E113" s="8">
        <f t="shared" si="4"/>
        <v>186266.00999999998</v>
      </c>
      <c r="F113" s="8">
        <f t="shared" si="4"/>
        <v>58179.280000000035</v>
      </c>
      <c r="G113" s="8">
        <f t="shared" si="4"/>
        <v>84383.22000000003</v>
      </c>
      <c r="H113" s="8">
        <f t="shared" si="4"/>
        <v>30011.560000000009</v>
      </c>
      <c r="I113" s="8">
        <f t="shared" si="4"/>
        <v>71618.680000000051</v>
      </c>
      <c r="J113" s="8">
        <f t="shared" si="4"/>
        <v>-34960.23000000004</v>
      </c>
      <c r="K113" s="8">
        <f t="shared" si="4"/>
        <v>135223.03000000006</v>
      </c>
      <c r="L113" s="8">
        <f t="shared" si="4"/>
        <v>316294.23999999993</v>
      </c>
      <c r="M113" s="8">
        <f t="shared" si="4"/>
        <v>245770.98000000016</v>
      </c>
      <c r="N113" s="8">
        <f t="shared" si="4"/>
        <v>240662.92440207693</v>
      </c>
      <c r="O113" s="8">
        <f t="shared" si="4"/>
        <v>221259.00836207691</v>
      </c>
      <c r="Q113" s="8">
        <f>IFERROR(+Q108-Q111,0)</f>
        <v>1510496.7727641545</v>
      </c>
    </row>
    <row r="114" spans="1:17" ht="15.75" customHeight="1" x14ac:dyDescent="0.3">
      <c r="A114" s="6"/>
      <c r="B114" s="6"/>
      <c r="C114" s="6"/>
      <c r="D114" s="5">
        <f t="shared" ref="D114:O114" si="5">IFERROR(D113/D10,0)</f>
        <v>-0.35643074657816048</v>
      </c>
      <c r="E114" s="5">
        <f t="shared" si="5"/>
        <v>0.47080835914931768</v>
      </c>
      <c r="F114" s="5">
        <f t="shared" si="5"/>
        <v>0.20394474255986852</v>
      </c>
      <c r="G114" s="5">
        <f t="shared" si="5"/>
        <v>0.18765308498305566</v>
      </c>
      <c r="H114" s="5">
        <f t="shared" si="5"/>
        <v>0.12721970633825994</v>
      </c>
      <c r="I114" s="5">
        <f t="shared" si="5"/>
        <v>0.19180249624221413</v>
      </c>
      <c r="J114" s="5">
        <f t="shared" si="5"/>
        <v>-0.23412254748032316</v>
      </c>
      <c r="K114" s="5">
        <f t="shared" si="5"/>
        <v>0.26758008463588878</v>
      </c>
      <c r="L114" s="5">
        <f t="shared" si="5"/>
        <v>0.66356047018363751</v>
      </c>
      <c r="M114" s="5">
        <f t="shared" si="5"/>
        <v>0.34808641964030684</v>
      </c>
      <c r="N114" s="5">
        <f t="shared" si="5"/>
        <v>1.1938533343357736</v>
      </c>
      <c r="O114" s="5">
        <f t="shared" si="5"/>
        <v>1.136094808641039</v>
      </c>
      <c r="P114" s="19"/>
      <c r="Q114" s="5">
        <f>IFERROR(Q113/Q10,0)</f>
        <v>0.36862395008003374</v>
      </c>
    </row>
    <row r="115" spans="1:17" ht="15" customHeight="1" x14ac:dyDescent="0.3">
      <c r="A115" s="6"/>
      <c r="B115" s="6"/>
      <c r="C115" s="6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Q115" s="4"/>
    </row>
    <row r="116" spans="1:17" ht="15" customHeight="1" x14ac:dyDescent="0.3">
      <c r="A116" s="6"/>
      <c r="B116" s="6"/>
      <c r="C116" s="6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Q116" s="4"/>
    </row>
    <row r="117" spans="1:17" s="37" customFormat="1" ht="15.75" customHeight="1" x14ac:dyDescent="0.3">
      <c r="A117" s="7"/>
      <c r="B117" s="18" t="s">
        <v>293</v>
      </c>
      <c r="C117" s="18"/>
      <c r="D117" s="8">
        <f t="shared" ref="D117:O117" si="6">IFERROR(SUM(D113:D116),0)</f>
        <v>-44212.286430746608</v>
      </c>
      <c r="E117" s="8">
        <f t="shared" si="6"/>
        <v>186266.48080835913</v>
      </c>
      <c r="F117" s="8">
        <f t="shared" si="6"/>
        <v>58179.483944742598</v>
      </c>
      <c r="G117" s="8">
        <f t="shared" si="6"/>
        <v>84383.407653085014</v>
      </c>
      <c r="H117" s="8">
        <f t="shared" si="6"/>
        <v>30011.687219706346</v>
      </c>
      <c r="I117" s="8">
        <f t="shared" si="6"/>
        <v>71618.871802496287</v>
      </c>
      <c r="J117" s="8">
        <f t="shared" si="6"/>
        <v>-34960.464122547521</v>
      </c>
      <c r="K117" s="8">
        <f t="shared" si="6"/>
        <v>135223.29758008471</v>
      </c>
      <c r="L117" s="8">
        <f t="shared" si="6"/>
        <v>316294.90356047009</v>
      </c>
      <c r="M117" s="8">
        <f t="shared" si="6"/>
        <v>245771.32808641979</v>
      </c>
      <c r="N117" s="8">
        <f t="shared" si="6"/>
        <v>240664.11825541127</v>
      </c>
      <c r="O117" s="8">
        <f t="shared" si="6"/>
        <v>221260.14445688555</v>
      </c>
      <c r="Q117" s="8">
        <f>IFERROR(SUM(Q113:Q116),0)</f>
        <v>1510497.1413881045</v>
      </c>
    </row>
    <row r="118" spans="1:17" ht="15.75" customHeight="1" x14ac:dyDescent="0.3">
      <c r="A118" s="6"/>
      <c r="C118" s="6"/>
      <c r="D118" s="5">
        <f t="shared" ref="D118:O118" si="7">IFERROR(D117/D10,0)</f>
        <v>-0.35643362007581386</v>
      </c>
      <c r="E118" s="5">
        <f t="shared" si="7"/>
        <v>0.47080954917057299</v>
      </c>
      <c r="F118" s="5">
        <f t="shared" si="7"/>
        <v>0.20394545747861656</v>
      </c>
      <c r="G118" s="5">
        <f t="shared" si="7"/>
        <v>0.18765350228972286</v>
      </c>
      <c r="H118" s="5">
        <f t="shared" si="7"/>
        <v>0.12722024562557724</v>
      </c>
      <c r="I118" s="5">
        <f t="shared" si="7"/>
        <v>0.19180300990984334</v>
      </c>
      <c r="J118" s="5">
        <f t="shared" si="7"/>
        <v>-0.23412411535808708</v>
      </c>
      <c r="K118" s="5">
        <f t="shared" si="7"/>
        <v>0.26758061412485007</v>
      </c>
      <c r="L118" s="5">
        <f t="shared" si="7"/>
        <v>0.66356186228138037</v>
      </c>
      <c r="M118" s="5">
        <f t="shared" si="7"/>
        <v>0.34808691263649189</v>
      </c>
      <c r="N118" s="5">
        <f t="shared" si="7"/>
        <v>1.1938592566679627</v>
      </c>
      <c r="O118" s="5">
        <f t="shared" si="7"/>
        <v>1.1361006421274302</v>
      </c>
      <c r="P118" s="19"/>
      <c r="Q118" s="5">
        <f>IFERROR(Q117/Q10,0)</f>
        <v>0.3686240400395881</v>
      </c>
    </row>
    <row r="119" spans="1:17" ht="15" customHeight="1" x14ac:dyDescent="0.3">
      <c r="A119" s="6"/>
      <c r="B119" s="33">
        <v>44694.892891863426</v>
      </c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Q119" s="14"/>
    </row>
    <row r="120" spans="1:17" ht="15" customHeight="1" x14ac:dyDescent="0.3">
      <c r="A120" s="6"/>
      <c r="B120" s="31" t="s">
        <v>294</v>
      </c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Q120" s="14"/>
    </row>
    <row r="121" spans="1:17" ht="15" customHeight="1" x14ac:dyDescent="0.3">
      <c r="A121" s="6"/>
      <c r="B121" s="27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Q121" s="14"/>
    </row>
    <row r="122" spans="1:17" ht="15" customHeight="1" x14ac:dyDescent="0.3"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Q122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C5D52-8949-4557-A07D-AD8B7D3F7A99}">
  <sheetPr>
    <tabColor rgb="FF92D050"/>
    <outlinePr summaryBelow="0" summaryRight="0"/>
    <pageSetUpPr fitToPage="1"/>
  </sheetPr>
  <dimension ref="A2:R102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","326"," - ","2nd Street Store")</f>
        <v>Department 326 - 2nd Street Store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31810.87</v>
      </c>
      <c r="E10" s="4">
        <f>SUM(OSRRefD11x_1)</f>
        <v>35035.19</v>
      </c>
      <c r="F10" s="4">
        <f>SUM(OSRRefD11x_2)</f>
        <v>22628.5</v>
      </c>
      <c r="G10" s="4">
        <f>SUM(OSRRefD11x_3)</f>
        <v>28354.14</v>
      </c>
      <c r="H10" s="4">
        <f>SUM(OSRRefD11x_4)</f>
        <v>29384.78</v>
      </c>
      <c r="I10" s="4">
        <f>SUM(OSRRefD11x_5)</f>
        <v>57501.1</v>
      </c>
      <c r="J10" s="4">
        <f>SUM(OSRRefD11x_6)</f>
        <v>26591.43</v>
      </c>
      <c r="K10" s="4">
        <f>SUM(OSRRefD11x_7)</f>
        <v>26835.62</v>
      </c>
      <c r="L10" s="4">
        <f>SUM(OSRRefD11x_8)</f>
        <v>32632.690000000002</v>
      </c>
      <c r="M10" s="4">
        <f>SUM(OSRRefD11x_9)</f>
        <v>45642.609999999993</v>
      </c>
      <c r="N10" s="4">
        <f>SUM(OSRRefE11x_0)</f>
        <v>62718</v>
      </c>
      <c r="O10" s="4">
        <f>SUM(OSRRefE11x_1)</f>
        <v>60655</v>
      </c>
      <c r="P10" s="25"/>
      <c r="Q10" s="4">
        <f>SUM(OSRRefG11x)</f>
        <v>459789.93000000005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--32806.68</f>
        <v>32806.68</v>
      </c>
      <c r="E11" s="3">
        <f>--36008.12</f>
        <v>36008.120000000003</v>
      </c>
      <c r="F11" s="3">
        <f>--23239.34</f>
        <v>23239.34</v>
      </c>
      <c r="G11" s="3">
        <f>--29575.76</f>
        <v>29575.759999999998</v>
      </c>
      <c r="H11" s="3">
        <f>--30610.98</f>
        <v>30610.98</v>
      </c>
      <c r="I11" s="3">
        <f>--63783.79</f>
        <v>63783.79</v>
      </c>
      <c r="J11" s="3">
        <f>--29822.98</f>
        <v>29822.98</v>
      </c>
      <c r="K11" s="3">
        <f>--28550.45</f>
        <v>28550.45</v>
      </c>
      <c r="L11" s="3">
        <f>--34131.55</f>
        <v>34131.550000000003</v>
      </c>
      <c r="M11" s="3">
        <f>--48634.38</f>
        <v>48634.38</v>
      </c>
      <c r="N11" s="3">
        <v>62718</v>
      </c>
      <c r="O11" s="3">
        <v>60655</v>
      </c>
      <c r="Q11" s="3">
        <f>SUM(OSRRefD11_0x)+IFERROR(SUM(OSRRefE11_0x),0)</f>
        <v>480537.03</v>
      </c>
    </row>
    <row r="12" spans="1:18" s="39" customFormat="1" ht="15" hidden="1" customHeight="1" outlineLevel="1" x14ac:dyDescent="0.3">
      <c r="A12" s="24"/>
      <c r="B12" s="11" t="str">
        <f>CONCATENATE("          ","4100"," - ","NON-TAXABLE SALES")</f>
        <v xml:space="preserve">          4100 - NON-TAXABLE SALES</v>
      </c>
      <c r="C12" s="23"/>
      <c r="D12" s="3">
        <f>--18</f>
        <v>18</v>
      </c>
      <c r="E12" s="3">
        <f>--1.5</f>
        <v>1.5</v>
      </c>
      <c r="F12" s="3">
        <f>--6.3</f>
        <v>6.3</v>
      </c>
      <c r="G12" s="3">
        <f>--108.3</f>
        <v>108.3</v>
      </c>
      <c r="H12" s="3">
        <f>--7.8</f>
        <v>7.8</v>
      </c>
      <c r="I12" s="3">
        <f>--11.25</f>
        <v>11.25</v>
      </c>
      <c r="J12" s="3">
        <f>--1.64</f>
        <v>1.64</v>
      </c>
      <c r="K12" s="3">
        <f>--31.5</f>
        <v>31.5</v>
      </c>
      <c r="L12" s="3">
        <f>--42.71</f>
        <v>42.71</v>
      </c>
      <c r="M12" s="3">
        <f>--31.89</f>
        <v>31.89</v>
      </c>
      <c r="N12" s="3"/>
      <c r="O12" s="3"/>
      <c r="Q12" s="3">
        <f>SUM(OSRRefD11_1x)+IFERROR(SUM(OSRRefE11_1x),0)</f>
        <v>260.89</v>
      </c>
    </row>
    <row r="13" spans="1:18" s="39" customFormat="1" ht="15" hidden="1" customHeight="1" outlineLevel="1" x14ac:dyDescent="0.3">
      <c r="A13" s="24"/>
      <c r="B13" s="11" t="str">
        <f>CONCATENATE("          ","4200"," - ","TAXABLE RETURNS")</f>
        <v xml:space="preserve">          4200 - TAXABLE RETURNS</v>
      </c>
      <c r="C13" s="23"/>
      <c r="D13" s="3">
        <f>-1013.81</f>
        <v>-1013.81</v>
      </c>
      <c r="E13" s="3">
        <f>-974.43</f>
        <v>-974.43</v>
      </c>
      <c r="F13" s="3">
        <f>-617.14</f>
        <v>-617.14</v>
      </c>
      <c r="G13" s="3">
        <f>-992.14</f>
        <v>-992.14</v>
      </c>
      <c r="H13" s="3">
        <f>-1074.92</f>
        <v>-1074.92</v>
      </c>
      <c r="I13" s="3">
        <f>-2107.04</f>
        <v>-2107.04</v>
      </c>
      <c r="J13" s="3">
        <f>-2734.35</f>
        <v>-2734.35</v>
      </c>
      <c r="K13" s="3">
        <f>-1314.36</f>
        <v>-1314.36</v>
      </c>
      <c r="L13" s="3">
        <f>-970.72</f>
        <v>-970.72</v>
      </c>
      <c r="M13" s="3">
        <f>-2417.98</f>
        <v>-2417.98</v>
      </c>
      <c r="N13" s="3"/>
      <c r="O13" s="3"/>
      <c r="Q13" s="3">
        <f>SUM(OSRRefD11_2x)+IFERROR(SUM(OSRRefE11_2x),0)</f>
        <v>-14216.89</v>
      </c>
    </row>
    <row r="14" spans="1:18" s="39" customFormat="1" ht="15" hidden="1" customHeight="1" outlineLevel="1" x14ac:dyDescent="0.3">
      <c r="A14" s="24"/>
      <c r="B14" s="11" t="str">
        <f>CONCATENATE("          ","4500"," - ","SALES DISCOUNT")</f>
        <v xml:space="preserve">          4500 - SALES DISCOUNT</v>
      </c>
      <c r="C14" s="23"/>
      <c r="D14" s="3">
        <f>0</f>
        <v>0</v>
      </c>
      <c r="E14" s="3">
        <f>0</f>
        <v>0</v>
      </c>
      <c r="F14" s="3">
        <f>0</f>
        <v>0</v>
      </c>
      <c r="G14" s="3">
        <f>-337.78</f>
        <v>-337.78</v>
      </c>
      <c r="H14" s="3">
        <f>-159.08</f>
        <v>-159.08000000000001</v>
      </c>
      <c r="I14" s="3">
        <f>-4186.9</f>
        <v>-4186.8999999999996</v>
      </c>
      <c r="J14" s="3">
        <f>-498.84</f>
        <v>-498.84</v>
      </c>
      <c r="K14" s="3">
        <f>-431.97</f>
        <v>-431.97</v>
      </c>
      <c r="L14" s="3">
        <f>-570.85</f>
        <v>-570.85</v>
      </c>
      <c r="M14" s="3">
        <f>-605.68</f>
        <v>-605.67999999999995</v>
      </c>
      <c r="N14" s="3"/>
      <c r="O14" s="3"/>
      <c r="Q14" s="3">
        <f>SUM(OSRRefD11_3x)+IFERROR(SUM(OSRRefE11_3x),0)</f>
        <v>-6791.1</v>
      </c>
    </row>
    <row r="15" spans="1:18" ht="15" customHeight="1" x14ac:dyDescent="0.3">
      <c r="A15" s="6"/>
      <c r="B15" s="7"/>
      <c r="C15" s="6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Q15" s="4"/>
    </row>
    <row r="16" spans="1:18" s="39" customFormat="1" ht="15" customHeight="1" collapsed="1" x14ac:dyDescent="0.3">
      <c r="A16" s="24"/>
      <c r="B16" s="17" t="s">
        <v>284</v>
      </c>
      <c r="C16" s="23"/>
      <c r="D16" s="4">
        <f>SUM(OSRRefD14x_0)</f>
        <v>15982.33</v>
      </c>
      <c r="E16" s="4">
        <f>SUM(OSRRefD14x_1)</f>
        <v>16630.45</v>
      </c>
      <c r="F16" s="4">
        <f>SUM(OSRRefD14x_2)</f>
        <v>10953.43</v>
      </c>
      <c r="G16" s="4">
        <f>SUM(OSRRefD14x_3)</f>
        <v>12923.67</v>
      </c>
      <c r="H16" s="4">
        <f>SUM(OSRRefD14x_4)</f>
        <v>13659.65</v>
      </c>
      <c r="I16" s="4">
        <f>SUM(OSRRefD14x_5)</f>
        <v>26614.14</v>
      </c>
      <c r="J16" s="4">
        <f>SUM(OSRRefD14x_6)</f>
        <v>11016.64</v>
      </c>
      <c r="K16" s="4">
        <f>SUM(OSRRefD14x_7)</f>
        <v>12277.38</v>
      </c>
      <c r="L16" s="4">
        <f>SUM(OSRRefD14x_8)</f>
        <v>13553.29</v>
      </c>
      <c r="M16" s="4">
        <f>SUM(OSRRefD14x_9)</f>
        <v>20811.73</v>
      </c>
      <c r="N16" s="4">
        <f>SUM(OSRRefE14x_0)</f>
        <v>28223</v>
      </c>
      <c r="O16" s="4">
        <f>SUM(OSRRefE14x_1)</f>
        <v>25709</v>
      </c>
      <c r="Q16" s="4">
        <f>SUM(OSRRefG14x)</f>
        <v>208354.71000000002</v>
      </c>
    </row>
    <row r="17" spans="1:17" s="39" customFormat="1" ht="15" hidden="1" customHeight="1" outlineLevel="1" x14ac:dyDescent="0.3">
      <c r="A17" s="24"/>
      <c r="B17" s="11" t="str">
        <f>CONCATENATE("          ","5000"," - ","PURCHASES @ COST")</f>
        <v xml:space="preserve">          5000 - PURCHASES @ COST</v>
      </c>
      <c r="C17" s="23"/>
      <c r="D17" s="3"/>
      <c r="E17" s="3"/>
      <c r="F17" s="3">
        <v>666.1</v>
      </c>
      <c r="G17" s="3">
        <v>507.6</v>
      </c>
      <c r="H17" s="3"/>
      <c r="I17" s="3">
        <v>507.6</v>
      </c>
      <c r="J17" s="3">
        <v>3707.6</v>
      </c>
      <c r="K17" s="3"/>
      <c r="L17" s="3"/>
      <c r="M17" s="3">
        <v>172.75</v>
      </c>
      <c r="N17" s="3">
        <v>28223</v>
      </c>
      <c r="O17" s="3">
        <v>25709</v>
      </c>
      <c r="Q17" s="3">
        <f>SUM(OSRRefD14_0x)+IFERROR(SUM(OSRRefE14_0x),0)</f>
        <v>59493.65</v>
      </c>
    </row>
    <row r="18" spans="1:17" s="39" customFormat="1" ht="15" hidden="1" customHeight="1" outlineLevel="1" x14ac:dyDescent="0.3">
      <c r="A18" s="24"/>
      <c r="B18" s="11" t="str">
        <f>CONCATENATE("          ","5200"," - ","PURCHASES OFFSET")</f>
        <v xml:space="preserve">          5200 - PURCHASES OFFSET</v>
      </c>
      <c r="C18" s="23"/>
      <c r="D18" s="3"/>
      <c r="E18" s="3"/>
      <c r="F18" s="3">
        <v>-666.1</v>
      </c>
      <c r="G18" s="3">
        <v>-559.67999999999995</v>
      </c>
      <c r="H18" s="3"/>
      <c r="I18" s="3">
        <v>-548.51</v>
      </c>
      <c r="J18" s="3">
        <v>-3707.6</v>
      </c>
      <c r="K18" s="3"/>
      <c r="L18" s="3"/>
      <c r="M18" s="3">
        <v>-172.75</v>
      </c>
      <c r="N18" s="3"/>
      <c r="O18" s="3"/>
      <c r="Q18" s="3">
        <f>SUM(OSRRefD14_1x)+IFERROR(SUM(OSRRefE14_1x),0)</f>
        <v>-5654.6399999999994</v>
      </c>
    </row>
    <row r="19" spans="1:17" s="39" customFormat="1" ht="15" hidden="1" customHeight="1" outlineLevel="1" x14ac:dyDescent="0.3">
      <c r="A19" s="24"/>
      <c r="B19" s="11" t="str">
        <f>CONCATENATE("          ","5300"," - ","COG$ OFFSET")</f>
        <v xml:space="preserve">          5300 - COG$ OFFSET</v>
      </c>
      <c r="C19" s="23"/>
      <c r="D19" s="3">
        <v>15982.33</v>
      </c>
      <c r="E19" s="3">
        <v>16630.45</v>
      </c>
      <c r="F19" s="3">
        <v>10953.43</v>
      </c>
      <c r="G19" s="3">
        <v>12923.67</v>
      </c>
      <c r="H19" s="3">
        <v>13659.65</v>
      </c>
      <c r="I19" s="3">
        <v>26614.14</v>
      </c>
      <c r="J19" s="3">
        <v>11016.64</v>
      </c>
      <c r="K19" s="3">
        <v>12277.38</v>
      </c>
      <c r="L19" s="3">
        <v>13553.29</v>
      </c>
      <c r="M19" s="3">
        <v>20811.73</v>
      </c>
      <c r="N19" s="3"/>
      <c r="O19" s="3"/>
      <c r="Q19" s="3">
        <f>SUM(OSRRefD14_2x)+IFERROR(SUM(OSRRefE14_2x),0)</f>
        <v>154422.71000000002</v>
      </c>
    </row>
    <row r="20" spans="1:17" s="39" customFormat="1" ht="15" hidden="1" customHeight="1" outlineLevel="1" x14ac:dyDescent="0.3">
      <c r="A20" s="24"/>
      <c r="B20" s="11" t="str">
        <f>CONCATENATE("          ","5500"," - ","FREIGHT-IN")</f>
        <v xml:space="preserve">          5500 - FREIGHT-IN</v>
      </c>
      <c r="C20" s="23"/>
      <c r="D20" s="3"/>
      <c r="E20" s="3"/>
      <c r="F20" s="3"/>
      <c r="G20" s="3">
        <v>52.08</v>
      </c>
      <c r="H20" s="3"/>
      <c r="I20" s="3">
        <v>40.909999999999997</v>
      </c>
      <c r="J20" s="3"/>
      <c r="K20" s="3"/>
      <c r="L20" s="3"/>
      <c r="M20" s="3"/>
      <c r="N20" s="3"/>
      <c r="O20" s="3"/>
      <c r="Q20" s="3">
        <f>SUM(OSRRefD14_3x)+IFERROR(SUM(OSRRefE14_3x),0)</f>
        <v>92.99</v>
      </c>
    </row>
    <row r="21" spans="1:17" ht="15" customHeight="1" x14ac:dyDescent="0.3">
      <c r="A21" s="6"/>
      <c r="B21" s="7"/>
      <c r="C21" s="7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Q21" s="4"/>
    </row>
    <row r="22" spans="1:17" s="37" customFormat="1" ht="15" customHeight="1" x14ac:dyDescent="0.3">
      <c r="A22" s="7"/>
      <c r="B22" s="18" t="s">
        <v>285</v>
      </c>
      <c r="C22" s="18"/>
      <c r="D22" s="9">
        <f t="shared" ref="D22:O22" si="0">IFERROR(+D10-D16,0)</f>
        <v>15828.539999999999</v>
      </c>
      <c r="E22" s="9">
        <f t="shared" si="0"/>
        <v>18404.740000000002</v>
      </c>
      <c r="F22" s="9">
        <f t="shared" si="0"/>
        <v>11675.07</v>
      </c>
      <c r="G22" s="9">
        <f t="shared" si="0"/>
        <v>15430.47</v>
      </c>
      <c r="H22" s="9">
        <f t="shared" si="0"/>
        <v>15725.13</v>
      </c>
      <c r="I22" s="9">
        <f t="shared" si="0"/>
        <v>30886.959999999999</v>
      </c>
      <c r="J22" s="9">
        <f t="shared" si="0"/>
        <v>15574.79</v>
      </c>
      <c r="K22" s="9">
        <f t="shared" si="0"/>
        <v>14558.24</v>
      </c>
      <c r="L22" s="9">
        <f t="shared" si="0"/>
        <v>19079.400000000001</v>
      </c>
      <c r="M22" s="9">
        <f t="shared" si="0"/>
        <v>24830.879999999994</v>
      </c>
      <c r="N22" s="9">
        <f t="shared" si="0"/>
        <v>34495</v>
      </c>
      <c r="O22" s="9">
        <f t="shared" si="0"/>
        <v>34946</v>
      </c>
      <c r="Q22" s="9">
        <f>IFERROR(+Q10-Q16,0)</f>
        <v>251435.22000000003</v>
      </c>
    </row>
    <row r="23" spans="1:17" s="38" customFormat="1" ht="15" customHeight="1" x14ac:dyDescent="0.3">
      <c r="B23" s="17"/>
      <c r="C23" s="17"/>
      <c r="D23" s="5">
        <f t="shared" ref="D23:O23" si="1">IFERROR(D22/D10,0)</f>
        <v>0.49758274451468948</v>
      </c>
      <c r="E23" s="5">
        <f t="shared" si="1"/>
        <v>0.5253215409992068</v>
      </c>
      <c r="F23" s="5">
        <f t="shared" si="1"/>
        <v>0.51594537861546275</v>
      </c>
      <c r="G23" s="5">
        <f t="shared" si="1"/>
        <v>0.54420518485131275</v>
      </c>
      <c r="H23" s="5">
        <f t="shared" si="1"/>
        <v>0.53514540520636877</v>
      </c>
      <c r="I23" s="5">
        <f t="shared" si="1"/>
        <v>0.53715424574486403</v>
      </c>
      <c r="J23" s="5">
        <f t="shared" si="1"/>
        <v>0.58570712443821193</v>
      </c>
      <c r="K23" s="5">
        <f t="shared" si="1"/>
        <v>0.5424968754215479</v>
      </c>
      <c r="L23" s="5">
        <f t="shared" si="1"/>
        <v>0.58467138320500089</v>
      </c>
      <c r="M23" s="5">
        <f t="shared" si="1"/>
        <v>0.54402848566284878</v>
      </c>
      <c r="N23" s="5">
        <f t="shared" si="1"/>
        <v>0.5500015944385982</v>
      </c>
      <c r="O23" s="5">
        <f t="shared" si="1"/>
        <v>0.57614376391064215</v>
      </c>
      <c r="P23" s="19"/>
      <c r="Q23" s="5">
        <f>IFERROR(Q22/Q10,0)</f>
        <v>0.54684803558007455</v>
      </c>
    </row>
    <row r="24" spans="1:17" ht="15" customHeight="1" x14ac:dyDescent="0.3">
      <c r="A24" s="6"/>
      <c r="B24" s="7"/>
      <c r="C24" s="6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Q24" s="2"/>
    </row>
    <row r="25" spans="1:17" s="37" customFormat="1" ht="15" customHeight="1" x14ac:dyDescent="0.3">
      <c r="A25" s="7"/>
      <c r="B25" s="17" t="s">
        <v>286</v>
      </c>
      <c r="C25" s="7"/>
      <c r="D25" s="12" cm="1">
        <f t="array" ref="D25">SUM(OSRRefD20x_0)</f>
        <v>16901.780000000002</v>
      </c>
      <c r="E25" s="12" cm="1">
        <f t="array" ref="E25">SUM(OSRRefD20x_1)</f>
        <v>16384.269999999997</v>
      </c>
      <c r="F25" s="12" cm="1">
        <f t="array" ref="F25">SUM(OSRRefD20x_2)</f>
        <v>14719.13</v>
      </c>
      <c r="G25" s="12" cm="1">
        <f t="array" ref="G25">SUM(OSRRefD20x_3)</f>
        <v>17942.8</v>
      </c>
      <c r="H25" s="12" cm="1">
        <f t="array" ref="H25">SUM(OSRRefD20x_4)</f>
        <v>18259.380000000005</v>
      </c>
      <c r="I25" s="12" cm="1">
        <f t="array" ref="I25">SUM(OSRRefD20x_5)</f>
        <v>19088.78</v>
      </c>
      <c r="J25" s="12" cm="1">
        <f t="array" ref="J25">SUM(OSRRefD20x_6)</f>
        <v>18709.12</v>
      </c>
      <c r="K25" s="12" cm="1">
        <f t="array" ref="K25">SUM(OSRRefD20x_7)</f>
        <v>16264.04</v>
      </c>
      <c r="L25" s="12" cm="1">
        <f t="array" ref="L25">SUM(OSRRefD20x_8)</f>
        <v>17208.460000000003</v>
      </c>
      <c r="M25" s="12" cm="1">
        <f t="array" ref="M25">SUM(OSRRefD20x_9)</f>
        <v>21324.579999999998</v>
      </c>
      <c r="N25" s="12" cm="1">
        <f t="array" ref="N25">SUM(OSRRefE20x_0)</f>
        <v>21364.02714396923</v>
      </c>
      <c r="O25" s="12" cm="1">
        <f t="array" ref="O25">SUM(OSRRefE20x_1)</f>
        <v>21635.062167269229</v>
      </c>
      <c r="Q25" s="12" cm="1">
        <f t="array" ref="Q25">SUM(OSRRefG20x)</f>
        <v>219801.42931123849</v>
      </c>
    </row>
    <row r="26" spans="1:17" s="42" customFormat="1" ht="15" customHeight="1" collapsed="1" x14ac:dyDescent="0.3">
      <c r="A26" s="34"/>
      <c r="B26" s="15" t="str">
        <f>CONCATENATE("     ","*Benefits                                         ")</f>
        <v xml:space="preserve">     *Benefits                                         </v>
      </c>
      <c r="C26" s="15"/>
      <c r="D26" s="2">
        <f>SUM(OSRRefD21_0x_0)</f>
        <v>1300.4500000000003</v>
      </c>
      <c r="E26" s="2">
        <f>SUM(OSRRefD21_0x_1)</f>
        <v>1377.0500000000002</v>
      </c>
      <c r="F26" s="2">
        <f>SUM(OSRRefD21_0x_2)</f>
        <v>1131.5899999999999</v>
      </c>
      <c r="G26" s="2">
        <f>SUM(OSRRefD21_0x_3)</f>
        <v>1409.69</v>
      </c>
      <c r="H26" s="2">
        <f>SUM(OSRRefD21_0x_4)</f>
        <v>1203.0000000000002</v>
      </c>
      <c r="I26" s="2">
        <f>SUM(OSRRefD21_0x_5)</f>
        <v>1169.6900000000003</v>
      </c>
      <c r="J26" s="2">
        <f>SUM(OSRRefD21_0x_6)</f>
        <v>1276.6499999999999</v>
      </c>
      <c r="K26" s="2">
        <f>SUM(OSRRefD21_0x_7)</f>
        <v>1456.46</v>
      </c>
      <c r="L26" s="2">
        <f>SUM(OSRRefD21_0x_8)</f>
        <v>1267.5899999999999</v>
      </c>
      <c r="M26" s="2">
        <f>SUM(OSRRefD21_0x_9)</f>
        <v>1264.8999999999999</v>
      </c>
      <c r="N26" s="2">
        <f>SUM(OSRRefE21_0x_0)</f>
        <v>2543.991451661539</v>
      </c>
      <c r="O26" s="2">
        <f>SUM(OSRRefE21_0x_1)</f>
        <v>2726.026474961539</v>
      </c>
      <c r="Q26" s="3">
        <f>SUM(OSRRefD20_0x)+IFERROR(SUM(OSRRefE20_0x),0)</f>
        <v>18127.08792662308</v>
      </c>
    </row>
    <row r="27" spans="1:17" s="42" customFormat="1" ht="15" hidden="1" customHeight="1" outlineLevel="1" x14ac:dyDescent="0.3">
      <c r="A27" s="34"/>
      <c r="B27" s="11" t="str">
        <f>CONCATENATE("          ","6111"," - ","F.I.C.A.")</f>
        <v xml:space="preserve">          6111 - F.I.C.A.</v>
      </c>
      <c r="C27" s="15"/>
      <c r="D27" s="3">
        <v>402.97</v>
      </c>
      <c r="E27" s="3">
        <v>391.29</v>
      </c>
      <c r="F27" s="3">
        <v>152.18</v>
      </c>
      <c r="G27" s="3">
        <v>313.55</v>
      </c>
      <c r="H27" s="3">
        <v>231.52</v>
      </c>
      <c r="I27" s="3">
        <v>153.02000000000001</v>
      </c>
      <c r="J27" s="3">
        <v>202.76</v>
      </c>
      <c r="K27" s="3">
        <v>148.94999999999999</v>
      </c>
      <c r="L27" s="3">
        <v>202.01</v>
      </c>
      <c r="M27" s="3">
        <v>217.59</v>
      </c>
      <c r="N27" s="3">
        <v>592.20220896923104</v>
      </c>
      <c r="O27" s="3">
        <v>774.23723226923096</v>
      </c>
      <c r="P27" s="10"/>
      <c r="Q27" s="3">
        <f>SUM(OSRRefD21_0_0x)+IFERROR(SUM(OSRRefE21_0_0x),0)</f>
        <v>3782.2794412384619</v>
      </c>
    </row>
    <row r="28" spans="1:17" s="42" customFormat="1" ht="15" hidden="1" customHeight="1" outlineLevel="1" x14ac:dyDescent="0.3">
      <c r="A28" s="34"/>
      <c r="B28" s="11" t="str">
        <f>CONCATENATE("          ","6112"," - ","COMPENSATION INSURANCE")</f>
        <v xml:space="preserve">          6112 - COMPENSATION INSURANCE</v>
      </c>
      <c r="C28" s="15"/>
      <c r="D28" s="3">
        <v>36.79</v>
      </c>
      <c r="E28" s="3">
        <v>47.61</v>
      </c>
      <c r="F28" s="3">
        <v>73.31</v>
      </c>
      <c r="G28" s="3">
        <v>46.33</v>
      </c>
      <c r="H28" s="3">
        <v>18.3</v>
      </c>
      <c r="I28" s="3">
        <v>91.65</v>
      </c>
      <c r="J28" s="3">
        <v>49.84</v>
      </c>
      <c r="K28" s="3">
        <v>91.84</v>
      </c>
      <c r="L28" s="3">
        <v>114.14</v>
      </c>
      <c r="M28" s="3">
        <v>98.51</v>
      </c>
      <c r="N28" s="3">
        <v>157.82177999999999</v>
      </c>
      <c r="O28" s="3">
        <v>157.82177999999999</v>
      </c>
      <c r="P28" s="10"/>
      <c r="Q28" s="3">
        <f>SUM(OSRRefD21_0_1x)+IFERROR(SUM(OSRRefE21_0_1x),0)</f>
        <v>983.96356000000003</v>
      </c>
    </row>
    <row r="29" spans="1:17" s="42" customFormat="1" ht="15" hidden="1" customHeight="1" outlineLevel="1" x14ac:dyDescent="0.3">
      <c r="A29" s="34"/>
      <c r="B29" s="11" t="str">
        <f>CONCATENATE("          ","6113"," - ","GROUP INSURANCE")</f>
        <v xml:space="preserve">          6113 - GROUP INSURANCE</v>
      </c>
      <c r="C29" s="15"/>
      <c r="D29" s="3">
        <v>526.70000000000005</v>
      </c>
      <c r="E29" s="3">
        <v>526.70000000000005</v>
      </c>
      <c r="F29" s="3">
        <v>537.95000000000005</v>
      </c>
      <c r="G29" s="3">
        <v>526.70000000000005</v>
      </c>
      <c r="H29" s="3">
        <v>526.70000000000005</v>
      </c>
      <c r="I29" s="3">
        <v>526.70000000000005</v>
      </c>
      <c r="J29" s="3">
        <v>487.33</v>
      </c>
      <c r="K29" s="3">
        <v>487.33</v>
      </c>
      <c r="L29" s="3">
        <v>487.33</v>
      </c>
      <c r="M29" s="3">
        <v>487.33</v>
      </c>
      <c r="N29" s="3">
        <v>988.5</v>
      </c>
      <c r="O29" s="3">
        <v>988.5</v>
      </c>
      <c r="P29" s="10"/>
      <c r="Q29" s="3">
        <f>SUM(OSRRefD21_0_2x)+IFERROR(SUM(OSRRefE21_0_2x),0)</f>
        <v>7097.7699999999995</v>
      </c>
    </row>
    <row r="30" spans="1:17" s="42" customFormat="1" ht="15" hidden="1" customHeight="1" outlineLevel="1" x14ac:dyDescent="0.3">
      <c r="A30" s="34"/>
      <c r="B30" s="11" t="str">
        <f>CONCATENATE("          ","6114"," - ","STATE UNEMPLOYMENT INSURANCE")</f>
        <v xml:space="preserve">          6114 - STATE UNEMPLOYMENT INSURANCE</v>
      </c>
      <c r="C30" s="15"/>
      <c r="D30" s="3">
        <v>6.46</v>
      </c>
      <c r="E30" s="3">
        <v>8.36</v>
      </c>
      <c r="F30" s="3">
        <v>12.88</v>
      </c>
      <c r="G30" s="3">
        <v>8.14</v>
      </c>
      <c r="H30" s="3">
        <v>3.22</v>
      </c>
      <c r="I30" s="3">
        <v>16.100000000000001</v>
      </c>
      <c r="J30" s="3">
        <v>8.76</v>
      </c>
      <c r="K30" s="3">
        <v>16.13</v>
      </c>
      <c r="L30" s="3">
        <v>20.05</v>
      </c>
      <c r="M30" s="3">
        <v>17.309999999999999</v>
      </c>
      <c r="N30" s="3">
        <v>21.245239615384602</v>
      </c>
      <c r="O30" s="3">
        <v>21.245239615384602</v>
      </c>
      <c r="P30" s="10"/>
      <c r="Q30" s="3">
        <f>SUM(OSRRefD21_0_3x)+IFERROR(SUM(OSRRefE21_0_3x),0)</f>
        <v>159.90047923076921</v>
      </c>
    </row>
    <row r="31" spans="1:17" s="42" customFormat="1" ht="15" hidden="1" customHeight="1" outlineLevel="1" x14ac:dyDescent="0.3">
      <c r="A31" s="34"/>
      <c r="B31" s="11" t="str">
        <f>CONCATENATE("          ","6115"," - ","P.E.R.S.")</f>
        <v xml:space="preserve">          6115 - P.E.R.S.</v>
      </c>
      <c r="C31" s="15"/>
      <c r="D31" s="3">
        <v>88.89</v>
      </c>
      <c r="E31" s="3">
        <v>88.89</v>
      </c>
      <c r="F31" s="3">
        <v>88.89</v>
      </c>
      <c r="G31" s="3">
        <v>133.34</v>
      </c>
      <c r="H31" s="3">
        <v>92.45</v>
      </c>
      <c r="I31" s="3">
        <v>92.45</v>
      </c>
      <c r="J31" s="3">
        <v>92.45</v>
      </c>
      <c r="K31" s="3">
        <v>96.14</v>
      </c>
      <c r="L31" s="3">
        <v>94.85</v>
      </c>
      <c r="M31" s="3">
        <v>109.82</v>
      </c>
      <c r="N31" s="3">
        <v>206.11884615384599</v>
      </c>
      <c r="O31" s="3">
        <v>206.11884615384599</v>
      </c>
      <c r="P31" s="10"/>
      <c r="Q31" s="3">
        <f>SUM(OSRRefD21_0_4x)+IFERROR(SUM(OSRRefE21_0_4x),0)</f>
        <v>1390.4076923076921</v>
      </c>
    </row>
    <row r="32" spans="1:17" s="42" customFormat="1" ht="15" hidden="1" customHeight="1" outlineLevel="1" x14ac:dyDescent="0.3">
      <c r="A32" s="34"/>
      <c r="B32" s="11" t="str">
        <f>CONCATENATE("          ","6116"," - ","EDUCATIONAL BENEFITS")</f>
        <v xml:space="preserve">          6116 - EDUCATIONAL BENEFITS</v>
      </c>
      <c r="C32" s="15"/>
      <c r="D32" s="3"/>
      <c r="E32" s="3"/>
      <c r="F32" s="3"/>
      <c r="G32" s="3"/>
      <c r="H32" s="3"/>
      <c r="I32" s="3"/>
      <c r="J32" s="3"/>
      <c r="K32" s="3"/>
      <c r="L32" s="3"/>
      <c r="M32" s="3"/>
      <c r="N32" s="3">
        <v>0</v>
      </c>
      <c r="O32" s="3">
        <v>0</v>
      </c>
      <c r="P32" s="10"/>
      <c r="Q32" s="3">
        <f>SUM(OSRRefD21_0_5x)+IFERROR(SUM(OSRRefE21_0_5x),0)</f>
        <v>0</v>
      </c>
    </row>
    <row r="33" spans="1:17" s="42" customFormat="1" ht="15" hidden="1" customHeight="1" outlineLevel="1" x14ac:dyDescent="0.3">
      <c r="A33" s="34"/>
      <c r="B33" s="11" t="str">
        <f>CONCATENATE("          ","6118"," - ","VACATION")</f>
        <v xml:space="preserve">          6118 - VACATION</v>
      </c>
      <c r="C33" s="15"/>
      <c r="D33" s="3">
        <v>85.64</v>
      </c>
      <c r="E33" s="3">
        <v>85.64</v>
      </c>
      <c r="F33" s="3">
        <v>85.64</v>
      </c>
      <c r="G33" s="3">
        <v>128.46</v>
      </c>
      <c r="H33" s="3">
        <v>89.07</v>
      </c>
      <c r="I33" s="3">
        <v>89.07</v>
      </c>
      <c r="J33" s="3">
        <v>155.76</v>
      </c>
      <c r="K33" s="3">
        <v>251.67</v>
      </c>
      <c r="L33" s="3">
        <v>96.19</v>
      </c>
      <c r="M33" s="3">
        <v>144.28</v>
      </c>
      <c r="N33" s="3">
        <v>119.836538461538</v>
      </c>
      <c r="O33" s="3">
        <v>119.836538461538</v>
      </c>
      <c r="P33" s="10"/>
      <c r="Q33" s="3">
        <f>SUM(OSRRefD21_0_6x)+IFERROR(SUM(OSRRefE21_0_6x),0)</f>
        <v>1451.0930769230758</v>
      </c>
    </row>
    <row r="34" spans="1:17" s="42" customFormat="1" ht="15" hidden="1" customHeight="1" outlineLevel="1" x14ac:dyDescent="0.3">
      <c r="A34" s="34"/>
      <c r="B34" s="11" t="str">
        <f>CONCATENATE("          ","6119"," - ","SICK LEAVE")</f>
        <v xml:space="preserve">          6119 - SICK LEAVE</v>
      </c>
      <c r="C34" s="15"/>
      <c r="D34" s="3">
        <v>54.02</v>
      </c>
      <c r="E34" s="3">
        <v>54.02</v>
      </c>
      <c r="F34" s="3">
        <v>54.02</v>
      </c>
      <c r="G34" s="3">
        <v>81.03</v>
      </c>
      <c r="H34" s="3">
        <v>56.18</v>
      </c>
      <c r="I34" s="3">
        <v>56.18</v>
      </c>
      <c r="J34" s="3">
        <v>124.91</v>
      </c>
      <c r="K34" s="3">
        <v>212.49</v>
      </c>
      <c r="L34" s="3">
        <v>60.68</v>
      </c>
      <c r="M34" s="3">
        <v>91.01</v>
      </c>
      <c r="N34" s="3">
        <v>458.26683846153901</v>
      </c>
      <c r="O34" s="3">
        <v>458.26683846153901</v>
      </c>
      <c r="P34" s="10"/>
      <c r="Q34" s="3">
        <f>SUM(OSRRefD21_0_7x)+IFERROR(SUM(OSRRefE21_0_7x),0)</f>
        <v>1761.073676923078</v>
      </c>
    </row>
    <row r="35" spans="1:17" s="42" customFormat="1" ht="15" hidden="1" customHeight="1" outlineLevel="1" x14ac:dyDescent="0.3">
      <c r="A35" s="34"/>
      <c r="B35" s="11" t="str">
        <f>CONCATENATE("          ","6156"," - ","EMPLOYEE MEALS")</f>
        <v xml:space="preserve">          6156 - EMPLOYEE MEALS</v>
      </c>
      <c r="C35" s="15"/>
      <c r="D35" s="3">
        <v>98.98</v>
      </c>
      <c r="E35" s="3">
        <v>174.54</v>
      </c>
      <c r="F35" s="3">
        <v>126.72</v>
      </c>
      <c r="G35" s="3">
        <v>172.14</v>
      </c>
      <c r="H35" s="3">
        <v>185.56</v>
      </c>
      <c r="I35" s="3">
        <v>144.52000000000001</v>
      </c>
      <c r="J35" s="3">
        <v>154.84</v>
      </c>
      <c r="K35" s="3">
        <v>151.91</v>
      </c>
      <c r="L35" s="3">
        <v>192.34</v>
      </c>
      <c r="M35" s="3">
        <v>99.05</v>
      </c>
      <c r="N35" s="3"/>
      <c r="O35" s="3"/>
      <c r="P35" s="10"/>
      <c r="Q35" s="3">
        <f>SUM(OSRRefD21_0_8x)+IFERROR(SUM(OSRRefE21_0_8x),0)</f>
        <v>1500.6</v>
      </c>
    </row>
    <row r="36" spans="1:17" s="42" customFormat="1" ht="15" customHeight="1" collapsed="1" x14ac:dyDescent="0.3">
      <c r="A36" s="34"/>
      <c r="B36" s="15" t="str">
        <f>CONCATENATE("     ","*Payroll                                          ")</f>
        <v xml:space="preserve">     *Payroll                                          </v>
      </c>
      <c r="C36" s="15"/>
      <c r="D36" s="2">
        <f>SUM(OSRRefD21_1x_0)</f>
        <v>6539.68</v>
      </c>
      <c r="E36" s="2">
        <f>SUM(OSRRefD21_1x_1)</f>
        <v>5592.55</v>
      </c>
      <c r="F36" s="2">
        <f>SUM(OSRRefD21_1x_2)</f>
        <v>5414.35</v>
      </c>
      <c r="G36" s="2">
        <f>SUM(OSRRefD21_1x_3)</f>
        <v>7573.19</v>
      </c>
      <c r="H36" s="2">
        <f>SUM(OSRRefD21_1x_4)</f>
        <v>7344.47</v>
      </c>
      <c r="I36" s="2">
        <f>SUM(OSRRefD21_1x_5)</f>
        <v>8229.0500000000011</v>
      </c>
      <c r="J36" s="2">
        <f>SUM(OSRRefD21_1x_6)</f>
        <v>8859.5999999999985</v>
      </c>
      <c r="K36" s="2">
        <f>SUM(OSRRefD21_1x_7)</f>
        <v>6150.3600000000006</v>
      </c>
      <c r="L36" s="2">
        <f>SUM(OSRRefD21_1x_8)</f>
        <v>6890.59</v>
      </c>
      <c r="M36" s="2">
        <f>SUM(OSRRefD21_1x_9)</f>
        <v>10577.109999999999</v>
      </c>
      <c r="N36" s="2">
        <f>SUM(OSRRefE21_1x_0)</f>
        <v>9610.0356923076906</v>
      </c>
      <c r="O36" s="2">
        <f>SUM(OSRRefE21_1x_1)</f>
        <v>9610.0356923076906</v>
      </c>
      <c r="Q36" s="3">
        <f>SUM(OSRRefD20_1x)+IFERROR(SUM(OSRRefE20_1x),0)</f>
        <v>92391.021384615378</v>
      </c>
    </row>
    <row r="37" spans="1:17" s="42" customFormat="1" ht="15" hidden="1" customHeight="1" outlineLevel="1" x14ac:dyDescent="0.3">
      <c r="A37" s="34"/>
      <c r="B37" s="11" t="str">
        <f>CONCATENATE("          ","6001"," - ","ADMINISTRATIVE SALARIES")</f>
        <v xml:space="preserve">          6001 - ADMINISTRATIVE SALARIES</v>
      </c>
      <c r="C37" s="15"/>
      <c r="D37" s="3"/>
      <c r="E37" s="3"/>
      <c r="F37" s="3"/>
      <c r="G37" s="3"/>
      <c r="H37" s="3"/>
      <c r="I37" s="3"/>
      <c r="J37" s="3"/>
      <c r="K37" s="3"/>
      <c r="L37" s="3"/>
      <c r="M37" s="3"/>
      <c r="N37" s="3">
        <v>0</v>
      </c>
      <c r="O37" s="3">
        <v>0</v>
      </c>
      <c r="P37" s="10"/>
      <c r="Q37" s="3">
        <f>SUM(OSRRefD21_1_0x)+IFERROR(SUM(OSRRefE21_1_0x),0)</f>
        <v>0</v>
      </c>
    </row>
    <row r="38" spans="1:17" s="42" customFormat="1" ht="15" hidden="1" customHeight="1" outlineLevel="1" x14ac:dyDescent="0.3">
      <c r="A38" s="34"/>
      <c r="B38" s="11" t="str">
        <f>CONCATENATE("          ","6002"," - ","STAFF SALARIES")</f>
        <v xml:space="preserve">          6002 - STAFF SALARIES</v>
      </c>
      <c r="C38" s="15"/>
      <c r="D38" s="3">
        <v>1405.6</v>
      </c>
      <c r="E38" s="3">
        <v>1171.1600000000001</v>
      </c>
      <c r="F38" s="3">
        <v>1112.5999999999999</v>
      </c>
      <c r="G38" s="3">
        <v>1229.51</v>
      </c>
      <c r="H38" s="3">
        <v>1218</v>
      </c>
      <c r="I38" s="3">
        <v>1218</v>
      </c>
      <c r="J38" s="3">
        <v>1217.5</v>
      </c>
      <c r="K38" s="3">
        <v>1291.72</v>
      </c>
      <c r="L38" s="3">
        <v>1052.3499999999999</v>
      </c>
      <c r="M38" s="3">
        <v>2236.21</v>
      </c>
      <c r="N38" s="3">
        <v>2157.0576923076901</v>
      </c>
      <c r="O38" s="3">
        <v>2157.0576923076901</v>
      </c>
      <c r="P38" s="10"/>
      <c r="Q38" s="3">
        <f>SUM(OSRRefD21_1_1x)+IFERROR(SUM(OSRRefE21_1_1x),0)</f>
        <v>17466.765384615377</v>
      </c>
    </row>
    <row r="39" spans="1:17" s="42" customFormat="1" ht="15" hidden="1" customHeight="1" outlineLevel="1" x14ac:dyDescent="0.3">
      <c r="A39" s="34"/>
      <c r="B39" s="11" t="str">
        <f>CONCATENATE("          ","6003"," - ","STAFF HOURLY-9 MONTH")</f>
        <v xml:space="preserve">          6003 - STAFF HOURLY-9 MONTH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/>
      <c r="N39" s="3">
        <v>0</v>
      </c>
      <c r="O39" s="3">
        <v>0</v>
      </c>
      <c r="P39" s="10"/>
      <c r="Q39" s="3">
        <f>SUM(OSRRefD21_1_2x)+IFERROR(SUM(OSRRefE21_1_2x),0)</f>
        <v>0</v>
      </c>
    </row>
    <row r="40" spans="1:17" s="42" customFormat="1" ht="15" hidden="1" customHeight="1" outlineLevel="1" x14ac:dyDescent="0.3">
      <c r="A40" s="34"/>
      <c r="B40" s="11" t="str">
        <f>CONCATENATE("          ","6004"," - ","STAFF HOURLY")</f>
        <v xml:space="preserve">          6004 - STAFF HOURLY</v>
      </c>
      <c r="C40" s="15"/>
      <c r="D40" s="3">
        <v>231.35</v>
      </c>
      <c r="E40" s="3"/>
      <c r="F40" s="3"/>
      <c r="G40" s="3">
        <v>1715.4</v>
      </c>
      <c r="H40" s="3">
        <v>1547.39</v>
      </c>
      <c r="I40" s="3">
        <v>778.25</v>
      </c>
      <c r="J40" s="3"/>
      <c r="K40" s="3"/>
      <c r="L40" s="3"/>
      <c r="M40" s="3"/>
      <c r="N40" s="3">
        <v>5074.3680000000004</v>
      </c>
      <c r="O40" s="3">
        <v>5074.3680000000004</v>
      </c>
      <c r="P40" s="10"/>
      <c r="Q40" s="3">
        <f>SUM(OSRRefD21_1_3x)+IFERROR(SUM(OSRRefE21_1_3x),0)</f>
        <v>14421.126</v>
      </c>
    </row>
    <row r="41" spans="1:17" s="42" customFormat="1" ht="15" hidden="1" customHeight="1" outlineLevel="1" x14ac:dyDescent="0.3">
      <c r="A41" s="34"/>
      <c r="B41" s="11" t="str">
        <f>CONCATENATE("          ","6005"," - ","TEMPORARY WAGES-HOURLY")</f>
        <v xml:space="preserve">          6005 - TEMPORARY WAGES-HOURLY</v>
      </c>
      <c r="C41" s="15"/>
      <c r="D41" s="3">
        <v>1351.21</v>
      </c>
      <c r="E41" s="3">
        <v>312.44</v>
      </c>
      <c r="F41" s="3">
        <v>818.12</v>
      </c>
      <c r="G41" s="3">
        <v>690.74</v>
      </c>
      <c r="H41" s="3">
        <v>261.14</v>
      </c>
      <c r="I41" s="3"/>
      <c r="J41" s="3">
        <v>1432.43</v>
      </c>
      <c r="K41" s="3">
        <v>268</v>
      </c>
      <c r="L41" s="3">
        <v>1385.59</v>
      </c>
      <c r="M41" s="3">
        <v>1371.01</v>
      </c>
      <c r="N41" s="3">
        <v>0</v>
      </c>
      <c r="O41" s="3">
        <v>0</v>
      </c>
      <c r="P41" s="10"/>
      <c r="Q41" s="3">
        <f>SUM(OSRRefD21_1_4x)+IFERROR(SUM(OSRRefE21_1_4x),0)</f>
        <v>7890.68</v>
      </c>
    </row>
    <row r="42" spans="1:17" s="42" customFormat="1" ht="15" hidden="1" customHeight="1" outlineLevel="1" x14ac:dyDescent="0.3">
      <c r="A42" s="34"/>
      <c r="B42" s="11" t="str">
        <f>CONCATENATE("          ","6006"," - ","TEMPORARY PART TIME")</f>
        <v xml:space="preserve">          6006 - TEMPORARY PART TIME</v>
      </c>
      <c r="C42" s="15"/>
      <c r="D42" s="3"/>
      <c r="E42" s="3"/>
      <c r="F42" s="3"/>
      <c r="G42" s="3"/>
      <c r="H42" s="3"/>
      <c r="I42" s="3"/>
      <c r="J42" s="3"/>
      <c r="K42" s="3"/>
      <c r="L42" s="3"/>
      <c r="M42" s="3"/>
      <c r="N42" s="3">
        <v>0</v>
      </c>
      <c r="O42" s="3">
        <v>0</v>
      </c>
      <c r="P42" s="10"/>
      <c r="Q42" s="3">
        <f>SUM(OSRRefD21_1_5x)+IFERROR(SUM(OSRRefE21_1_5x),0)</f>
        <v>0</v>
      </c>
    </row>
    <row r="43" spans="1:17" s="42" customFormat="1" ht="15" hidden="1" customHeight="1" outlineLevel="1" x14ac:dyDescent="0.3">
      <c r="A43" s="34"/>
      <c r="B43" s="11" t="str">
        <f>CONCATENATE("          ","6007"," - ","STUDENT HOURLY")</f>
        <v xml:space="preserve">          6007 - STUDENT HOURLY</v>
      </c>
      <c r="C43" s="15"/>
      <c r="D43" s="3">
        <v>3257.77</v>
      </c>
      <c r="E43" s="3">
        <v>3961.11</v>
      </c>
      <c r="F43" s="3">
        <v>3483.63</v>
      </c>
      <c r="G43" s="3">
        <v>3937.54</v>
      </c>
      <c r="H43" s="3">
        <v>4077.49</v>
      </c>
      <c r="I43" s="3">
        <v>6026.02</v>
      </c>
      <c r="J43" s="3">
        <v>6100.62</v>
      </c>
      <c r="K43" s="3">
        <v>4590.6400000000003</v>
      </c>
      <c r="L43" s="3">
        <v>4366.1000000000004</v>
      </c>
      <c r="M43" s="3">
        <v>5741.99</v>
      </c>
      <c r="N43" s="3">
        <v>0</v>
      </c>
      <c r="O43" s="3">
        <v>2378.61</v>
      </c>
      <c r="P43" s="10"/>
      <c r="Q43" s="3">
        <f>SUM(OSRRefD21_1_6x)+IFERROR(SUM(OSRRefE21_1_6x),0)</f>
        <v>47921.52</v>
      </c>
    </row>
    <row r="44" spans="1:17" s="42" customFormat="1" ht="15" hidden="1" customHeight="1" outlineLevel="1" x14ac:dyDescent="0.3">
      <c r="A44" s="34"/>
      <c r="B44" s="11" t="str">
        <f>CONCATENATE("          ","6008"," - ","STUDENT HOURLY-FICA EXEMPT")</f>
        <v xml:space="preserve">          6008 - STUDENT HOURLY-FICA EXEMPT</v>
      </c>
      <c r="C44" s="15"/>
      <c r="D44" s="3">
        <v>293.75</v>
      </c>
      <c r="E44" s="3">
        <v>147.84</v>
      </c>
      <c r="F44" s="3"/>
      <c r="G44" s="3"/>
      <c r="H44" s="3">
        <v>240.45</v>
      </c>
      <c r="I44" s="3">
        <v>206.78</v>
      </c>
      <c r="J44" s="3">
        <v>109.05</v>
      </c>
      <c r="K44" s="3"/>
      <c r="L44" s="3">
        <v>86.55</v>
      </c>
      <c r="M44" s="3">
        <v>1227.9000000000001</v>
      </c>
      <c r="N44" s="3">
        <v>2378.61</v>
      </c>
      <c r="O44" s="3">
        <v>0</v>
      </c>
      <c r="P44" s="10"/>
      <c r="Q44" s="3">
        <f>SUM(OSRRefD21_1_7x)+IFERROR(SUM(OSRRefE21_1_7x),0)</f>
        <v>4690.93</v>
      </c>
    </row>
    <row r="45" spans="1:17" s="42" customFormat="1" ht="15" hidden="1" customHeight="1" outlineLevel="1" x14ac:dyDescent="0.3">
      <c r="A45" s="34"/>
      <c r="B45" s="11" t="str">
        <f>CONCATENATE("          ","6009"," - ","TEMPORARY-SEASONAL")</f>
        <v xml:space="preserve">          6009 - TEMPORARY-SEASONAL</v>
      </c>
      <c r="C45" s="15"/>
      <c r="D45" s="3"/>
      <c r="E45" s="3"/>
      <c r="F45" s="3"/>
      <c r="G45" s="3"/>
      <c r="H45" s="3"/>
      <c r="I45" s="3"/>
      <c r="J45" s="3"/>
      <c r="K45" s="3"/>
      <c r="L45" s="3"/>
      <c r="M45" s="3"/>
      <c r="N45" s="3">
        <v>0</v>
      </c>
      <c r="O45" s="3">
        <v>0</v>
      </c>
      <c r="P45" s="10"/>
      <c r="Q45" s="3">
        <f>SUM(OSRRefD21_1_8x)+IFERROR(SUM(OSRRefE21_1_8x),0)</f>
        <v>0</v>
      </c>
    </row>
    <row r="46" spans="1:17" s="42" customFormat="1" ht="15" hidden="1" customHeight="1" outlineLevel="1" x14ac:dyDescent="0.3">
      <c r="A46" s="34"/>
      <c r="B46" s="11" t="str">
        <f>CONCATENATE("          ","6010"," - ","GRATUITY")</f>
        <v xml:space="preserve">          6010 - GRATUITY</v>
      </c>
      <c r="C46" s="15"/>
      <c r="D46" s="3"/>
      <c r="E46" s="3"/>
      <c r="F46" s="3"/>
      <c r="G46" s="3"/>
      <c r="H46" s="3"/>
      <c r="I46" s="3"/>
      <c r="J46" s="3"/>
      <c r="K46" s="3"/>
      <c r="L46" s="3"/>
      <c r="M46" s="3"/>
      <c r="N46" s="3">
        <v>0</v>
      </c>
      <c r="O46" s="3">
        <v>0</v>
      </c>
      <c r="P46" s="10"/>
      <c r="Q46" s="3">
        <f>SUM(OSRRefD21_1_9x)+IFERROR(SUM(OSRRefE21_1_9x),0)</f>
        <v>0</v>
      </c>
    </row>
    <row r="47" spans="1:17" s="42" customFormat="1" ht="15" customHeight="1" collapsed="1" x14ac:dyDescent="0.3">
      <c r="A47" s="34"/>
      <c r="B47" s="15" t="str">
        <f>CONCATENATE("     ","Advertising/Promo                                 ")</f>
        <v xml:space="preserve">     Advertising/Promo                                 </v>
      </c>
      <c r="C47" s="15"/>
      <c r="D47" s="2">
        <f>SUM(OSRRefD21_2x_0)</f>
        <v>195</v>
      </c>
      <c r="E47" s="2">
        <f>SUM(OSRRefD21_2x_1)</f>
        <v>195</v>
      </c>
      <c r="F47" s="2">
        <f>SUM(OSRRefD21_2x_2)</f>
        <v>0</v>
      </c>
      <c r="G47" s="2">
        <f>SUM(OSRRefD21_2x_3)</f>
        <v>420.32</v>
      </c>
      <c r="H47" s="2">
        <f>SUM(OSRRefD21_2x_4)</f>
        <v>314.02999999999997</v>
      </c>
      <c r="I47" s="2">
        <f>SUM(OSRRefD21_2x_5)</f>
        <v>0</v>
      </c>
      <c r="J47" s="2">
        <f>SUM(OSRRefD21_2x_6)</f>
        <v>295</v>
      </c>
      <c r="K47" s="2">
        <f>SUM(OSRRefD21_2x_7)</f>
        <v>0</v>
      </c>
      <c r="L47" s="2">
        <f>SUM(OSRRefD21_2x_8)</f>
        <v>295</v>
      </c>
      <c r="M47" s="2">
        <f>SUM(OSRRefD21_2x_9)</f>
        <v>347.92</v>
      </c>
      <c r="N47" s="2">
        <f>SUM(OSRRefE21_2x_0)</f>
        <v>50</v>
      </c>
      <c r="O47" s="2">
        <f>SUM(OSRRefE21_2x_1)</f>
        <v>50</v>
      </c>
      <c r="Q47" s="3">
        <f>SUM(OSRRefD20_2x)+IFERROR(SUM(OSRRefE20_2x),0)</f>
        <v>2162.27</v>
      </c>
    </row>
    <row r="48" spans="1:17" s="42" customFormat="1" ht="15" hidden="1" customHeight="1" outlineLevel="1" x14ac:dyDescent="0.3">
      <c r="A48" s="34"/>
      <c r="B48" s="11" t="str">
        <f>CONCATENATE("          ","6362"," - ","ADVERTISING EXPENSE")</f>
        <v xml:space="preserve">          6362 - ADVERTISING EXPENSE</v>
      </c>
      <c r="C48" s="15"/>
      <c r="D48" s="3">
        <v>195</v>
      </c>
      <c r="E48" s="3">
        <v>195</v>
      </c>
      <c r="F48" s="3"/>
      <c r="G48" s="3">
        <v>420.32</v>
      </c>
      <c r="H48" s="3">
        <v>314.02999999999997</v>
      </c>
      <c r="I48" s="3"/>
      <c r="J48" s="3">
        <v>295</v>
      </c>
      <c r="K48" s="3"/>
      <c r="L48" s="3">
        <v>295</v>
      </c>
      <c r="M48" s="3">
        <v>347.92</v>
      </c>
      <c r="N48" s="3">
        <v>50</v>
      </c>
      <c r="O48" s="3">
        <v>50</v>
      </c>
      <c r="P48" s="10"/>
      <c r="Q48" s="3">
        <f>SUM(OSRRefD21_2_0x)+IFERROR(SUM(OSRRefE21_2_0x),0)</f>
        <v>2162.27</v>
      </c>
    </row>
    <row r="49" spans="1:17" s="42" customFormat="1" ht="15" customHeight="1" collapsed="1" x14ac:dyDescent="0.3">
      <c r="A49" s="34"/>
      <c r="B49" s="15" t="str">
        <f>CONCATENATE("     ","Bad Debts/Over/Short                              ")</f>
        <v xml:space="preserve">     Bad Debts/Over/Short                              </v>
      </c>
      <c r="C49" s="15"/>
      <c r="D49" s="2">
        <f>SUM(OSRRefD21_3x_0)</f>
        <v>0.6</v>
      </c>
      <c r="E49" s="2">
        <f>SUM(OSRRefD21_3x_1)</f>
        <v>7.0000000000000007E-2</v>
      </c>
      <c r="F49" s="2">
        <f>SUM(OSRRefD21_3x_2)</f>
        <v>1.03</v>
      </c>
      <c r="G49" s="2">
        <f>SUM(OSRRefD21_3x_3)</f>
        <v>-10.06</v>
      </c>
      <c r="H49" s="2">
        <f>SUM(OSRRefD21_3x_4)</f>
        <v>-0.66</v>
      </c>
      <c r="I49" s="2">
        <f>SUM(OSRRefD21_3x_5)</f>
        <v>-1.01</v>
      </c>
      <c r="J49" s="2">
        <f>SUM(OSRRefD21_3x_6)</f>
        <v>-3.35</v>
      </c>
      <c r="K49" s="2">
        <f>SUM(OSRRefD21_3x_7)</f>
        <v>-20.02</v>
      </c>
      <c r="L49" s="2">
        <f>SUM(OSRRefD21_3x_8)</f>
        <v>-15.08</v>
      </c>
      <c r="M49" s="2">
        <f>SUM(OSRRefD21_3x_9)</f>
        <v>-0.43</v>
      </c>
      <c r="N49" s="2">
        <f>SUM(OSRRefE21_3x_0)</f>
        <v>10</v>
      </c>
      <c r="O49" s="2">
        <f>SUM(OSRRefE21_3x_1)</f>
        <v>10</v>
      </c>
      <c r="Q49" s="3">
        <f>SUM(OSRRefD20_3x)+IFERROR(SUM(OSRRefE20_3x),0)</f>
        <v>-28.909999999999997</v>
      </c>
    </row>
    <row r="50" spans="1:17" s="42" customFormat="1" ht="15" hidden="1" customHeight="1" outlineLevel="1" x14ac:dyDescent="0.3">
      <c r="A50" s="34"/>
      <c r="B50" s="11" t="str">
        <f>CONCATENATE("          ","6272"," - ","CASH (OVER/SHORT)")</f>
        <v xml:space="preserve">          6272 - CASH (OVER/SHORT)</v>
      </c>
      <c r="C50" s="15"/>
      <c r="D50" s="3">
        <v>0.6</v>
      </c>
      <c r="E50" s="3">
        <v>7.0000000000000007E-2</v>
      </c>
      <c r="F50" s="3">
        <v>1.03</v>
      </c>
      <c r="G50" s="3">
        <v>-10.06</v>
      </c>
      <c r="H50" s="3">
        <v>-0.66</v>
      </c>
      <c r="I50" s="3">
        <v>-1.01</v>
      </c>
      <c r="J50" s="3">
        <v>-3.35</v>
      </c>
      <c r="K50" s="3">
        <v>-20.02</v>
      </c>
      <c r="L50" s="3">
        <v>-15.08</v>
      </c>
      <c r="M50" s="3">
        <v>-0.43</v>
      </c>
      <c r="N50" s="3">
        <v>10</v>
      </c>
      <c r="O50" s="3">
        <v>10</v>
      </c>
      <c r="P50" s="10"/>
      <c r="Q50" s="3">
        <f>SUM(OSRRefD21_3_0x)+IFERROR(SUM(OSRRefE21_3_0x),0)</f>
        <v>-28.909999999999997</v>
      </c>
    </row>
    <row r="51" spans="1:17" s="42" customFormat="1" ht="15" customHeight="1" collapsed="1" x14ac:dyDescent="0.3">
      <c r="A51" s="34"/>
      <c r="B51" s="15" t="str">
        <f>CONCATENATE("     ","Bank/card Fees                                    ")</f>
        <v xml:space="preserve">     Bank/card Fees                                    </v>
      </c>
      <c r="C51" s="15"/>
      <c r="D51" s="2">
        <f>SUM(OSRRefD21_4x_0)</f>
        <v>492.32</v>
      </c>
      <c r="E51" s="2">
        <f>SUM(OSRRefD21_4x_1)</f>
        <v>614.21</v>
      </c>
      <c r="F51" s="2">
        <f>SUM(OSRRefD21_4x_2)</f>
        <v>395.45</v>
      </c>
      <c r="G51" s="2">
        <f>SUM(OSRRefD21_4x_3)</f>
        <v>419.96</v>
      </c>
      <c r="H51" s="2">
        <f>SUM(OSRRefD21_4x_4)</f>
        <v>552.5</v>
      </c>
      <c r="I51" s="2">
        <f>SUM(OSRRefD21_4x_5)</f>
        <v>1000.14</v>
      </c>
      <c r="J51" s="2">
        <f>SUM(OSRRefD21_4x_6)</f>
        <v>339.5</v>
      </c>
      <c r="K51" s="2">
        <f>SUM(OSRRefD21_4x_7)</f>
        <v>452.13</v>
      </c>
      <c r="L51" s="2">
        <f>SUM(OSRRefD21_4x_8)</f>
        <v>508.74</v>
      </c>
      <c r="M51" s="2">
        <f>SUM(OSRRefD21_4x_9)</f>
        <v>570.77</v>
      </c>
      <c r="N51" s="2">
        <f>SUM(OSRRefE21_4x_0)</f>
        <v>1229</v>
      </c>
      <c r="O51" s="2">
        <f>SUM(OSRRefE21_4x_1)</f>
        <v>1118</v>
      </c>
      <c r="Q51" s="3">
        <f>SUM(OSRRefD20_4x)+IFERROR(SUM(OSRRefE20_4x),0)</f>
        <v>7692.7199999999993</v>
      </c>
    </row>
    <row r="52" spans="1:17" s="42" customFormat="1" ht="15" hidden="1" customHeight="1" outlineLevel="1" x14ac:dyDescent="0.3">
      <c r="A52" s="34"/>
      <c r="B52" s="11" t="str">
        <f>CONCATENATE("          ","6381"," - ","BANK/CREDIT CARD FEES")</f>
        <v xml:space="preserve">          6381 - BANK/CREDIT CARD FEES</v>
      </c>
      <c r="C52" s="15"/>
      <c r="D52" s="3">
        <v>492.32</v>
      </c>
      <c r="E52" s="3">
        <v>614.21</v>
      </c>
      <c r="F52" s="3">
        <v>395.45</v>
      </c>
      <c r="G52" s="3">
        <v>419.96</v>
      </c>
      <c r="H52" s="3">
        <v>552.5</v>
      </c>
      <c r="I52" s="3">
        <v>1000.14</v>
      </c>
      <c r="J52" s="3">
        <v>339.5</v>
      </c>
      <c r="K52" s="3">
        <v>452.13</v>
      </c>
      <c r="L52" s="3">
        <v>508.74</v>
      </c>
      <c r="M52" s="3">
        <v>570.77</v>
      </c>
      <c r="N52" s="3">
        <v>1229</v>
      </c>
      <c r="O52" s="3">
        <v>1118</v>
      </c>
      <c r="P52" s="10"/>
      <c r="Q52" s="3">
        <f>SUM(OSRRefD21_4_0x)+IFERROR(SUM(OSRRefE21_4_0x),0)</f>
        <v>7692.7199999999993</v>
      </c>
    </row>
    <row r="53" spans="1:17" s="42" customFormat="1" ht="15" customHeight="1" collapsed="1" x14ac:dyDescent="0.3">
      <c r="A53" s="34"/>
      <c r="B53" s="15" t="str">
        <f>CONCATENATE("     ","Employees' Appreciation                           ")</f>
        <v xml:space="preserve">     Employees' Appreciation                           </v>
      </c>
      <c r="C53" s="15"/>
      <c r="D53" s="2">
        <f>SUM(OSRRefD21_5x_0)</f>
        <v>0</v>
      </c>
      <c r="E53" s="2">
        <f>SUM(OSRRefD21_5x_1)</f>
        <v>0</v>
      </c>
      <c r="F53" s="2">
        <f>SUM(OSRRefD21_5x_2)</f>
        <v>0</v>
      </c>
      <c r="G53" s="2">
        <f>SUM(OSRRefD21_5x_3)</f>
        <v>0</v>
      </c>
      <c r="H53" s="2">
        <f>SUM(OSRRefD21_5x_4)</f>
        <v>0</v>
      </c>
      <c r="I53" s="2">
        <f>SUM(OSRRefD21_5x_5)</f>
        <v>0</v>
      </c>
      <c r="J53" s="2">
        <f>SUM(OSRRefD21_5x_6)</f>
        <v>0</v>
      </c>
      <c r="K53" s="2">
        <f>SUM(OSRRefD21_5x_7)</f>
        <v>0</v>
      </c>
      <c r="L53" s="2">
        <f>SUM(OSRRefD21_5x_8)</f>
        <v>0</v>
      </c>
      <c r="M53" s="2">
        <f>SUM(OSRRefD21_5x_9)</f>
        <v>0</v>
      </c>
      <c r="N53" s="2">
        <f>SUM(OSRRefE21_5x_0)</f>
        <v>25</v>
      </c>
      <c r="O53" s="2">
        <f>SUM(OSRRefE21_5x_1)</f>
        <v>25</v>
      </c>
      <c r="Q53" s="3">
        <f>SUM(OSRRefD20_5x)+IFERROR(SUM(OSRRefE20_5x),0)</f>
        <v>50</v>
      </c>
    </row>
    <row r="54" spans="1:17" s="42" customFormat="1" ht="15" hidden="1" customHeight="1" outlineLevel="1" x14ac:dyDescent="0.3">
      <c r="A54" s="34"/>
      <c r="B54" s="11" t="str">
        <f>CONCATENATE("          ","6277"," - ","EMPLOYEE APPRECIATION")</f>
        <v xml:space="preserve">          6277 - EMPLOYEE APPRECIATION</v>
      </c>
      <c r="C54" s="15"/>
      <c r="D54" s="3"/>
      <c r="E54" s="3"/>
      <c r="F54" s="3"/>
      <c r="G54" s="3"/>
      <c r="H54" s="3"/>
      <c r="I54" s="3"/>
      <c r="J54" s="3"/>
      <c r="K54" s="3"/>
      <c r="L54" s="3"/>
      <c r="M54" s="3"/>
      <c r="N54" s="3">
        <v>25</v>
      </c>
      <c r="O54" s="3">
        <v>25</v>
      </c>
      <c r="P54" s="10"/>
      <c r="Q54" s="3">
        <f>SUM(OSRRefD21_5_0x)+IFERROR(SUM(OSRRefE21_5_0x),0)</f>
        <v>50</v>
      </c>
    </row>
    <row r="55" spans="1:17" s="42" customFormat="1" ht="15" customHeight="1" collapsed="1" x14ac:dyDescent="0.3">
      <c r="A55" s="34"/>
      <c r="B55" s="15" t="str">
        <f>CONCATENATE("     ","General                                           ")</f>
        <v xml:space="preserve">     General                                           </v>
      </c>
      <c r="C55" s="15"/>
      <c r="D55" s="2">
        <f>SUM(OSRRefD21_6x_0)</f>
        <v>0</v>
      </c>
      <c r="E55" s="2">
        <f>SUM(OSRRefD21_6x_1)</f>
        <v>0</v>
      </c>
      <c r="F55" s="2">
        <f>SUM(OSRRefD21_6x_2)</f>
        <v>0</v>
      </c>
      <c r="G55" s="2">
        <f>SUM(OSRRefD21_6x_3)</f>
        <v>0</v>
      </c>
      <c r="H55" s="2">
        <f>SUM(OSRRefD21_6x_4)</f>
        <v>1135.0899999999999</v>
      </c>
      <c r="I55" s="2">
        <f>SUM(OSRRefD21_6x_5)</f>
        <v>160</v>
      </c>
      <c r="J55" s="2">
        <f>SUM(OSRRefD21_6x_6)</f>
        <v>0</v>
      </c>
      <c r="K55" s="2">
        <f>SUM(OSRRefD21_6x_7)</f>
        <v>0</v>
      </c>
      <c r="L55" s="2">
        <f>SUM(OSRRefD21_6x_8)</f>
        <v>119.1</v>
      </c>
      <c r="M55" s="2">
        <f>SUM(OSRRefD21_6x_9)</f>
        <v>0</v>
      </c>
      <c r="N55" s="2">
        <f>SUM(OSRRefE21_6x_0)</f>
        <v>0</v>
      </c>
      <c r="O55" s="2">
        <f>SUM(OSRRefE21_6x_1)</f>
        <v>0</v>
      </c>
      <c r="Q55" s="3">
        <f>SUM(OSRRefD20_6x)+IFERROR(SUM(OSRRefE20_6x),0)</f>
        <v>1414.1899999999998</v>
      </c>
    </row>
    <row r="56" spans="1:17" s="42" customFormat="1" ht="15" hidden="1" customHeight="1" outlineLevel="1" x14ac:dyDescent="0.3">
      <c r="A56" s="34"/>
      <c r="B56" s="11" t="str">
        <f>CONCATENATE("          ","6279"," - ","GENERAL EXPENSE")</f>
        <v xml:space="preserve">          6279 - GENERAL EXPENSE</v>
      </c>
      <c r="C56" s="15"/>
      <c r="D56" s="3"/>
      <c r="E56" s="3"/>
      <c r="F56" s="3"/>
      <c r="G56" s="3"/>
      <c r="H56" s="3">
        <v>1135.0899999999999</v>
      </c>
      <c r="I56" s="3">
        <v>160</v>
      </c>
      <c r="J56" s="3"/>
      <c r="K56" s="3"/>
      <c r="L56" s="3">
        <v>119.1</v>
      </c>
      <c r="M56" s="3"/>
      <c r="N56" s="3"/>
      <c r="O56" s="3"/>
      <c r="P56" s="10"/>
      <c r="Q56" s="3">
        <f>SUM(OSRRefD21_6_0x)+IFERROR(SUM(OSRRefE21_6_0x),0)</f>
        <v>1414.1899999999998</v>
      </c>
    </row>
    <row r="57" spans="1:17" s="42" customFormat="1" ht="15" customHeight="1" collapsed="1" x14ac:dyDescent="0.3">
      <c r="A57" s="34"/>
      <c r="B57" s="15" t="str">
        <f>CONCATENATE("     ","Insurance                                         ")</f>
        <v xml:space="preserve">     Insurance                                         </v>
      </c>
      <c r="C57" s="15"/>
      <c r="D57" s="2">
        <f>SUM(OSRRefD21_7x_0)</f>
        <v>219.08</v>
      </c>
      <c r="E57" s="2">
        <f>SUM(OSRRefD21_7x_1)</f>
        <v>219.08</v>
      </c>
      <c r="F57" s="2">
        <f>SUM(OSRRefD21_7x_2)</f>
        <v>219.08</v>
      </c>
      <c r="G57" s="2">
        <f>SUM(OSRRefD21_7x_3)</f>
        <v>219.08</v>
      </c>
      <c r="H57" s="2">
        <f>SUM(OSRRefD21_7x_4)</f>
        <v>219.08</v>
      </c>
      <c r="I57" s="2">
        <f>SUM(OSRRefD21_7x_5)</f>
        <v>219.08</v>
      </c>
      <c r="J57" s="2">
        <f>SUM(OSRRefD21_7x_6)</f>
        <v>219.08</v>
      </c>
      <c r="K57" s="2">
        <f>SUM(OSRRefD21_7x_7)</f>
        <v>219.08</v>
      </c>
      <c r="L57" s="2">
        <f>SUM(OSRRefD21_7x_8)</f>
        <v>219.08</v>
      </c>
      <c r="M57" s="2">
        <f>SUM(OSRRefD21_7x_9)</f>
        <v>219.08</v>
      </c>
      <c r="N57" s="2">
        <f>SUM(OSRRefE21_7x_0)</f>
        <v>175</v>
      </c>
      <c r="O57" s="2">
        <f>SUM(OSRRefE21_7x_1)</f>
        <v>175</v>
      </c>
      <c r="Q57" s="3">
        <f>SUM(OSRRefD20_7x)+IFERROR(SUM(OSRRefE20_7x),0)</f>
        <v>2540.7999999999997</v>
      </c>
    </row>
    <row r="58" spans="1:17" s="42" customFormat="1" ht="15" hidden="1" customHeight="1" outlineLevel="1" x14ac:dyDescent="0.3">
      <c r="A58" s="34"/>
      <c r="B58" s="11" t="str">
        <f>CONCATENATE("          ","6314"," - ","LIABILITY INSURANCE")</f>
        <v xml:space="preserve">          6314 - LIABILITY INSURANCE</v>
      </c>
      <c r="C58" s="15"/>
      <c r="D58" s="3">
        <v>219.08</v>
      </c>
      <c r="E58" s="3">
        <v>219.08</v>
      </c>
      <c r="F58" s="3">
        <v>219.08</v>
      </c>
      <c r="G58" s="3">
        <v>219.08</v>
      </c>
      <c r="H58" s="3">
        <v>219.08</v>
      </c>
      <c r="I58" s="3">
        <v>219.08</v>
      </c>
      <c r="J58" s="3">
        <v>219.08</v>
      </c>
      <c r="K58" s="3">
        <v>219.08</v>
      </c>
      <c r="L58" s="3">
        <v>219.08</v>
      </c>
      <c r="M58" s="3">
        <v>219.08</v>
      </c>
      <c r="N58" s="3">
        <v>175</v>
      </c>
      <c r="O58" s="3">
        <v>175</v>
      </c>
      <c r="P58" s="10"/>
      <c r="Q58" s="3">
        <f>SUM(OSRRefD21_7_0x)+IFERROR(SUM(OSRRefE21_7_0x),0)</f>
        <v>2540.7999999999997</v>
      </c>
    </row>
    <row r="59" spans="1:17" s="42" customFormat="1" ht="15" customHeight="1" collapsed="1" x14ac:dyDescent="0.3">
      <c r="A59" s="34"/>
      <c r="B59" s="15" t="str">
        <f>CONCATENATE("     ","Inventory Adjustment                              ")</f>
        <v xml:space="preserve">     Inventory Adjustment                              </v>
      </c>
      <c r="C59" s="15"/>
      <c r="D59" s="2">
        <f>SUM(OSRRefD21_8x_0)</f>
        <v>100</v>
      </c>
      <c r="E59" s="2">
        <f>SUM(OSRRefD21_8x_1)</f>
        <v>100</v>
      </c>
      <c r="F59" s="2">
        <f>SUM(OSRRefD21_8x_2)</f>
        <v>100</v>
      </c>
      <c r="G59" s="2">
        <f>SUM(OSRRefD21_8x_3)</f>
        <v>100</v>
      </c>
      <c r="H59" s="2">
        <f>SUM(OSRRefD21_8x_4)</f>
        <v>100</v>
      </c>
      <c r="I59" s="2">
        <f>SUM(OSRRefD21_8x_5)</f>
        <v>100</v>
      </c>
      <c r="J59" s="2">
        <f>SUM(OSRRefD21_8x_6)</f>
        <v>100</v>
      </c>
      <c r="K59" s="2">
        <f>SUM(OSRRefD21_8x_7)</f>
        <v>100</v>
      </c>
      <c r="L59" s="2">
        <f>SUM(OSRRefD21_8x_8)</f>
        <v>100</v>
      </c>
      <c r="M59" s="2">
        <f>SUM(OSRRefD21_8x_9)</f>
        <v>100</v>
      </c>
      <c r="N59" s="2">
        <f>SUM(OSRRefE21_8x_0)</f>
        <v>100</v>
      </c>
      <c r="O59" s="2">
        <f>SUM(OSRRefE21_8x_1)</f>
        <v>100</v>
      </c>
      <c r="Q59" s="3">
        <f>SUM(OSRRefD20_8x)+IFERROR(SUM(OSRRefE20_8x),0)</f>
        <v>1200</v>
      </c>
    </row>
    <row r="60" spans="1:17" s="42" customFormat="1" ht="15" hidden="1" customHeight="1" outlineLevel="1" x14ac:dyDescent="0.3">
      <c r="A60" s="34"/>
      <c r="B60" s="11" t="str">
        <f>CONCATENATE("          ","6408"," - ","INVENTORY ADJUSTMENT")</f>
        <v xml:space="preserve">          6408 - INVENTORY ADJUSTMENT</v>
      </c>
      <c r="C60" s="15"/>
      <c r="D60" s="3">
        <v>100</v>
      </c>
      <c r="E60" s="3">
        <v>100</v>
      </c>
      <c r="F60" s="3">
        <v>100</v>
      </c>
      <c r="G60" s="3">
        <v>100</v>
      </c>
      <c r="H60" s="3">
        <v>100</v>
      </c>
      <c r="I60" s="3">
        <v>100</v>
      </c>
      <c r="J60" s="3">
        <v>100</v>
      </c>
      <c r="K60" s="3">
        <v>100</v>
      </c>
      <c r="L60" s="3">
        <v>100</v>
      </c>
      <c r="M60" s="3">
        <v>100</v>
      </c>
      <c r="N60" s="3">
        <v>100</v>
      </c>
      <c r="O60" s="3">
        <v>100</v>
      </c>
      <c r="P60" s="10"/>
      <c r="Q60" s="3">
        <f>SUM(OSRRefD21_8_0x)+IFERROR(SUM(OSRRefE21_8_0x),0)</f>
        <v>1200</v>
      </c>
    </row>
    <row r="61" spans="1:17" s="42" customFormat="1" ht="15" customHeight="1" collapsed="1" x14ac:dyDescent="0.3">
      <c r="A61" s="34"/>
      <c r="B61" s="15" t="str">
        <f>CONCATENATE("     ","Professional Services                             ")</f>
        <v xml:space="preserve">     Professional Services                             </v>
      </c>
      <c r="C61" s="15"/>
      <c r="D61" s="2">
        <f>SUM(OSRRefD21_9x_0)</f>
        <v>0</v>
      </c>
      <c r="E61" s="2">
        <f>SUM(OSRRefD21_9x_1)</f>
        <v>0</v>
      </c>
      <c r="F61" s="2">
        <f>SUM(OSRRefD21_9x_2)</f>
        <v>0</v>
      </c>
      <c r="G61" s="2">
        <f>SUM(OSRRefD21_9x_3)</f>
        <v>161.46</v>
      </c>
      <c r="H61" s="2">
        <f>SUM(OSRRefD21_9x_4)</f>
        <v>0</v>
      </c>
      <c r="I61" s="2">
        <f>SUM(OSRRefD21_9x_5)</f>
        <v>0</v>
      </c>
      <c r="J61" s="2">
        <f>SUM(OSRRefD21_9x_6)</f>
        <v>0</v>
      </c>
      <c r="K61" s="2">
        <f>SUM(OSRRefD21_9x_7)</f>
        <v>0</v>
      </c>
      <c r="L61" s="2">
        <f>SUM(OSRRefD21_9x_8)</f>
        <v>0</v>
      </c>
      <c r="M61" s="2">
        <f>SUM(OSRRefD21_9x_9)</f>
        <v>0</v>
      </c>
      <c r="N61" s="2">
        <f>SUM(OSRRefE21_9x_0)</f>
        <v>0</v>
      </c>
      <c r="O61" s="2">
        <f>SUM(OSRRefE21_9x_1)</f>
        <v>0</v>
      </c>
      <c r="Q61" s="3">
        <f>SUM(OSRRefD20_9x)+IFERROR(SUM(OSRRefE20_9x),0)</f>
        <v>161.46</v>
      </c>
    </row>
    <row r="62" spans="1:17" s="42" customFormat="1" ht="15" hidden="1" customHeight="1" outlineLevel="1" x14ac:dyDescent="0.3">
      <c r="A62" s="34"/>
      <c r="B62" s="11" t="str">
        <f>CONCATENATE("          ","6336"," - ","PROFESSIONAL SERVICES")</f>
        <v xml:space="preserve">          6336 - PROFESSIONAL SERVICES</v>
      </c>
      <c r="C62" s="15"/>
      <c r="D62" s="3"/>
      <c r="E62" s="3"/>
      <c r="F62" s="3"/>
      <c r="G62" s="3">
        <v>161.46</v>
      </c>
      <c r="H62" s="3"/>
      <c r="I62" s="3"/>
      <c r="J62" s="3"/>
      <c r="K62" s="3"/>
      <c r="L62" s="3"/>
      <c r="M62" s="3"/>
      <c r="N62" s="3"/>
      <c r="O62" s="3"/>
      <c r="P62" s="10"/>
      <c r="Q62" s="3">
        <f>SUM(OSRRefD21_9_0x)+IFERROR(SUM(OSRRefE21_9_0x),0)</f>
        <v>161.46</v>
      </c>
    </row>
    <row r="63" spans="1:17" s="42" customFormat="1" ht="15" customHeight="1" collapsed="1" x14ac:dyDescent="0.3">
      <c r="A63" s="34"/>
      <c r="B63" s="15" t="str">
        <f>CONCATENATE("     ","Rent                                              ")</f>
        <v xml:space="preserve">     Rent                                              </v>
      </c>
      <c r="C63" s="15"/>
      <c r="D63" s="2">
        <f>SUM(OSRRefD21_10x_0)</f>
        <v>6900</v>
      </c>
      <c r="E63" s="2">
        <f>SUM(OSRRefD21_10x_1)</f>
        <v>6900</v>
      </c>
      <c r="F63" s="2">
        <f>SUM(OSRRefD21_10x_2)</f>
        <v>6900</v>
      </c>
      <c r="G63" s="2">
        <f>SUM(OSRRefD21_10x_3)</f>
        <v>6900</v>
      </c>
      <c r="H63" s="2">
        <f>SUM(OSRRefD21_10x_4)</f>
        <v>6900</v>
      </c>
      <c r="I63" s="2">
        <f>SUM(OSRRefD21_10x_5)</f>
        <v>6900</v>
      </c>
      <c r="J63" s="2">
        <f>SUM(OSRRefD21_10x_6)</f>
        <v>6900</v>
      </c>
      <c r="K63" s="2">
        <f>SUM(OSRRefD21_10x_7)</f>
        <v>6900</v>
      </c>
      <c r="L63" s="2">
        <f>SUM(OSRRefD21_10x_8)</f>
        <v>6900</v>
      </c>
      <c r="M63" s="2">
        <f>SUM(OSRRefD21_10x_9)</f>
        <v>6900</v>
      </c>
      <c r="N63" s="2">
        <f>SUM(OSRRefE21_10x_0)</f>
        <v>6900</v>
      </c>
      <c r="O63" s="2">
        <f>SUM(OSRRefE21_10x_1)</f>
        <v>6900</v>
      </c>
      <c r="Q63" s="3">
        <f>SUM(OSRRefD20_10x)+IFERROR(SUM(OSRRefE20_10x),0)</f>
        <v>82800</v>
      </c>
    </row>
    <row r="64" spans="1:17" s="42" customFormat="1" ht="15" hidden="1" customHeight="1" outlineLevel="1" x14ac:dyDescent="0.3">
      <c r="A64" s="34"/>
      <c r="B64" s="11" t="str">
        <f>CONCATENATE("          ","6273"," - ","RENT")</f>
        <v xml:space="preserve">          6273 - RENT</v>
      </c>
      <c r="C64" s="15"/>
      <c r="D64" s="3">
        <v>6900</v>
      </c>
      <c r="E64" s="3">
        <v>6900</v>
      </c>
      <c r="F64" s="3">
        <v>6900</v>
      </c>
      <c r="G64" s="3">
        <v>6900</v>
      </c>
      <c r="H64" s="3">
        <v>6900</v>
      </c>
      <c r="I64" s="3">
        <v>6900</v>
      </c>
      <c r="J64" s="3">
        <v>6900</v>
      </c>
      <c r="K64" s="3">
        <v>6900</v>
      </c>
      <c r="L64" s="3">
        <v>6900</v>
      </c>
      <c r="M64" s="3">
        <v>6900</v>
      </c>
      <c r="N64" s="3">
        <v>6900</v>
      </c>
      <c r="O64" s="3">
        <v>6900</v>
      </c>
      <c r="P64" s="10"/>
      <c r="Q64" s="3">
        <f>SUM(OSRRefD21_10_0x)+IFERROR(SUM(OSRRefE21_10_0x),0)</f>
        <v>82800</v>
      </c>
    </row>
    <row r="65" spans="1:17" s="42" customFormat="1" ht="15" customHeight="1" collapsed="1" x14ac:dyDescent="0.3">
      <c r="A65" s="34"/>
      <c r="B65" s="15" t="str">
        <f>CONCATENATE("     ","Repair and Maintenance                            ")</f>
        <v xml:space="preserve">     Repair and Maintenance                            </v>
      </c>
      <c r="C65" s="15"/>
      <c r="D65" s="2">
        <f>SUM(OSRRefD21_11x_0)</f>
        <v>0</v>
      </c>
      <c r="E65" s="2">
        <f>SUM(OSRRefD21_11x_1)</f>
        <v>772.82</v>
      </c>
      <c r="F65" s="2">
        <f>SUM(OSRRefD21_11x_2)</f>
        <v>230.9</v>
      </c>
      <c r="G65" s="2">
        <f>SUM(OSRRefD21_11x_3)</f>
        <v>0</v>
      </c>
      <c r="H65" s="2">
        <f>SUM(OSRRefD21_11x_4)</f>
        <v>0</v>
      </c>
      <c r="I65" s="2">
        <f>SUM(OSRRefD21_11x_5)</f>
        <v>282.92</v>
      </c>
      <c r="J65" s="2">
        <f>SUM(OSRRefD21_11x_6)</f>
        <v>0</v>
      </c>
      <c r="K65" s="2">
        <f>SUM(OSRRefD21_11x_7)</f>
        <v>0</v>
      </c>
      <c r="L65" s="2">
        <f>SUM(OSRRefD21_11x_8)</f>
        <v>232.93</v>
      </c>
      <c r="M65" s="2">
        <f>SUM(OSRRefD21_11x_9)</f>
        <v>0</v>
      </c>
      <c r="N65" s="2">
        <f>SUM(OSRRefE21_11x_0)</f>
        <v>115</v>
      </c>
      <c r="O65" s="2">
        <f>SUM(OSRRefE21_11x_1)</f>
        <v>115</v>
      </c>
      <c r="Q65" s="3">
        <f>SUM(OSRRefD20_11x)+IFERROR(SUM(OSRRefE20_11x),0)</f>
        <v>1749.5700000000002</v>
      </c>
    </row>
    <row r="66" spans="1:17" s="42" customFormat="1" ht="15" hidden="1" customHeight="1" outlineLevel="1" x14ac:dyDescent="0.3">
      <c r="A66" s="34"/>
      <c r="B66" s="11" t="str">
        <f>CONCATENATE("          ","6373"," - ","MAINTENANCE CONTRACTS")</f>
        <v xml:space="preserve">          6373 - MAINTENANCE CONTRACTS</v>
      </c>
      <c r="C66" s="15"/>
      <c r="D66" s="3"/>
      <c r="E66" s="3"/>
      <c r="F66" s="3">
        <v>230.9</v>
      </c>
      <c r="G66" s="3"/>
      <c r="H66" s="3"/>
      <c r="I66" s="3">
        <v>232.93</v>
      </c>
      <c r="J66" s="3"/>
      <c r="K66" s="3"/>
      <c r="L66" s="3">
        <v>232.93</v>
      </c>
      <c r="M66" s="3"/>
      <c r="N66" s="3">
        <v>115</v>
      </c>
      <c r="O66" s="3">
        <v>115</v>
      </c>
      <c r="P66" s="10"/>
      <c r="Q66" s="3">
        <f>SUM(OSRRefD21_11_0x)+IFERROR(SUM(OSRRefE21_11_0x),0)</f>
        <v>926.76</v>
      </c>
    </row>
    <row r="67" spans="1:17" s="42" customFormat="1" ht="15" hidden="1" customHeight="1" outlineLevel="1" x14ac:dyDescent="0.3">
      <c r="A67" s="34"/>
      <c r="B67" s="11" t="str">
        <f>CONCATENATE("          ","6375"," - ","OUTSIDE REPAIRS &amp; MAINTENANCE")</f>
        <v xml:space="preserve">          6375 - OUTSIDE REPAIRS &amp; MAINTENANCE</v>
      </c>
      <c r="C67" s="15"/>
      <c r="D67" s="3"/>
      <c r="E67" s="3">
        <v>772.82</v>
      </c>
      <c r="F67" s="3"/>
      <c r="G67" s="3"/>
      <c r="H67" s="3"/>
      <c r="I67" s="3">
        <v>49.99</v>
      </c>
      <c r="J67" s="3"/>
      <c r="K67" s="3"/>
      <c r="L67" s="3"/>
      <c r="M67" s="3"/>
      <c r="N67" s="3"/>
      <c r="O67" s="3"/>
      <c r="P67" s="10"/>
      <c r="Q67" s="3">
        <f>SUM(OSRRefD21_11_1x)+IFERROR(SUM(OSRRefE21_11_1x),0)</f>
        <v>822.81000000000006</v>
      </c>
    </row>
    <row r="68" spans="1:17" s="42" customFormat="1" ht="15" customHeight="1" collapsed="1" x14ac:dyDescent="0.3">
      <c r="A68" s="34"/>
      <c r="B68" s="15" t="str">
        <f>CONCATENATE("     ","Services                                          ")</f>
        <v xml:space="preserve">     Services                                          </v>
      </c>
      <c r="C68" s="15"/>
      <c r="D68" s="2">
        <f>SUM(OSRRefD21_12x_0)</f>
        <v>155.59</v>
      </c>
      <c r="E68" s="2">
        <f>SUM(OSRRefD21_12x_1)</f>
        <v>162.72</v>
      </c>
      <c r="F68" s="2">
        <f>SUM(OSRRefD21_12x_2)</f>
        <v>162.72</v>
      </c>
      <c r="G68" s="2">
        <f>SUM(OSRRefD21_12x_3)</f>
        <v>162.72</v>
      </c>
      <c r="H68" s="2">
        <f>SUM(OSRRefD21_12x_4)</f>
        <v>162.72</v>
      </c>
      <c r="I68" s="2">
        <f>SUM(OSRRefD21_12x_5)</f>
        <v>223.45</v>
      </c>
      <c r="J68" s="2">
        <f>SUM(OSRRefD21_12x_6)</f>
        <v>101.98999999999998</v>
      </c>
      <c r="K68" s="2">
        <f>SUM(OSRRefD21_12x_7)</f>
        <v>223.45</v>
      </c>
      <c r="L68" s="2">
        <f>SUM(OSRRefD21_12x_8)</f>
        <v>223.45</v>
      </c>
      <c r="M68" s="2">
        <f>SUM(OSRRefD21_12x_9)</f>
        <v>73.75</v>
      </c>
      <c r="N68" s="2">
        <f>SUM(OSRRefE21_12x_0)</f>
        <v>60</v>
      </c>
      <c r="O68" s="2">
        <f>SUM(OSRRefE21_12x_1)</f>
        <v>120</v>
      </c>
      <c r="Q68" s="3">
        <f>SUM(OSRRefD20_12x)+IFERROR(SUM(OSRRefE20_12x),0)</f>
        <v>1832.5600000000002</v>
      </c>
    </row>
    <row r="69" spans="1:17" s="42" customFormat="1" ht="15" hidden="1" customHeight="1" outlineLevel="1" x14ac:dyDescent="0.3">
      <c r="A69" s="34"/>
      <c r="B69" s="11" t="str">
        <f>CONCATENATE("          ","6284"," - ","TRASH REMOVAL EXPENSE")</f>
        <v xml:space="preserve">          6284 - TRASH REMOVAL EXPENSE</v>
      </c>
      <c r="C69" s="15"/>
      <c r="D69" s="3">
        <v>142.57</v>
      </c>
      <c r="E69" s="3">
        <v>149.69999999999999</v>
      </c>
      <c r="F69" s="3">
        <v>149.69999999999999</v>
      </c>
      <c r="G69" s="3">
        <v>149.69999999999999</v>
      </c>
      <c r="H69" s="3">
        <v>149.69999999999999</v>
      </c>
      <c r="I69" s="3">
        <v>149.69999999999999</v>
      </c>
      <c r="J69" s="3">
        <v>149.69999999999999</v>
      </c>
      <c r="K69" s="3">
        <v>149.69999999999999</v>
      </c>
      <c r="L69" s="3">
        <v>149.69999999999999</v>
      </c>
      <c r="M69" s="3"/>
      <c r="N69" s="3">
        <v>60</v>
      </c>
      <c r="O69" s="3">
        <v>120</v>
      </c>
      <c r="P69" s="10"/>
      <c r="Q69" s="3">
        <f>SUM(OSRRefD21_12_0x)+IFERROR(SUM(OSRRefE21_12_0x),0)</f>
        <v>1520.17</v>
      </c>
    </row>
    <row r="70" spans="1:17" s="42" customFormat="1" ht="15" hidden="1" customHeight="1" outlineLevel="1" x14ac:dyDescent="0.3">
      <c r="A70" s="34"/>
      <c r="B70" s="11" t="str">
        <f>CONCATENATE("          ","6285"," - ","JANITORIAL SERVICES")</f>
        <v xml:space="preserve">          6285 - JANITORIAL SERVICES</v>
      </c>
      <c r="C70" s="15"/>
      <c r="D70" s="3">
        <v>13.02</v>
      </c>
      <c r="E70" s="3">
        <v>13.02</v>
      </c>
      <c r="F70" s="3">
        <v>13.02</v>
      </c>
      <c r="G70" s="3">
        <v>13.02</v>
      </c>
      <c r="H70" s="3">
        <v>13.02</v>
      </c>
      <c r="I70" s="3">
        <v>73.75</v>
      </c>
      <c r="J70" s="3">
        <v>-47.71</v>
      </c>
      <c r="K70" s="3">
        <v>73.75</v>
      </c>
      <c r="L70" s="3">
        <v>73.75</v>
      </c>
      <c r="M70" s="3">
        <v>73.75</v>
      </c>
      <c r="N70" s="3"/>
      <c r="O70" s="3"/>
      <c r="P70" s="10"/>
      <c r="Q70" s="3">
        <f>SUM(OSRRefD21_12_1x)+IFERROR(SUM(OSRRefE21_12_1x),0)</f>
        <v>312.39</v>
      </c>
    </row>
    <row r="71" spans="1:17" s="42" customFormat="1" ht="15" customHeight="1" collapsed="1" x14ac:dyDescent="0.3">
      <c r="A71" s="34"/>
      <c r="B71" s="15" t="str">
        <f>CONCATENATE("     ","Subscriptions &amp; Dues                              ")</f>
        <v xml:space="preserve">     Subscriptions &amp; Dues                              </v>
      </c>
      <c r="C71" s="15"/>
      <c r="D71" s="2">
        <f>SUM(OSRRefD21_13x_0)</f>
        <v>0</v>
      </c>
      <c r="E71" s="2">
        <f>SUM(OSRRefD21_13x_1)</f>
        <v>0</v>
      </c>
      <c r="F71" s="2">
        <f>SUM(OSRRefD21_13x_2)</f>
        <v>0</v>
      </c>
      <c r="G71" s="2">
        <f>SUM(OSRRefD21_13x_3)</f>
        <v>0</v>
      </c>
      <c r="H71" s="2">
        <f>SUM(OSRRefD21_13x_4)</f>
        <v>0</v>
      </c>
      <c r="I71" s="2">
        <f>SUM(OSRRefD21_13x_5)</f>
        <v>0</v>
      </c>
      <c r="J71" s="2">
        <f>SUM(OSRRefD21_13x_6)</f>
        <v>0</v>
      </c>
      <c r="K71" s="2">
        <f>SUM(OSRRefD21_13x_7)</f>
        <v>0</v>
      </c>
      <c r="L71" s="2">
        <f>SUM(OSRRefD21_13x_8)</f>
        <v>0</v>
      </c>
      <c r="M71" s="2">
        <f>SUM(OSRRefD21_13x_9)</f>
        <v>0</v>
      </c>
      <c r="N71" s="2">
        <f>SUM(OSRRefE21_13x_0)</f>
        <v>81</v>
      </c>
      <c r="O71" s="2">
        <f>SUM(OSRRefE21_13x_1)</f>
        <v>261</v>
      </c>
      <c r="Q71" s="3">
        <f>SUM(OSRRefD20_13x)+IFERROR(SUM(OSRRefE20_13x),0)</f>
        <v>342</v>
      </c>
    </row>
    <row r="72" spans="1:17" s="42" customFormat="1" ht="15" hidden="1" customHeight="1" outlineLevel="1" x14ac:dyDescent="0.3">
      <c r="A72" s="34"/>
      <c r="B72" s="11" t="str">
        <f>CONCATENATE("          ","6258"," - ","MEMBERSHIP DUES")</f>
        <v xml:space="preserve">          6258 - MEMBERSHIP DUES</v>
      </c>
      <c r="C72" s="15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>
        <v>200</v>
      </c>
      <c r="P72" s="10"/>
      <c r="Q72" s="3">
        <f>SUM(OSRRefD21_13_0x)+IFERROR(SUM(OSRRefE21_13_0x),0)</f>
        <v>200</v>
      </c>
    </row>
    <row r="73" spans="1:17" s="42" customFormat="1" ht="15" hidden="1" customHeight="1" outlineLevel="1" x14ac:dyDescent="0.3">
      <c r="A73" s="34"/>
      <c r="B73" s="11" t="str">
        <f>CONCATENATE("          ","6275"," - ","SUBSCRIPTIONS")</f>
        <v xml:space="preserve">          6275 - SUBSCRIPTIONS</v>
      </c>
      <c r="C73" s="15"/>
      <c r="D73" s="3"/>
      <c r="E73" s="3"/>
      <c r="F73" s="3"/>
      <c r="G73" s="3"/>
      <c r="H73" s="3"/>
      <c r="I73" s="3"/>
      <c r="J73" s="3"/>
      <c r="K73" s="3"/>
      <c r="L73" s="3"/>
      <c r="M73" s="3"/>
      <c r="N73" s="3">
        <v>81</v>
      </c>
      <c r="O73" s="3">
        <v>61</v>
      </c>
      <c r="P73" s="10"/>
      <c r="Q73" s="3">
        <f>SUM(OSRRefD21_13_1x)+IFERROR(SUM(OSRRefE21_13_1x),0)</f>
        <v>142</v>
      </c>
    </row>
    <row r="74" spans="1:17" s="42" customFormat="1" ht="15" customHeight="1" collapsed="1" x14ac:dyDescent="0.3">
      <c r="A74" s="34"/>
      <c r="B74" s="15" t="str">
        <f>CONCATENATE("     ","Supplies                                          ")</f>
        <v xml:space="preserve">     Supplies                                          </v>
      </c>
      <c r="C74" s="15"/>
      <c r="D74" s="2">
        <f>SUM(OSRRefD21_14x_0)</f>
        <v>421.90999999999997</v>
      </c>
      <c r="E74" s="2">
        <f>SUM(OSRRefD21_14x_1)</f>
        <v>115.64</v>
      </c>
      <c r="F74" s="2">
        <f>SUM(OSRRefD21_14x_2)</f>
        <v>51.18</v>
      </c>
      <c r="G74" s="2">
        <f>SUM(OSRRefD21_14x_3)</f>
        <v>0</v>
      </c>
      <c r="H74" s="2">
        <f>SUM(OSRRefD21_14x_4)</f>
        <v>-2.2999999999999998</v>
      </c>
      <c r="I74" s="2">
        <f>SUM(OSRRefD21_14x_5)</f>
        <v>420.29999999999995</v>
      </c>
      <c r="J74" s="2">
        <f>SUM(OSRRefD21_14x_6)</f>
        <v>29.9</v>
      </c>
      <c r="K74" s="2">
        <f>SUM(OSRRefD21_14x_7)</f>
        <v>0</v>
      </c>
      <c r="L74" s="2">
        <f>SUM(OSRRefD21_14x_8)</f>
        <v>9.3000000000000007</v>
      </c>
      <c r="M74" s="2">
        <f>SUM(OSRRefD21_14x_9)</f>
        <v>706.82</v>
      </c>
      <c r="N74" s="2">
        <f>SUM(OSRRefE21_14x_0)</f>
        <v>70</v>
      </c>
      <c r="O74" s="2">
        <f>SUM(OSRRefE21_14x_1)</f>
        <v>30</v>
      </c>
      <c r="Q74" s="3">
        <f>SUM(OSRRefD20_14x)+IFERROR(SUM(OSRRefE20_14x),0)</f>
        <v>1852.75</v>
      </c>
    </row>
    <row r="75" spans="1:17" s="42" customFormat="1" ht="15" hidden="1" customHeight="1" outlineLevel="1" x14ac:dyDescent="0.3">
      <c r="A75" s="34"/>
      <c r="B75" s="11" t="str">
        <f>CONCATENATE("          ","6237"," - ","JANITORIAL SUPPLIES")</f>
        <v xml:space="preserve">          6237 - JANITORIAL SUPPLIES</v>
      </c>
      <c r="C75" s="15"/>
      <c r="D75" s="3"/>
      <c r="E75" s="3">
        <v>77.17</v>
      </c>
      <c r="F75" s="3"/>
      <c r="G75" s="3"/>
      <c r="H75" s="3"/>
      <c r="I75" s="3"/>
      <c r="J75" s="3"/>
      <c r="K75" s="3"/>
      <c r="L75" s="3"/>
      <c r="M75" s="3">
        <v>692.84</v>
      </c>
      <c r="N75" s="3">
        <v>50</v>
      </c>
      <c r="O75" s="3">
        <v>10</v>
      </c>
      <c r="P75" s="10"/>
      <c r="Q75" s="3">
        <f>SUM(OSRRefD21_14_0x)+IFERROR(SUM(OSRRefE21_14_0x),0)</f>
        <v>830.01</v>
      </c>
    </row>
    <row r="76" spans="1:17" s="42" customFormat="1" ht="15" hidden="1" customHeight="1" outlineLevel="1" x14ac:dyDescent="0.3">
      <c r="A76" s="34"/>
      <c r="B76" s="11" t="str">
        <f>CONCATENATE("          ","6241"," - ","OFFICE EXPENSE")</f>
        <v xml:space="preserve">          6241 - OFFICE EXPENSE</v>
      </c>
      <c r="C76" s="15"/>
      <c r="D76" s="3">
        <v>6.59</v>
      </c>
      <c r="E76" s="3">
        <v>38.47</v>
      </c>
      <c r="F76" s="3">
        <v>51.18</v>
      </c>
      <c r="G76" s="3"/>
      <c r="H76" s="3"/>
      <c r="I76" s="3">
        <v>233.82</v>
      </c>
      <c r="J76" s="3">
        <v>29.9</v>
      </c>
      <c r="K76" s="3"/>
      <c r="L76" s="3">
        <v>4.8499999999999996</v>
      </c>
      <c r="M76" s="3">
        <v>13.98</v>
      </c>
      <c r="N76" s="3">
        <v>20</v>
      </c>
      <c r="O76" s="3">
        <v>20</v>
      </c>
      <c r="P76" s="10"/>
      <c r="Q76" s="3">
        <f>SUM(OSRRefD21_14_1x)+IFERROR(SUM(OSRRefE21_14_1x),0)</f>
        <v>418.79</v>
      </c>
    </row>
    <row r="77" spans="1:17" s="42" customFormat="1" ht="15" hidden="1" customHeight="1" outlineLevel="1" x14ac:dyDescent="0.3">
      <c r="A77" s="34"/>
      <c r="B77" s="11" t="str">
        <f>CONCATENATE("          ","6247"," - ","STORE SUPPLIES")</f>
        <v xml:space="preserve">          6247 - STORE SUPPLIES</v>
      </c>
      <c r="C77" s="15"/>
      <c r="D77" s="3">
        <v>415.32</v>
      </c>
      <c r="E77" s="3"/>
      <c r="F77" s="3"/>
      <c r="G77" s="3"/>
      <c r="H77" s="3">
        <v>-2.2999999999999998</v>
      </c>
      <c r="I77" s="3">
        <v>186.48</v>
      </c>
      <c r="J77" s="3"/>
      <c r="K77" s="3"/>
      <c r="L77" s="3">
        <v>4.45</v>
      </c>
      <c r="M77" s="3"/>
      <c r="N77" s="3"/>
      <c r="O77" s="3"/>
      <c r="P77" s="10"/>
      <c r="Q77" s="3">
        <f>SUM(OSRRefD21_14_2x)+IFERROR(SUM(OSRRefE21_14_2x),0)</f>
        <v>603.95000000000005</v>
      </c>
    </row>
    <row r="78" spans="1:17" s="42" customFormat="1" ht="15" customHeight="1" collapsed="1" x14ac:dyDescent="0.3">
      <c r="A78" s="34"/>
      <c r="B78" s="15" t="str">
        <f>CONCATENATE("     ","Telephone/Data Lines                              ")</f>
        <v xml:space="preserve">     Telephone/Data Lines                              </v>
      </c>
      <c r="C78" s="15"/>
      <c r="D78" s="2">
        <f>SUM(OSRRefD21_15x_0)</f>
        <v>392.84</v>
      </c>
      <c r="E78" s="2">
        <f>SUM(OSRRefD21_15x_1)</f>
        <v>297.83999999999997</v>
      </c>
      <c r="F78" s="2">
        <f>SUM(OSRRefD21_15x_2)</f>
        <v>47.84</v>
      </c>
      <c r="G78" s="2">
        <f>SUM(OSRRefD21_15x_3)</f>
        <v>547.84</v>
      </c>
      <c r="H78" s="2">
        <f>SUM(OSRRefD21_15x_4)</f>
        <v>297.83999999999997</v>
      </c>
      <c r="I78" s="2">
        <f>SUM(OSRRefD21_15x_5)</f>
        <v>297.83999999999997</v>
      </c>
      <c r="J78" s="2">
        <f>SUM(OSRRefD21_15x_6)</f>
        <v>297.83999999999997</v>
      </c>
      <c r="K78" s="2">
        <f>SUM(OSRRefD21_15x_7)</f>
        <v>310.19</v>
      </c>
      <c r="L78" s="2">
        <f>SUM(OSRRefD21_15x_8)</f>
        <v>310.19</v>
      </c>
      <c r="M78" s="2">
        <f>SUM(OSRRefD21_15x_9)</f>
        <v>310.33999999999997</v>
      </c>
      <c r="N78" s="2">
        <f>SUM(OSRRefE21_15x_0)</f>
        <v>250</v>
      </c>
      <c r="O78" s="2">
        <f>SUM(OSRRefE21_15x_1)</f>
        <v>250</v>
      </c>
      <c r="Q78" s="3">
        <f>SUM(OSRRefD20_15x)+IFERROR(SUM(OSRRefE20_15x),0)</f>
        <v>3610.6000000000004</v>
      </c>
    </row>
    <row r="79" spans="1:17" s="42" customFormat="1" ht="15" hidden="1" customHeight="1" outlineLevel="1" x14ac:dyDescent="0.3">
      <c r="A79" s="34"/>
      <c r="B79" s="11" t="str">
        <f>CONCATENATE("          ","6309"," - ","TELEPHONE")</f>
        <v xml:space="preserve">          6309 - TELEPHONE</v>
      </c>
      <c r="C79" s="15"/>
      <c r="D79" s="3">
        <v>392.84</v>
      </c>
      <c r="E79" s="3">
        <v>297.83999999999997</v>
      </c>
      <c r="F79" s="3">
        <v>47.84</v>
      </c>
      <c r="G79" s="3">
        <v>547.84</v>
      </c>
      <c r="H79" s="3">
        <v>297.83999999999997</v>
      </c>
      <c r="I79" s="3">
        <v>297.83999999999997</v>
      </c>
      <c r="J79" s="3">
        <v>297.83999999999997</v>
      </c>
      <c r="K79" s="3">
        <v>310.19</v>
      </c>
      <c r="L79" s="3">
        <v>310.19</v>
      </c>
      <c r="M79" s="3">
        <v>310.33999999999997</v>
      </c>
      <c r="N79" s="3">
        <v>250</v>
      </c>
      <c r="O79" s="3">
        <v>250</v>
      </c>
      <c r="P79" s="10"/>
      <c r="Q79" s="3">
        <f>SUM(OSRRefD21_15_0x)+IFERROR(SUM(OSRRefE21_15_0x),0)</f>
        <v>3610.6000000000004</v>
      </c>
    </row>
    <row r="80" spans="1:17" s="42" customFormat="1" ht="15" customHeight="1" collapsed="1" x14ac:dyDescent="0.3">
      <c r="A80" s="34"/>
      <c r="B80" s="15" t="str">
        <f>CONCATENATE("     ","Travel                                            ")</f>
        <v xml:space="preserve">     Travel                                            </v>
      </c>
      <c r="C80" s="15"/>
      <c r="D80" s="2">
        <f>SUM(OSRRefD21_16x_0)</f>
        <v>147.82</v>
      </c>
      <c r="E80" s="2">
        <f>SUM(OSRRefD21_16x_1)</f>
        <v>0</v>
      </c>
      <c r="F80" s="2">
        <f>SUM(OSRRefD21_16x_2)</f>
        <v>27.39</v>
      </c>
      <c r="G80" s="2">
        <f>SUM(OSRRefD21_16x_3)</f>
        <v>0</v>
      </c>
      <c r="H80" s="2">
        <f>SUM(OSRRefD21_16x_4)</f>
        <v>0</v>
      </c>
      <c r="I80" s="2">
        <f>SUM(OSRRefD21_16x_5)</f>
        <v>24.4</v>
      </c>
      <c r="J80" s="2">
        <f>SUM(OSRRefD21_16x_6)</f>
        <v>0</v>
      </c>
      <c r="K80" s="2">
        <f>SUM(OSRRefD21_16x_7)</f>
        <v>116.74</v>
      </c>
      <c r="L80" s="2">
        <f>SUM(OSRRefD21_16x_8)</f>
        <v>9.74</v>
      </c>
      <c r="M80" s="2">
        <f>SUM(OSRRefD21_16x_9)</f>
        <v>0</v>
      </c>
      <c r="N80" s="2">
        <f>SUM(OSRRefE21_16x_0)</f>
        <v>25</v>
      </c>
      <c r="O80" s="2">
        <f>SUM(OSRRefE21_16x_1)</f>
        <v>25</v>
      </c>
      <c r="Q80" s="3">
        <f>SUM(OSRRefD20_16x)+IFERROR(SUM(OSRRefE20_16x),0)</f>
        <v>376.09</v>
      </c>
    </row>
    <row r="81" spans="1:17" s="42" customFormat="1" ht="15" hidden="1" customHeight="1" outlineLevel="1" x14ac:dyDescent="0.3">
      <c r="A81" s="34"/>
      <c r="B81" s="11" t="str">
        <f>CONCATENATE("          ","6294"," - ","TRAVEL OPERATIONAL")</f>
        <v xml:space="preserve">          6294 - TRAVEL OPERATIONAL</v>
      </c>
      <c r="C81" s="15"/>
      <c r="D81" s="3">
        <v>147.82</v>
      </c>
      <c r="E81" s="3"/>
      <c r="F81" s="3">
        <v>27.39</v>
      </c>
      <c r="G81" s="3"/>
      <c r="H81" s="3"/>
      <c r="I81" s="3">
        <v>24.4</v>
      </c>
      <c r="J81" s="3"/>
      <c r="K81" s="3">
        <v>116.74</v>
      </c>
      <c r="L81" s="3">
        <v>9.74</v>
      </c>
      <c r="M81" s="3"/>
      <c r="N81" s="3"/>
      <c r="O81" s="3"/>
      <c r="P81" s="10"/>
      <c r="Q81" s="3">
        <f>SUM(OSRRefD21_16_0x)+IFERROR(SUM(OSRRefE21_16_0x),0)</f>
        <v>326.08999999999997</v>
      </c>
    </row>
    <row r="82" spans="1:17" s="42" customFormat="1" ht="15" hidden="1" customHeight="1" outlineLevel="1" x14ac:dyDescent="0.3">
      <c r="A82" s="34"/>
      <c r="B82" s="11" t="str">
        <f>CONCATENATE("          ","6298"," - ","VEHICLE MILEAGE")</f>
        <v xml:space="preserve">          6298 - VEHICLE MILEAGE</v>
      </c>
      <c r="C82" s="15"/>
      <c r="D82" s="3"/>
      <c r="E82" s="3"/>
      <c r="F82" s="3"/>
      <c r="G82" s="3"/>
      <c r="H82" s="3"/>
      <c r="I82" s="3"/>
      <c r="J82" s="3"/>
      <c r="K82" s="3"/>
      <c r="L82" s="3"/>
      <c r="M82" s="3"/>
      <c r="N82" s="3">
        <v>25</v>
      </c>
      <c r="O82" s="3">
        <v>25</v>
      </c>
      <c r="P82" s="10"/>
      <c r="Q82" s="3">
        <f>SUM(OSRRefD21_16_1x)+IFERROR(SUM(OSRRefE21_16_1x),0)</f>
        <v>50</v>
      </c>
    </row>
    <row r="83" spans="1:17" s="42" customFormat="1" ht="15" customHeight="1" collapsed="1" x14ac:dyDescent="0.3">
      <c r="A83" s="34"/>
      <c r="B83" s="15" t="str">
        <f>CONCATENATE("     ","Utilities                                         ")</f>
        <v xml:space="preserve">     Utilities                                         </v>
      </c>
      <c r="C83" s="15"/>
      <c r="D83" s="2">
        <f>SUM(OSRRefD21_17x_0)</f>
        <v>36.49</v>
      </c>
      <c r="E83" s="2">
        <f>SUM(OSRRefD21_17x_1)</f>
        <v>37.29</v>
      </c>
      <c r="F83" s="2">
        <f>SUM(OSRRefD21_17x_2)</f>
        <v>37.6</v>
      </c>
      <c r="G83" s="2">
        <f>SUM(OSRRefD21_17x_3)</f>
        <v>38.6</v>
      </c>
      <c r="H83" s="2">
        <f>SUM(OSRRefD21_17x_4)</f>
        <v>33.61</v>
      </c>
      <c r="I83" s="2">
        <f>SUM(OSRRefD21_17x_5)</f>
        <v>62.92</v>
      </c>
      <c r="J83" s="2">
        <f>SUM(OSRRefD21_17x_6)</f>
        <v>292.91000000000003</v>
      </c>
      <c r="K83" s="2">
        <f>SUM(OSRRefD21_17x_7)</f>
        <v>355.65</v>
      </c>
      <c r="L83" s="2">
        <f>SUM(OSRRefD21_17x_8)</f>
        <v>137.83000000000001</v>
      </c>
      <c r="M83" s="2">
        <f>SUM(OSRRefD21_17x_9)</f>
        <v>254.32</v>
      </c>
      <c r="N83" s="2">
        <f>SUM(OSRRefE21_17x_0)</f>
        <v>120</v>
      </c>
      <c r="O83" s="2">
        <f>SUM(OSRRefE21_17x_1)</f>
        <v>120</v>
      </c>
      <c r="Q83" s="3">
        <f>SUM(OSRRefD20_17x)+IFERROR(SUM(OSRRefE20_17x),0)</f>
        <v>1527.22</v>
      </c>
    </row>
    <row r="84" spans="1:17" s="42" customFormat="1" ht="15" hidden="1" customHeight="1" outlineLevel="1" x14ac:dyDescent="0.3">
      <c r="A84" s="34"/>
      <c r="B84" s="11" t="str">
        <f>CONCATENATE("          ","6274"," - ","UTILITIES")</f>
        <v xml:space="preserve">          6274 - UTILITIES</v>
      </c>
      <c r="C84" s="15"/>
      <c r="D84" s="3">
        <v>36.49</v>
      </c>
      <c r="E84" s="3">
        <v>37.29</v>
      </c>
      <c r="F84" s="3">
        <v>37.6</v>
      </c>
      <c r="G84" s="3">
        <v>38.6</v>
      </c>
      <c r="H84" s="3">
        <v>33.61</v>
      </c>
      <c r="I84" s="3">
        <v>62.92</v>
      </c>
      <c r="J84" s="3">
        <v>292.91000000000003</v>
      </c>
      <c r="K84" s="3">
        <v>355.65</v>
      </c>
      <c r="L84" s="3">
        <v>137.83000000000001</v>
      </c>
      <c r="M84" s="3">
        <v>254.32</v>
      </c>
      <c r="N84" s="3">
        <v>120</v>
      </c>
      <c r="O84" s="3">
        <v>120</v>
      </c>
      <c r="P84" s="10"/>
      <c r="Q84" s="3">
        <f>SUM(OSRRefD21_17_0x)+IFERROR(SUM(OSRRefE21_17_0x),0)</f>
        <v>1527.22</v>
      </c>
    </row>
    <row r="85" spans="1:17" s="40" customFormat="1" ht="15" customHeight="1" x14ac:dyDescent="0.3">
      <c r="A85" s="22"/>
      <c r="B85" s="22"/>
      <c r="C85" s="2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Q85" s="2"/>
    </row>
    <row r="86" spans="1:17" s="39" customFormat="1" ht="15" customHeight="1" x14ac:dyDescent="0.3">
      <c r="A86" s="24"/>
      <c r="B86" s="17" t="s">
        <v>287</v>
      </c>
      <c r="C86" s="23"/>
      <c r="D86" s="4">
        <f>0</f>
        <v>0</v>
      </c>
      <c r="E86" s="4">
        <f>0</f>
        <v>0</v>
      </c>
      <c r="F86" s="4">
        <f>0</f>
        <v>0</v>
      </c>
      <c r="G86" s="4">
        <f>0</f>
        <v>0</v>
      </c>
      <c r="H86" s="4">
        <f>0</f>
        <v>0</v>
      </c>
      <c r="I86" s="4">
        <f>0</f>
        <v>0</v>
      </c>
      <c r="J86" s="4">
        <f>0</f>
        <v>0</v>
      </c>
      <c r="K86" s="4">
        <f>0</f>
        <v>0</v>
      </c>
      <c r="L86" s="4">
        <f>0</f>
        <v>0</v>
      </c>
      <c r="M86" s="4">
        <f>0</f>
        <v>0</v>
      </c>
      <c r="N86" s="4"/>
      <c r="O86" s="4"/>
      <c r="Q86" s="3">
        <f>SUM(OSRRefD23_0x)+IFERROR(SUM(OSRRefE23_0x),0)</f>
        <v>0</v>
      </c>
    </row>
    <row r="87" spans="1:17" ht="15" customHeight="1" x14ac:dyDescent="0.3">
      <c r="A87" s="6"/>
      <c r="B87" s="7"/>
      <c r="C87" s="7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Q87" s="4"/>
    </row>
    <row r="88" spans="1:17" s="37" customFormat="1" ht="15" customHeight="1" x14ac:dyDescent="0.3">
      <c r="A88" s="7"/>
      <c r="B88" s="18" t="s">
        <v>288</v>
      </c>
      <c r="C88" s="18"/>
      <c r="D88" s="9">
        <f t="shared" ref="D88:O88" si="2">IFERROR(+D22-D25+D86,0)</f>
        <v>-1073.2400000000034</v>
      </c>
      <c r="E88" s="9">
        <f t="shared" si="2"/>
        <v>2020.4700000000048</v>
      </c>
      <c r="F88" s="9">
        <f t="shared" si="2"/>
        <v>-3044.0599999999995</v>
      </c>
      <c r="G88" s="9">
        <f t="shared" si="2"/>
        <v>-2512.33</v>
      </c>
      <c r="H88" s="9">
        <f t="shared" si="2"/>
        <v>-2534.2500000000055</v>
      </c>
      <c r="I88" s="9">
        <f t="shared" si="2"/>
        <v>11798.18</v>
      </c>
      <c r="J88" s="9">
        <f t="shared" si="2"/>
        <v>-3134.3299999999981</v>
      </c>
      <c r="K88" s="9">
        <f t="shared" si="2"/>
        <v>-1705.8000000000011</v>
      </c>
      <c r="L88" s="9">
        <f t="shared" si="2"/>
        <v>1870.9399999999987</v>
      </c>
      <c r="M88" s="9">
        <f t="shared" si="2"/>
        <v>3506.2999999999956</v>
      </c>
      <c r="N88" s="9">
        <f t="shared" si="2"/>
        <v>13130.97285603077</v>
      </c>
      <c r="O88" s="9">
        <f t="shared" si="2"/>
        <v>13310.937832730771</v>
      </c>
      <c r="Q88" s="9">
        <f>IFERROR(+Q22-Q25+Q86,0)</f>
        <v>31633.790688761539</v>
      </c>
    </row>
    <row r="89" spans="1:17" s="38" customFormat="1" ht="15" customHeight="1" x14ac:dyDescent="0.3">
      <c r="B89" s="17"/>
      <c r="C89" s="17"/>
      <c r="D89" s="5">
        <f t="shared" ref="D89:O89" si="3">IFERROR(D88/D10,0)</f>
        <v>-3.3738153027565845E-2</v>
      </c>
      <c r="E89" s="5">
        <f t="shared" si="3"/>
        <v>5.766973148996779E-2</v>
      </c>
      <c r="F89" s="5">
        <f t="shared" si="3"/>
        <v>-0.1345232781669134</v>
      </c>
      <c r="G89" s="5">
        <f t="shared" si="3"/>
        <v>-8.8605402949974849E-2</v>
      </c>
      <c r="H89" s="5">
        <f t="shared" si="3"/>
        <v>-8.6243626802719145E-2</v>
      </c>
      <c r="I89" s="5">
        <f t="shared" si="3"/>
        <v>0.20518181391312515</v>
      </c>
      <c r="J89" s="5">
        <f t="shared" si="3"/>
        <v>-0.11786993027452823</v>
      </c>
      <c r="K89" s="5">
        <f t="shared" si="3"/>
        <v>-6.3564769511567129E-2</v>
      </c>
      <c r="L89" s="5">
        <f t="shared" si="3"/>
        <v>5.7333305957921292E-2</v>
      </c>
      <c r="M89" s="5">
        <f t="shared" si="3"/>
        <v>7.6820760250125839E-2</v>
      </c>
      <c r="N89" s="5">
        <f t="shared" si="3"/>
        <v>0.20936529953172567</v>
      </c>
      <c r="O89" s="5">
        <f t="shared" si="3"/>
        <v>0.21945326572798238</v>
      </c>
      <c r="P89" s="19"/>
      <c r="Q89" s="5">
        <f>IFERROR(Q88/Q10,0)</f>
        <v>6.8800529600031773E-2</v>
      </c>
    </row>
    <row r="90" spans="1:17" ht="15" customHeight="1" x14ac:dyDescent="0.3">
      <c r="A90" s="6"/>
      <c r="B90" s="7"/>
      <c r="C90" s="6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Q90" s="4"/>
    </row>
    <row r="91" spans="1:17" s="37" customFormat="1" ht="15" customHeight="1" x14ac:dyDescent="0.3">
      <c r="A91" s="26"/>
      <c r="B91" s="7" t="s">
        <v>289</v>
      </c>
      <c r="C91" s="7"/>
      <c r="D91" s="4">
        <v>14696.49</v>
      </c>
      <c r="E91" s="4">
        <v>-4707.4799999999996</v>
      </c>
      <c r="F91" s="4">
        <v>1085.76</v>
      </c>
      <c r="G91" s="4">
        <v>2545.25</v>
      </c>
      <c r="H91" s="4">
        <v>3914.83</v>
      </c>
      <c r="I91" s="4">
        <v>7106.81</v>
      </c>
      <c r="J91" s="4">
        <v>5975.71</v>
      </c>
      <c r="K91" s="4">
        <v>1604.57</v>
      </c>
      <c r="L91" s="4">
        <v>2481.2600000000002</v>
      </c>
      <c r="M91" s="4">
        <v>3407.41</v>
      </c>
      <c r="N91" s="4">
        <v>8062</v>
      </c>
      <c r="O91" s="4">
        <v>3009</v>
      </c>
      <c r="Q91" s="3">
        <f>SUM(OSRRefD28_0x)+IFERROR(SUM(OSRRefE28_0x),0)</f>
        <v>49181.61</v>
      </c>
    </row>
    <row r="92" spans="1:17" ht="15" customHeight="1" x14ac:dyDescent="0.3">
      <c r="A92" s="6"/>
      <c r="B92" s="7"/>
      <c r="C92" s="7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Q92" s="4"/>
    </row>
    <row r="93" spans="1:17" s="37" customFormat="1" ht="15.75" customHeight="1" x14ac:dyDescent="0.3">
      <c r="A93" s="7"/>
      <c r="B93" s="18" t="s">
        <v>290</v>
      </c>
      <c r="C93" s="18"/>
      <c r="D93" s="8">
        <f t="shared" ref="D93:O93" si="4">IFERROR(+D88-D91,0)</f>
        <v>-15769.730000000003</v>
      </c>
      <c r="E93" s="8">
        <f t="shared" si="4"/>
        <v>6727.9500000000044</v>
      </c>
      <c r="F93" s="8">
        <f t="shared" si="4"/>
        <v>-4129.82</v>
      </c>
      <c r="G93" s="8">
        <f t="shared" si="4"/>
        <v>-5057.58</v>
      </c>
      <c r="H93" s="8">
        <f t="shared" si="4"/>
        <v>-6449.0800000000054</v>
      </c>
      <c r="I93" s="8">
        <f t="shared" si="4"/>
        <v>4691.37</v>
      </c>
      <c r="J93" s="8">
        <f t="shared" si="4"/>
        <v>-9110.0399999999972</v>
      </c>
      <c r="K93" s="8">
        <f t="shared" si="4"/>
        <v>-3310.3700000000008</v>
      </c>
      <c r="L93" s="8">
        <f t="shared" si="4"/>
        <v>-610.32000000000153</v>
      </c>
      <c r="M93" s="8">
        <f t="shared" si="4"/>
        <v>98.88999999999578</v>
      </c>
      <c r="N93" s="8">
        <f t="shared" si="4"/>
        <v>5068.9728560307703</v>
      </c>
      <c r="O93" s="8">
        <f t="shared" si="4"/>
        <v>10301.937832730771</v>
      </c>
      <c r="Q93" s="8">
        <f>IFERROR(+Q88-Q91,0)</f>
        <v>-17547.819311238462</v>
      </c>
    </row>
    <row r="94" spans="1:17" ht="15.75" customHeight="1" x14ac:dyDescent="0.3">
      <c r="A94" s="6"/>
      <c r="B94" s="6"/>
      <c r="C94" s="6"/>
      <c r="D94" s="5">
        <f t="shared" ref="D94:O94" si="5">IFERROR(D93/D10,0)</f>
        <v>-0.49573400538872414</v>
      </c>
      <c r="E94" s="5">
        <f t="shared" si="5"/>
        <v>0.19203406632017705</v>
      </c>
      <c r="F94" s="5">
        <f t="shared" si="5"/>
        <v>-0.18250524780696908</v>
      </c>
      <c r="G94" s="5">
        <f t="shared" si="5"/>
        <v>-0.17837183564728115</v>
      </c>
      <c r="H94" s="5">
        <f t="shared" si="5"/>
        <v>-0.21947007940845586</v>
      </c>
      <c r="I94" s="5">
        <f t="shared" si="5"/>
        <v>8.1587482674244496E-2</v>
      </c>
      <c r="J94" s="5">
        <f t="shared" si="5"/>
        <v>-0.34259308356113216</v>
      </c>
      <c r="K94" s="5">
        <f t="shared" si="5"/>
        <v>-0.12335731389846782</v>
      </c>
      <c r="L94" s="5">
        <f t="shared" si="5"/>
        <v>-1.8702718041326089E-2</v>
      </c>
      <c r="M94" s="5">
        <f t="shared" si="5"/>
        <v>2.1666158004547899E-3</v>
      </c>
      <c r="N94" s="5">
        <f t="shared" si="5"/>
        <v>8.0821659747293759E-2</v>
      </c>
      <c r="O94" s="5">
        <f t="shared" si="5"/>
        <v>0.16984482454423824</v>
      </c>
      <c r="P94" s="19"/>
      <c r="Q94" s="5">
        <f>IFERROR(Q93/Q10,0)</f>
        <v>-3.8164862182254532E-2</v>
      </c>
    </row>
    <row r="95" spans="1:17" ht="15" customHeight="1" x14ac:dyDescent="0.3">
      <c r="A95" s="6"/>
      <c r="B95" s="6"/>
      <c r="C95" s="6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Q95" s="4"/>
    </row>
    <row r="96" spans="1:17" ht="15" customHeight="1" x14ac:dyDescent="0.3">
      <c r="A96" s="6"/>
      <c r="B96" s="6"/>
      <c r="C96" s="6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Q96" s="4"/>
    </row>
    <row r="97" spans="1:17" s="37" customFormat="1" ht="15.75" customHeight="1" x14ac:dyDescent="0.3">
      <c r="A97" s="7"/>
      <c r="B97" s="18" t="s">
        <v>293</v>
      </c>
      <c r="C97" s="18"/>
      <c r="D97" s="8">
        <f t="shared" ref="D97:O97" si="6">IFERROR(SUM(D93:D96),0)</f>
        <v>-15770.225734005391</v>
      </c>
      <c r="E97" s="8">
        <f t="shared" si="6"/>
        <v>6728.1420340663244</v>
      </c>
      <c r="F97" s="8">
        <f t="shared" si="6"/>
        <v>-4130.0025052478068</v>
      </c>
      <c r="G97" s="8">
        <f t="shared" si="6"/>
        <v>-5057.7583718356473</v>
      </c>
      <c r="H97" s="8">
        <f t="shared" si="6"/>
        <v>-6449.2994700794143</v>
      </c>
      <c r="I97" s="8">
        <f t="shared" si="6"/>
        <v>4691.4515874826739</v>
      </c>
      <c r="J97" s="8">
        <f t="shared" si="6"/>
        <v>-9110.3825930835592</v>
      </c>
      <c r="K97" s="8">
        <f t="shared" si="6"/>
        <v>-3310.4933573138992</v>
      </c>
      <c r="L97" s="8">
        <f t="shared" si="6"/>
        <v>-610.3387027180429</v>
      </c>
      <c r="M97" s="8">
        <f t="shared" si="6"/>
        <v>98.892166615796228</v>
      </c>
      <c r="N97" s="8">
        <f t="shared" si="6"/>
        <v>5069.0536776905174</v>
      </c>
      <c r="O97" s="8">
        <f t="shared" si="6"/>
        <v>10302.107677555316</v>
      </c>
      <c r="Q97" s="8">
        <f>IFERROR(SUM(Q93:Q96),0)</f>
        <v>-17547.857476100642</v>
      </c>
    </row>
    <row r="98" spans="1:17" ht="15.75" customHeight="1" x14ac:dyDescent="0.3">
      <c r="A98" s="6"/>
      <c r="C98" s="6"/>
      <c r="D98" s="5">
        <f t="shared" ref="D98:O98" si="7">IFERROR(D97/D10,0)</f>
        <v>-0.49574958918147766</v>
      </c>
      <c r="E98" s="5">
        <f t="shared" si="7"/>
        <v>0.19203954749685456</v>
      </c>
      <c r="F98" s="5">
        <f t="shared" si="7"/>
        <v>-0.18251331308959087</v>
      </c>
      <c r="G98" s="5">
        <f t="shared" si="7"/>
        <v>-0.17837812650412418</v>
      </c>
      <c r="H98" s="5">
        <f t="shared" si="7"/>
        <v>-0.2194775482436627</v>
      </c>
      <c r="I98" s="5">
        <f t="shared" si="7"/>
        <v>8.1588901559842747E-2</v>
      </c>
      <c r="J98" s="5">
        <f t="shared" si="7"/>
        <v>-0.34260596715120467</v>
      </c>
      <c r="K98" s="5">
        <f t="shared" si="7"/>
        <v>-0.1233619106737202</v>
      </c>
      <c r="L98" s="5">
        <f t="shared" si="7"/>
        <v>-1.8703291169622941E-2</v>
      </c>
      <c r="M98" s="5">
        <f t="shared" si="7"/>
        <v>2.1666632696025982E-3</v>
      </c>
      <c r="N98" s="5">
        <f t="shared" si="7"/>
        <v>8.0822948399032452E-2</v>
      </c>
      <c r="O98" s="5">
        <f t="shared" si="7"/>
        <v>0.16984762472269913</v>
      </c>
      <c r="P98" s="19"/>
      <c r="Q98" s="5">
        <f>IFERROR(Q97/Q10,0)</f>
        <v>-3.8164945187252448E-2</v>
      </c>
    </row>
    <row r="99" spans="1:17" ht="15" customHeight="1" x14ac:dyDescent="0.3">
      <c r="A99" s="6"/>
      <c r="B99" s="33">
        <v>44694.892891863426</v>
      </c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Q99" s="14"/>
    </row>
    <row r="100" spans="1:17" ht="15" customHeight="1" x14ac:dyDescent="0.3">
      <c r="A100" s="6"/>
      <c r="B100" s="31" t="s">
        <v>294</v>
      </c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Q100" s="14"/>
    </row>
    <row r="101" spans="1:17" ht="15" customHeight="1" x14ac:dyDescent="0.3">
      <c r="A101" s="6"/>
      <c r="B101" s="27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Q101" s="14"/>
    </row>
    <row r="102" spans="1:17" ht="15" customHeight="1" x14ac:dyDescent="0.3"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Q102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A02D5-C0C9-102D-4D49-7E4BDA6568D6}">
  <sheetPr>
    <tabColor rgb="FFFFC000"/>
    <outlinePr summaryBelow="0" summaryRight="0"/>
    <pageSetUpPr fitToPage="1"/>
  </sheetPr>
  <dimension ref="A2:R36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">
        <v>298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9">
        <f t="shared" ref="D14:O14" si="2">IFERROR(+D10-D12,0)</f>
        <v>0</v>
      </c>
      <c r="E14" s="9">
        <f t="shared" si="2"/>
        <v>0</v>
      </c>
      <c r="F14" s="9">
        <f t="shared" si="2"/>
        <v>0</v>
      </c>
      <c r="G14" s="9">
        <f t="shared" si="2"/>
        <v>0</v>
      </c>
      <c r="H14" s="9">
        <f t="shared" si="2"/>
        <v>0</v>
      </c>
      <c r="I14" s="9">
        <f t="shared" si="2"/>
        <v>0</v>
      </c>
      <c r="J14" s="9">
        <f t="shared" si="2"/>
        <v>0</v>
      </c>
      <c r="K14" s="9">
        <f t="shared" si="2"/>
        <v>0</v>
      </c>
      <c r="L14" s="9">
        <f t="shared" si="2"/>
        <v>0</v>
      </c>
      <c r="M14" s="9">
        <f t="shared" si="2"/>
        <v>0</v>
      </c>
      <c r="N14" s="9">
        <f t="shared" si="2"/>
        <v>0</v>
      </c>
      <c r="O14" s="9">
        <f t="shared" si="2"/>
        <v>0</v>
      </c>
      <c r="Q14" s="9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19"/>
      <c r="Q16" s="5"/>
    </row>
    <row r="17" spans="1:17" s="37" customFormat="1" ht="15" customHeight="1" x14ac:dyDescent="0.3">
      <c r="A17" s="7"/>
      <c r="B17" s="17" t="s">
        <v>286</v>
      </c>
      <c r="C17" s="7"/>
      <c r="D17" s="12">
        <f t="shared" ref="D17:O17" si="4">SUM(0)</f>
        <v>0</v>
      </c>
      <c r="E17" s="12">
        <f t="shared" si="4"/>
        <v>0</v>
      </c>
      <c r="F17" s="12">
        <f t="shared" si="4"/>
        <v>0</v>
      </c>
      <c r="G17" s="12">
        <f t="shared" si="4"/>
        <v>0</v>
      </c>
      <c r="H17" s="12">
        <f t="shared" si="4"/>
        <v>0</v>
      </c>
      <c r="I17" s="12">
        <f t="shared" si="4"/>
        <v>0</v>
      </c>
      <c r="J17" s="12">
        <f t="shared" si="4"/>
        <v>0</v>
      </c>
      <c r="K17" s="12">
        <f t="shared" si="4"/>
        <v>0</v>
      </c>
      <c r="L17" s="12">
        <f t="shared" si="4"/>
        <v>0</v>
      </c>
      <c r="M17" s="12">
        <f t="shared" si="4"/>
        <v>0</v>
      </c>
      <c r="N17" s="12">
        <f t="shared" si="4"/>
        <v>0</v>
      </c>
      <c r="O17" s="12">
        <f t="shared" si="4"/>
        <v>0</v>
      </c>
      <c r="Q17" s="12">
        <f>SUM(0)</f>
        <v>0</v>
      </c>
    </row>
    <row r="18" spans="1:17" s="40" customFormat="1" ht="15" customHeight="1" x14ac:dyDescent="0.3">
      <c r="A18" s="22"/>
      <c r="B18" s="22"/>
      <c r="C18" s="2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Q18" s="2"/>
    </row>
    <row r="19" spans="1:17" s="39" customFormat="1" ht="15" customHeight="1" x14ac:dyDescent="0.3">
      <c r="A19" s="24"/>
      <c r="B19" s="17" t="s">
        <v>287</v>
      </c>
      <c r="C19" s="23"/>
      <c r="D19" s="4">
        <f>0</f>
        <v>0</v>
      </c>
      <c r="E19" s="4">
        <f>0</f>
        <v>0</v>
      </c>
      <c r="F19" s="4">
        <f>0</f>
        <v>0</v>
      </c>
      <c r="G19" s="4">
        <f>0</f>
        <v>0</v>
      </c>
      <c r="H19" s="4">
        <f>0</f>
        <v>0</v>
      </c>
      <c r="I19" s="4">
        <f>0</f>
        <v>0</v>
      </c>
      <c r="J19" s="4">
        <f>0</f>
        <v>0</v>
      </c>
      <c r="K19" s="4">
        <f>0</f>
        <v>0</v>
      </c>
      <c r="L19" s="4">
        <f>0</f>
        <v>0</v>
      </c>
      <c r="M19" s="4">
        <f>0</f>
        <v>0</v>
      </c>
      <c r="N19" s="4"/>
      <c r="O19" s="4"/>
      <c r="Q19" s="3">
        <f>SUM(OSRRefD23_0x)+IFERROR(SUM(OSRRefE23_0x),0)</f>
        <v>0</v>
      </c>
    </row>
    <row r="20" spans="1:17" ht="15" customHeight="1" x14ac:dyDescent="0.3">
      <c r="A20" s="6"/>
      <c r="B20" s="7"/>
      <c r="C20" s="7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Q20" s="4"/>
    </row>
    <row r="21" spans="1:17" s="37" customFormat="1" ht="15" customHeight="1" x14ac:dyDescent="0.3">
      <c r="A21" s="7"/>
      <c r="B21" s="18" t="s">
        <v>288</v>
      </c>
      <c r="C21" s="18"/>
      <c r="D21" s="9">
        <f t="shared" ref="D21:O21" si="5">IFERROR(+D14-D17+D19,0)</f>
        <v>0</v>
      </c>
      <c r="E21" s="9">
        <f t="shared" si="5"/>
        <v>0</v>
      </c>
      <c r="F21" s="9">
        <f t="shared" si="5"/>
        <v>0</v>
      </c>
      <c r="G21" s="9">
        <f t="shared" si="5"/>
        <v>0</v>
      </c>
      <c r="H21" s="9">
        <f t="shared" si="5"/>
        <v>0</v>
      </c>
      <c r="I21" s="9">
        <f t="shared" si="5"/>
        <v>0</v>
      </c>
      <c r="J21" s="9">
        <f t="shared" si="5"/>
        <v>0</v>
      </c>
      <c r="K21" s="9">
        <f t="shared" si="5"/>
        <v>0</v>
      </c>
      <c r="L21" s="9">
        <f t="shared" si="5"/>
        <v>0</v>
      </c>
      <c r="M21" s="9">
        <f t="shared" si="5"/>
        <v>0</v>
      </c>
      <c r="N21" s="9">
        <f t="shared" si="5"/>
        <v>0</v>
      </c>
      <c r="O21" s="9">
        <f t="shared" si="5"/>
        <v>0</v>
      </c>
      <c r="Q21" s="9">
        <f>IFERROR(+Q14-Q17+Q19,0)</f>
        <v>0</v>
      </c>
    </row>
    <row r="22" spans="1:17" s="38" customFormat="1" ht="15" customHeight="1" x14ac:dyDescent="0.3">
      <c r="B22" s="17"/>
      <c r="C22" s="17"/>
      <c r="D22" s="5">
        <f t="shared" ref="D22:O22" si="6">IFERROR(D21/D10,0)</f>
        <v>0</v>
      </c>
      <c r="E22" s="5">
        <f t="shared" si="6"/>
        <v>0</v>
      </c>
      <c r="F22" s="5">
        <f t="shared" si="6"/>
        <v>0</v>
      </c>
      <c r="G22" s="5">
        <f t="shared" si="6"/>
        <v>0</v>
      </c>
      <c r="H22" s="5">
        <f t="shared" si="6"/>
        <v>0</v>
      </c>
      <c r="I22" s="5">
        <f t="shared" si="6"/>
        <v>0</v>
      </c>
      <c r="J22" s="5">
        <f t="shared" si="6"/>
        <v>0</v>
      </c>
      <c r="K22" s="5">
        <f t="shared" si="6"/>
        <v>0</v>
      </c>
      <c r="L22" s="5">
        <f t="shared" si="6"/>
        <v>0</v>
      </c>
      <c r="M22" s="5">
        <f t="shared" si="6"/>
        <v>0</v>
      </c>
      <c r="N22" s="5">
        <f t="shared" si="6"/>
        <v>0</v>
      </c>
      <c r="O22" s="5">
        <f t="shared" si="6"/>
        <v>0</v>
      </c>
      <c r="P22" s="19"/>
      <c r="Q22" s="5">
        <f>IFERROR(Q21/Q10,0)</f>
        <v>0</v>
      </c>
    </row>
    <row r="23" spans="1:17" ht="15" customHeight="1" x14ac:dyDescent="0.3">
      <c r="A23" s="6"/>
      <c r="B23" s="7"/>
      <c r="C23" s="6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Q23" s="4"/>
    </row>
    <row r="24" spans="1:17" ht="15" customHeight="1" x14ac:dyDescent="0.3">
      <c r="A24" s="6"/>
      <c r="B24" s="7"/>
      <c r="C24" s="7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Q24" s="4"/>
    </row>
    <row r="25" spans="1:17" s="37" customFormat="1" ht="15.75" customHeight="1" x14ac:dyDescent="0.3">
      <c r="A25" s="7"/>
      <c r="B25" s="18" t="s">
        <v>290</v>
      </c>
      <c r="C25" s="18"/>
      <c r="D25" s="8">
        <f>IFERROR(+D21-#REF!,0)</f>
        <v>0</v>
      </c>
      <c r="E25" s="8">
        <f>IFERROR(+E21-#REF!,0)</f>
        <v>0</v>
      </c>
      <c r="F25" s="8">
        <f>IFERROR(+F21-#REF!,0)</f>
        <v>0</v>
      </c>
      <c r="G25" s="8">
        <f>IFERROR(+G21-#REF!,0)</f>
        <v>0</v>
      </c>
      <c r="H25" s="8">
        <f>IFERROR(+H21-#REF!,0)</f>
        <v>0</v>
      </c>
      <c r="I25" s="8">
        <f>IFERROR(+I21-#REF!,0)</f>
        <v>0</v>
      </c>
      <c r="J25" s="8">
        <f>IFERROR(+J21-#REF!,0)</f>
        <v>0</v>
      </c>
      <c r="K25" s="8">
        <f>IFERROR(+K21-#REF!,0)</f>
        <v>0</v>
      </c>
      <c r="L25" s="8">
        <f>IFERROR(+L21-#REF!,0)</f>
        <v>0</v>
      </c>
      <c r="M25" s="8">
        <f>IFERROR(+M21-#REF!,0)</f>
        <v>0</v>
      </c>
      <c r="N25" s="8">
        <f>IFERROR(+N21-#REF!,0)</f>
        <v>0</v>
      </c>
      <c r="O25" s="8">
        <f>IFERROR(+O21-#REF!,0)</f>
        <v>0</v>
      </c>
      <c r="Q25" s="8">
        <f>IFERROR(+Q21-#REF!,0)</f>
        <v>0</v>
      </c>
    </row>
    <row r="26" spans="1:17" s="38" customFormat="1" ht="15.75" customHeight="1" x14ac:dyDescent="0.3">
      <c r="B26" s="17"/>
      <c r="C26" s="17"/>
      <c r="D26" s="5">
        <f t="shared" ref="D26:O26" si="7">IFERROR(D25/D10,0)</f>
        <v>0</v>
      </c>
      <c r="E26" s="5">
        <f t="shared" si="7"/>
        <v>0</v>
      </c>
      <c r="F26" s="5">
        <f t="shared" si="7"/>
        <v>0</v>
      </c>
      <c r="G26" s="5">
        <f t="shared" si="7"/>
        <v>0</v>
      </c>
      <c r="H26" s="5">
        <f t="shared" si="7"/>
        <v>0</v>
      </c>
      <c r="I26" s="5">
        <f t="shared" si="7"/>
        <v>0</v>
      </c>
      <c r="J26" s="5">
        <f t="shared" si="7"/>
        <v>0</v>
      </c>
      <c r="K26" s="5">
        <f t="shared" si="7"/>
        <v>0</v>
      </c>
      <c r="L26" s="5">
        <f t="shared" si="7"/>
        <v>0</v>
      </c>
      <c r="M26" s="5">
        <f t="shared" si="7"/>
        <v>0</v>
      </c>
      <c r="N26" s="5">
        <f t="shared" si="7"/>
        <v>0</v>
      </c>
      <c r="O26" s="5">
        <f t="shared" si="7"/>
        <v>0</v>
      </c>
      <c r="P26" s="19"/>
      <c r="Q26" s="5">
        <f>IFERROR(Q25/Q10,0)</f>
        <v>0</v>
      </c>
    </row>
    <row r="27" spans="1:17" ht="15" customHeight="1" x14ac:dyDescent="0.3">
      <c r="A27" s="6"/>
      <c r="B27" s="6"/>
      <c r="C27" s="6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Q27" s="4"/>
    </row>
    <row r="28" spans="1:17" s="37" customFormat="1" ht="15" customHeight="1" x14ac:dyDescent="0.3">
      <c r="A28" s="26"/>
      <c r="B28" s="7" t="s">
        <v>291</v>
      </c>
      <c r="C28" s="7"/>
      <c r="D28" s="4">
        <f>--18122.3</f>
        <v>18122.3</v>
      </c>
      <c r="E28" s="4">
        <f>--134736.5</f>
        <v>134736.5</v>
      </c>
      <c r="F28" s="4">
        <f>-372468.37</f>
        <v>-372468.37</v>
      </c>
      <c r="G28" s="4">
        <f>--337591.35</f>
        <v>337591.35</v>
      </c>
      <c r="H28" s="4">
        <f>-342698.96</f>
        <v>-342698.96</v>
      </c>
      <c r="I28" s="4">
        <f>--139580.48</f>
        <v>139580.48000000001</v>
      </c>
      <c r="J28" s="4">
        <f>-529057.18</f>
        <v>-529057.18000000005</v>
      </c>
      <c r="K28" s="4">
        <f>-302139.84</f>
        <v>-302139.84000000003</v>
      </c>
      <c r="L28" s="4">
        <f>-38582.65</f>
        <v>-38582.65</v>
      </c>
      <c r="M28" s="4">
        <f>-631914.9</f>
        <v>-631914.9</v>
      </c>
      <c r="N28" s="4">
        <f>--15000</f>
        <v>15000</v>
      </c>
      <c r="O28" s="4">
        <f>--15000</f>
        <v>15000</v>
      </c>
      <c r="Q28" s="3">
        <f>SUM(OSRRefD33_0x)+IFERROR(SUM(OSRRefE33_0x),0)</f>
        <v>-1556831.2700000003</v>
      </c>
    </row>
    <row r="29" spans="1:17" s="37" customFormat="1" ht="15" customHeight="1" x14ac:dyDescent="0.3">
      <c r="A29" s="26"/>
      <c r="B29" s="7" t="s">
        <v>292</v>
      </c>
      <c r="C29" s="7"/>
      <c r="D29" s="4">
        <f>--10182.42</f>
        <v>10182.42</v>
      </c>
      <c r="E29" s="4">
        <f>--12034.07</f>
        <v>12034.07</v>
      </c>
      <c r="F29" s="4">
        <f>--15112.29</f>
        <v>15112.29</v>
      </c>
      <c r="G29" s="4">
        <f>--10527.25</f>
        <v>10527.25</v>
      </c>
      <c r="H29" s="4">
        <f>--9933.84</f>
        <v>9933.84</v>
      </c>
      <c r="I29" s="4">
        <f>--127617.83</f>
        <v>127617.83</v>
      </c>
      <c r="J29" s="4">
        <f>--2124202.74</f>
        <v>2124202.7400000002</v>
      </c>
      <c r="K29" s="4">
        <f>--9329.2</f>
        <v>9329.2000000000007</v>
      </c>
      <c r="L29" s="4">
        <f>--14325.83</f>
        <v>14325.83</v>
      </c>
      <c r="M29" s="4">
        <f>--9521.98</f>
        <v>9521.98</v>
      </c>
      <c r="N29" s="4">
        <f>--15000</f>
        <v>15000</v>
      </c>
      <c r="O29" s="4">
        <f>--20000</f>
        <v>20000</v>
      </c>
      <c r="Q29" s="3">
        <f>SUM(OSRRefD34_0x)+IFERROR(SUM(OSRRefE34_0x),0)</f>
        <v>2377787.4500000007</v>
      </c>
    </row>
    <row r="30" spans="1:17" ht="15" customHeight="1" x14ac:dyDescent="0.3">
      <c r="A30" s="6"/>
      <c r="B30" s="6"/>
      <c r="C30" s="6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Q30" s="4"/>
    </row>
    <row r="31" spans="1:17" s="37" customFormat="1" ht="15.75" customHeight="1" x14ac:dyDescent="0.3">
      <c r="A31" s="7"/>
      <c r="B31" s="18" t="s">
        <v>293</v>
      </c>
      <c r="C31" s="18"/>
      <c r="D31" s="8">
        <f t="shared" ref="D31:O31" si="8">IFERROR(SUM(D25:D30),0)</f>
        <v>28304.720000000001</v>
      </c>
      <c r="E31" s="8">
        <f t="shared" si="8"/>
        <v>146770.57</v>
      </c>
      <c r="F31" s="8">
        <f t="shared" si="8"/>
        <v>-357356.08</v>
      </c>
      <c r="G31" s="8">
        <f t="shared" si="8"/>
        <v>348118.6</v>
      </c>
      <c r="H31" s="8">
        <f t="shared" si="8"/>
        <v>-332765.12</v>
      </c>
      <c r="I31" s="8">
        <f t="shared" si="8"/>
        <v>267198.31</v>
      </c>
      <c r="J31" s="8">
        <f t="shared" si="8"/>
        <v>1595145.56</v>
      </c>
      <c r="K31" s="8">
        <f t="shared" si="8"/>
        <v>-292810.64</v>
      </c>
      <c r="L31" s="8">
        <f t="shared" si="8"/>
        <v>-24256.82</v>
      </c>
      <c r="M31" s="8">
        <f t="shared" si="8"/>
        <v>-622392.92000000004</v>
      </c>
      <c r="N31" s="8">
        <f t="shared" si="8"/>
        <v>30000</v>
      </c>
      <c r="O31" s="8">
        <f t="shared" si="8"/>
        <v>35000</v>
      </c>
      <c r="Q31" s="8">
        <f>IFERROR(SUM(Q25:Q30),0)</f>
        <v>820956.1800000004</v>
      </c>
    </row>
    <row r="32" spans="1:17" ht="15.75" customHeight="1" x14ac:dyDescent="0.3">
      <c r="A32" s="6"/>
      <c r="C32" s="6"/>
      <c r="D32" s="5">
        <f t="shared" ref="D32:O32" si="9">IFERROR(D31/D10,0)</f>
        <v>0</v>
      </c>
      <c r="E32" s="5">
        <f t="shared" si="9"/>
        <v>0</v>
      </c>
      <c r="F32" s="5">
        <f t="shared" si="9"/>
        <v>0</v>
      </c>
      <c r="G32" s="5">
        <f t="shared" si="9"/>
        <v>0</v>
      </c>
      <c r="H32" s="5">
        <f t="shared" si="9"/>
        <v>0</v>
      </c>
      <c r="I32" s="5">
        <f t="shared" si="9"/>
        <v>0</v>
      </c>
      <c r="J32" s="5">
        <f t="shared" si="9"/>
        <v>0</v>
      </c>
      <c r="K32" s="5">
        <f t="shared" si="9"/>
        <v>0</v>
      </c>
      <c r="L32" s="5">
        <f t="shared" si="9"/>
        <v>0</v>
      </c>
      <c r="M32" s="5">
        <f t="shared" si="9"/>
        <v>0</v>
      </c>
      <c r="N32" s="5">
        <f t="shared" si="9"/>
        <v>0</v>
      </c>
      <c r="O32" s="5">
        <f t="shared" si="9"/>
        <v>0</v>
      </c>
      <c r="P32" s="19"/>
      <c r="Q32" s="5">
        <f>IFERROR(Q31/Q10,0)</f>
        <v>0</v>
      </c>
    </row>
    <row r="33" spans="1:17" ht="15" customHeight="1" x14ac:dyDescent="0.3">
      <c r="A33" s="6"/>
      <c r="B33" s="33">
        <v>44694.89286871528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Q33" s="14"/>
    </row>
    <row r="34" spans="1:17" ht="15" customHeight="1" x14ac:dyDescent="0.3">
      <c r="A34" s="6"/>
      <c r="B34" s="31" t="s">
        <v>294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Q34" s="14"/>
    </row>
    <row r="35" spans="1:17" ht="15" customHeight="1" x14ac:dyDescent="0.3">
      <c r="A35" s="6"/>
      <c r="B35" s="27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Q35" s="14"/>
    </row>
    <row r="36" spans="1:17" ht="15" customHeight="1" x14ac:dyDescent="0.3"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Q36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08FAA-53DE-CB0C-3301-FF3BEF35B1BB}">
  <sheetPr>
    <tabColor rgb="FFFFFF00"/>
    <outlinePr summaryBelow="0" summaryRight="0"/>
    <pageSetUpPr fitToPage="1"/>
  </sheetPr>
  <dimension ref="A2:R89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">
        <v>307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2531.7999999999997</v>
      </c>
      <c r="E10" s="4">
        <f>SUM(OSRRefD11x_1)</f>
        <v>55943.87</v>
      </c>
      <c r="F10" s="4">
        <f>SUM(OSRRefD11x_2)</f>
        <v>16536.91</v>
      </c>
      <c r="G10" s="4">
        <f>SUM(OSRRefD11x_3)</f>
        <v>9408.2899999999991</v>
      </c>
      <c r="H10" s="4">
        <f>SUM(OSRRefD11x_4)</f>
        <v>6788.13</v>
      </c>
      <c r="I10" s="4">
        <f>SUM(OSRRefD11x_5)</f>
        <v>7749.7099999999991</v>
      </c>
      <c r="J10" s="4">
        <f>SUM(OSRRefD11x_6)</f>
        <v>23282.739999999998</v>
      </c>
      <c r="K10" s="4">
        <f>SUM(OSRRefD11x_7)</f>
        <v>24174.530000000002</v>
      </c>
      <c r="L10" s="4">
        <f>SUM(OSRRefD11x_8)</f>
        <v>18218.639999999996</v>
      </c>
      <c r="M10" s="4">
        <f>SUM(OSRRefD11x_9)</f>
        <v>30367.83</v>
      </c>
      <c r="N10" s="4">
        <f>SUM(OSRRefE11x_0)</f>
        <v>47000</v>
      </c>
      <c r="O10" s="4">
        <f>SUM(OSRRefE11x_1)</f>
        <v>5600</v>
      </c>
      <c r="P10" s="25"/>
      <c r="Q10" s="4">
        <f>SUM(OSRRefG11x)</f>
        <v>247602.44999999998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--2230.15</f>
        <v>2230.15</v>
      </c>
      <c r="E11" s="3">
        <f>--52570.47</f>
        <v>52570.47</v>
      </c>
      <c r="F11" s="3">
        <f>--11641.04</f>
        <v>11641.04</v>
      </c>
      <c r="G11" s="3">
        <f>--4122.58</f>
        <v>4122.58</v>
      </c>
      <c r="H11" s="3">
        <f>--3447.29</f>
        <v>3447.29</v>
      </c>
      <c r="I11" s="3">
        <f>--4665.65</f>
        <v>4665.6499999999996</v>
      </c>
      <c r="J11" s="3">
        <f>--21634.61</f>
        <v>21634.61</v>
      </c>
      <c r="K11" s="3">
        <f>--17204.32</f>
        <v>17204.32</v>
      </c>
      <c r="L11" s="3">
        <f>--10589.72</f>
        <v>10589.72</v>
      </c>
      <c r="M11" s="3">
        <f>--21804.84</f>
        <v>21804.84</v>
      </c>
      <c r="N11" s="3">
        <v>20000</v>
      </c>
      <c r="O11" s="3">
        <v>3100</v>
      </c>
      <c r="Q11" s="3">
        <f>SUM(OSRRefD11_0x)+IFERROR(SUM(OSRRefE11_0x),0)</f>
        <v>173010.66999999998</v>
      </c>
    </row>
    <row r="12" spans="1:18" s="39" customFormat="1" ht="15" hidden="1" customHeight="1" outlineLevel="1" x14ac:dyDescent="0.3">
      <c r="A12" s="24"/>
      <c r="B12" s="11" t="str">
        <f>CONCATENATE("          ","4100"," - ","NON-TAXABLE SALES")</f>
        <v xml:space="preserve">          4100 - NON-TAXABLE SALES</v>
      </c>
      <c r="C12" s="23"/>
      <c r="D12" s="3">
        <f>--281.45</f>
        <v>281.45</v>
      </c>
      <c r="E12" s="3">
        <f>--553.4</f>
        <v>553.4</v>
      </c>
      <c r="F12" s="3">
        <f>--171.97</f>
        <v>171.97</v>
      </c>
      <c r="G12" s="3">
        <f>--13252.81</f>
        <v>13252.81</v>
      </c>
      <c r="H12" s="3">
        <f>--3340.84</f>
        <v>3340.84</v>
      </c>
      <c r="I12" s="3">
        <f>--3084.06</f>
        <v>3084.06</v>
      </c>
      <c r="J12" s="3">
        <f>--1803.53</f>
        <v>1803.53</v>
      </c>
      <c r="K12" s="3">
        <f>--7098.56</f>
        <v>7098.56</v>
      </c>
      <c r="L12" s="3">
        <f>--7630.91</f>
        <v>7630.91</v>
      </c>
      <c r="M12" s="3">
        <f>--8945.27</f>
        <v>8945.27</v>
      </c>
      <c r="N12" s="3">
        <v>27000</v>
      </c>
      <c r="O12" s="3">
        <v>2500</v>
      </c>
      <c r="Q12" s="3">
        <f>SUM(OSRRefD11_1x)+IFERROR(SUM(OSRRefE11_1x),0)</f>
        <v>75662.8</v>
      </c>
    </row>
    <row r="13" spans="1:18" s="39" customFormat="1" ht="15" hidden="1" customHeight="1" outlineLevel="1" x14ac:dyDescent="0.3">
      <c r="A13" s="24"/>
      <c r="B13" s="11" t="str">
        <f>CONCATENATE("          ","4141"," - ","NON-TAXABLE SALES-LOGO GIFTS")</f>
        <v xml:space="preserve">          4141 - NON-TAXABLE SALES-LOGO GIFTS</v>
      </c>
      <c r="C13" s="23"/>
      <c r="D13" s="3">
        <f>0</f>
        <v>0</v>
      </c>
      <c r="E13" s="3">
        <f>--389.5</f>
        <v>389.5</v>
      </c>
      <c r="F13" s="3">
        <f>--71.05</f>
        <v>71.05</v>
      </c>
      <c r="G13" s="3">
        <f>-460.55</f>
        <v>-460.55</v>
      </c>
      <c r="H13" s="3">
        <f>0</f>
        <v>0</v>
      </c>
      <c r="I13" s="3">
        <f>0</f>
        <v>0</v>
      </c>
      <c r="J13" s="3">
        <f>0</f>
        <v>0</v>
      </c>
      <c r="K13" s="3">
        <f>0</f>
        <v>0</v>
      </c>
      <c r="L13" s="3">
        <f>0</f>
        <v>0</v>
      </c>
      <c r="M13" s="3">
        <f>0</f>
        <v>0</v>
      </c>
      <c r="N13" s="3"/>
      <c r="O13" s="3"/>
      <c r="Q13" s="3">
        <f>SUM(OSRRefD11_2x)+IFERROR(SUM(OSRRefE11_2x),0)</f>
        <v>0</v>
      </c>
    </row>
    <row r="14" spans="1:18" s="39" customFormat="1" ht="15" hidden="1" customHeight="1" outlineLevel="1" x14ac:dyDescent="0.3">
      <c r="A14" s="24"/>
      <c r="B14" s="11" t="str">
        <f>CONCATENATE("          ","4146"," - ","NON-TAXABLE SALES-COIN OP MACH")</f>
        <v xml:space="preserve">          4146 - NON-TAXABLE SALES-COIN OP MACH</v>
      </c>
      <c r="C14" s="23"/>
      <c r="D14" s="3">
        <f>--20.2</f>
        <v>20.2</v>
      </c>
      <c r="E14" s="3">
        <f>--2713.4</f>
        <v>2713.4</v>
      </c>
      <c r="F14" s="3">
        <f>--4759.35</f>
        <v>4759.3500000000004</v>
      </c>
      <c r="G14" s="3">
        <f>-7492.95</f>
        <v>-7492.95</v>
      </c>
      <c r="H14" s="3">
        <f>0</f>
        <v>0</v>
      </c>
      <c r="I14" s="3">
        <f>0</f>
        <v>0</v>
      </c>
      <c r="J14" s="3">
        <f>0</f>
        <v>0</v>
      </c>
      <c r="K14" s="3">
        <f>0</f>
        <v>0</v>
      </c>
      <c r="L14" s="3">
        <f>0</f>
        <v>0</v>
      </c>
      <c r="M14" s="3">
        <f>0</f>
        <v>0</v>
      </c>
      <c r="N14" s="3"/>
      <c r="O14" s="3"/>
      <c r="Q14" s="3">
        <f>SUM(OSRRefD11_3x)+IFERROR(SUM(OSRRefE11_3x),0)</f>
        <v>9.0949470177292824E-13</v>
      </c>
    </row>
    <row r="15" spans="1:18" s="39" customFormat="1" ht="15" hidden="1" customHeight="1" outlineLevel="1" x14ac:dyDescent="0.3">
      <c r="A15" s="24"/>
      <c r="B15" s="11" t="str">
        <f>CONCATENATE("          ","4200"," - ","TAXABLE RETURNS")</f>
        <v xml:space="preserve">          4200 - TAXABLE RETURNS</v>
      </c>
      <c r="C15" s="23"/>
      <c r="D15" s="3">
        <f>0</f>
        <v>0</v>
      </c>
      <c r="E15" s="3">
        <f>-282.9</f>
        <v>-282.89999999999998</v>
      </c>
      <c r="F15" s="3">
        <f>-106.5</f>
        <v>-106.5</v>
      </c>
      <c r="G15" s="3">
        <f>-13.6</f>
        <v>-13.6</v>
      </c>
      <c r="H15" s="3">
        <f>0</f>
        <v>0</v>
      </c>
      <c r="I15" s="3">
        <f>0</f>
        <v>0</v>
      </c>
      <c r="J15" s="3">
        <f>-155.4</f>
        <v>-155.4</v>
      </c>
      <c r="K15" s="3">
        <f>-128.35</f>
        <v>-128.35</v>
      </c>
      <c r="L15" s="3">
        <f>-1.99</f>
        <v>-1.99</v>
      </c>
      <c r="M15" s="3">
        <f>-382.28</f>
        <v>-382.28</v>
      </c>
      <c r="N15" s="3"/>
      <c r="O15" s="3"/>
      <c r="Q15" s="3">
        <f>SUM(OSRRefD11_4x)+IFERROR(SUM(OSRRefE11_4x),0)</f>
        <v>-1071.02</v>
      </c>
    </row>
    <row r="16" spans="1:18" ht="15" customHeight="1" x14ac:dyDescent="0.3">
      <c r="A16" s="6"/>
      <c r="B16" s="7"/>
      <c r="C16" s="6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Q16" s="4"/>
    </row>
    <row r="17" spans="1:17" s="39" customFormat="1" ht="15" customHeight="1" collapsed="1" x14ac:dyDescent="0.3">
      <c r="A17" s="24"/>
      <c r="B17" s="17" t="s">
        <v>284</v>
      </c>
      <c r="C17" s="23"/>
      <c r="D17" s="4">
        <f>SUM(OSRRefD14x_0)</f>
        <v>0</v>
      </c>
      <c r="E17" s="4">
        <f>SUM(OSRRefD14x_1)</f>
        <v>0</v>
      </c>
      <c r="F17" s="4">
        <f>SUM(OSRRefD14x_2)</f>
        <v>0</v>
      </c>
      <c r="G17" s="4">
        <f>SUM(OSRRefD14x_3)</f>
        <v>0</v>
      </c>
      <c r="H17" s="4">
        <f>SUM(OSRRefD14x_4)</f>
        <v>8.26</v>
      </c>
      <c r="I17" s="4">
        <f>SUM(OSRRefD14x_5)</f>
        <v>0</v>
      </c>
      <c r="J17" s="4">
        <f>SUM(OSRRefD14x_6)</f>
        <v>0</v>
      </c>
      <c r="K17" s="4">
        <f>SUM(OSRRefD14x_7)</f>
        <v>0</v>
      </c>
      <c r="L17" s="4">
        <f>SUM(OSRRefD14x_8)</f>
        <v>0</v>
      </c>
      <c r="M17" s="4">
        <f>SUM(OSRRefD14x_9)</f>
        <v>0</v>
      </c>
      <c r="N17" s="4">
        <f>SUM(OSRRefE14x_0)</f>
        <v>0</v>
      </c>
      <c r="O17" s="4">
        <f>SUM(OSRRefE14x_1)</f>
        <v>0</v>
      </c>
      <c r="Q17" s="4">
        <f>SUM(OSRRefG14x)</f>
        <v>8.26</v>
      </c>
    </row>
    <row r="18" spans="1:17" s="39" customFormat="1" ht="15" hidden="1" customHeight="1" outlineLevel="1" x14ac:dyDescent="0.3">
      <c r="A18" s="24"/>
      <c r="B18" s="11" t="str">
        <f>CONCATENATE("          ","5000"," - ","PURCHASES @ COST")</f>
        <v xml:space="preserve">          5000 - PURCHASES @ COST</v>
      </c>
      <c r="C18" s="23"/>
      <c r="D18" s="3"/>
      <c r="E18" s="3"/>
      <c r="F18" s="3"/>
      <c r="G18" s="3"/>
      <c r="H18" s="3"/>
      <c r="I18" s="3"/>
      <c r="J18" s="3"/>
      <c r="K18" s="3"/>
      <c r="L18" s="3"/>
      <c r="M18" s="3"/>
      <c r="N18" s="3">
        <v>0</v>
      </c>
      <c r="O18" s="3">
        <v>0</v>
      </c>
      <c r="Q18" s="3">
        <f>SUM(OSRRefD14_0x)+IFERROR(SUM(OSRRefE14_0x),0)</f>
        <v>0</v>
      </c>
    </row>
    <row r="19" spans="1:17" s="39" customFormat="1" ht="15" hidden="1" customHeight="1" outlineLevel="1" x14ac:dyDescent="0.3">
      <c r="A19" s="24"/>
      <c r="B19" s="11" t="str">
        <f>CONCATENATE("          ","5500"," - ","FREIGHT-IN")</f>
        <v xml:space="preserve">          5500 - FREIGHT-IN</v>
      </c>
      <c r="C19" s="23"/>
      <c r="D19" s="3"/>
      <c r="E19" s="3"/>
      <c r="F19" s="3"/>
      <c r="G19" s="3"/>
      <c r="H19" s="3">
        <v>8.26</v>
      </c>
      <c r="I19" s="3"/>
      <c r="J19" s="3"/>
      <c r="K19" s="3"/>
      <c r="L19" s="3"/>
      <c r="M19" s="3"/>
      <c r="N19" s="3"/>
      <c r="O19" s="3"/>
      <c r="Q19" s="3">
        <f>SUM(OSRRefD14_1x)+IFERROR(SUM(OSRRefE14_1x),0)</f>
        <v>8.26</v>
      </c>
    </row>
    <row r="20" spans="1:17" ht="15" customHeight="1" x14ac:dyDescent="0.3">
      <c r="A20" s="6"/>
      <c r="B20" s="7"/>
      <c r="C20" s="7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Q20" s="4"/>
    </row>
    <row r="21" spans="1:17" s="37" customFormat="1" ht="15" customHeight="1" x14ac:dyDescent="0.3">
      <c r="A21" s="7"/>
      <c r="B21" s="18" t="s">
        <v>285</v>
      </c>
      <c r="C21" s="18"/>
      <c r="D21" s="9">
        <f t="shared" ref="D21:O21" si="0">IFERROR(+D10-D17,0)</f>
        <v>2531.7999999999997</v>
      </c>
      <c r="E21" s="9">
        <f t="shared" si="0"/>
        <v>55943.87</v>
      </c>
      <c r="F21" s="9">
        <f t="shared" si="0"/>
        <v>16536.91</v>
      </c>
      <c r="G21" s="9">
        <f t="shared" si="0"/>
        <v>9408.2899999999991</v>
      </c>
      <c r="H21" s="9">
        <f t="shared" si="0"/>
        <v>6779.87</v>
      </c>
      <c r="I21" s="9">
        <f t="shared" si="0"/>
        <v>7749.7099999999991</v>
      </c>
      <c r="J21" s="9">
        <f t="shared" si="0"/>
        <v>23282.739999999998</v>
      </c>
      <c r="K21" s="9">
        <f t="shared" si="0"/>
        <v>24174.530000000002</v>
      </c>
      <c r="L21" s="9">
        <f t="shared" si="0"/>
        <v>18218.639999999996</v>
      </c>
      <c r="M21" s="9">
        <f t="shared" si="0"/>
        <v>30367.83</v>
      </c>
      <c r="N21" s="9">
        <f t="shared" si="0"/>
        <v>47000</v>
      </c>
      <c r="O21" s="9">
        <f t="shared" si="0"/>
        <v>5600</v>
      </c>
      <c r="Q21" s="9">
        <f>IFERROR(+Q10-Q17,0)</f>
        <v>247594.18999999997</v>
      </c>
    </row>
    <row r="22" spans="1:17" s="38" customFormat="1" ht="15" customHeight="1" x14ac:dyDescent="0.3">
      <c r="B22" s="17"/>
      <c r="C22" s="17"/>
      <c r="D22" s="5">
        <f t="shared" ref="D22:O22" si="1">IFERROR(D21/D10,0)</f>
        <v>1</v>
      </c>
      <c r="E22" s="5">
        <f t="shared" si="1"/>
        <v>1</v>
      </c>
      <c r="F22" s="5">
        <f t="shared" si="1"/>
        <v>1</v>
      </c>
      <c r="G22" s="5">
        <f t="shared" si="1"/>
        <v>1</v>
      </c>
      <c r="H22" s="5">
        <f t="shared" si="1"/>
        <v>0.99878317003357331</v>
      </c>
      <c r="I22" s="5">
        <f t="shared" si="1"/>
        <v>1</v>
      </c>
      <c r="J22" s="5">
        <f t="shared" si="1"/>
        <v>1</v>
      </c>
      <c r="K22" s="5">
        <f t="shared" si="1"/>
        <v>1</v>
      </c>
      <c r="L22" s="5">
        <f t="shared" si="1"/>
        <v>1</v>
      </c>
      <c r="M22" s="5">
        <f t="shared" si="1"/>
        <v>1</v>
      </c>
      <c r="N22" s="5">
        <f t="shared" si="1"/>
        <v>1</v>
      </c>
      <c r="O22" s="5">
        <f t="shared" si="1"/>
        <v>1</v>
      </c>
      <c r="P22" s="19"/>
      <c r="Q22" s="5">
        <f>IFERROR(Q21/Q10,0)</f>
        <v>0.99996664007161473</v>
      </c>
    </row>
    <row r="23" spans="1:17" ht="15" customHeight="1" x14ac:dyDescent="0.3">
      <c r="A23" s="6"/>
      <c r="B23" s="7"/>
      <c r="C23" s="6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Q23" s="2"/>
    </row>
    <row r="24" spans="1:17" s="37" customFormat="1" ht="15" customHeight="1" x14ac:dyDescent="0.3">
      <c r="A24" s="7"/>
      <c r="B24" s="17" t="s">
        <v>286</v>
      </c>
      <c r="C24" s="7"/>
      <c r="D24" s="12" cm="1">
        <f t="array" ref="D24">SUM(OSRRefD20x_0)</f>
        <v>37658.880000000005</v>
      </c>
      <c r="E24" s="12" cm="1">
        <f t="array" ref="E24">SUM(OSRRefD20x_1)</f>
        <v>17838.41</v>
      </c>
      <c r="F24" s="12" cm="1">
        <f t="array" ref="F24">SUM(OSRRefD20x_2)</f>
        <v>34563.810000000005</v>
      </c>
      <c r="G24" s="12" cm="1">
        <f t="array" ref="G24">SUM(OSRRefD20x_3)</f>
        <v>23303.37</v>
      </c>
      <c r="H24" s="12" cm="1">
        <f t="array" ref="H24">SUM(OSRRefD20x_4)</f>
        <v>12008.599999999999</v>
      </c>
      <c r="I24" s="12" cm="1">
        <f t="array" ref="I24">SUM(OSRRefD20x_5)</f>
        <v>17624.77</v>
      </c>
      <c r="J24" s="12" cm="1">
        <f t="array" ref="J24">SUM(OSRRefD20x_6)</f>
        <v>19051.82</v>
      </c>
      <c r="K24" s="12" cm="1">
        <f t="array" ref="K24">SUM(OSRRefD20x_7)</f>
        <v>20936.3</v>
      </c>
      <c r="L24" s="12" cm="1">
        <f t="array" ref="L24">SUM(OSRRefD20x_8)</f>
        <v>33901.69</v>
      </c>
      <c r="M24" s="12" cm="1">
        <f t="array" ref="M24">SUM(OSRRefD20x_9)</f>
        <v>28384.22</v>
      </c>
      <c r="N24" s="12" cm="1">
        <f t="array" ref="N24">SUM(OSRRefE20x_0)</f>
        <v>31036.604975615392</v>
      </c>
      <c r="O24" s="12" cm="1">
        <f t="array" ref="O24">SUM(OSRRefE20x_1)</f>
        <v>24289.503919615392</v>
      </c>
      <c r="Q24" s="12" cm="1">
        <f t="array" ref="Q24">SUM(OSRRefG20x)</f>
        <v>300597.97889523068</v>
      </c>
    </row>
    <row r="25" spans="1:17" s="42" customFormat="1" ht="15" customHeight="1" collapsed="1" x14ac:dyDescent="0.3">
      <c r="A25" s="34"/>
      <c r="B25" s="15" t="str">
        <f>CONCATENATE("     ","*Benefits                                         ")</f>
        <v xml:space="preserve">     *Benefits                                         </v>
      </c>
      <c r="C25" s="15"/>
      <c r="D25" s="2">
        <f>SUM(OSRRefD21_0x_0)</f>
        <v>8921.32</v>
      </c>
      <c r="E25" s="2">
        <f>SUM(OSRRefD21_0x_1)</f>
        <v>9174.36</v>
      </c>
      <c r="F25" s="2">
        <f>SUM(OSRRefD21_0x_2)</f>
        <v>8204.0700000000015</v>
      </c>
      <c r="G25" s="2">
        <f>SUM(OSRRefD21_0x_3)</f>
        <v>10120.960000000001</v>
      </c>
      <c r="H25" s="2">
        <f>SUM(OSRRefD21_0x_4)</f>
        <v>11414.57</v>
      </c>
      <c r="I25" s="2">
        <f>SUM(OSRRefD21_0x_5)</f>
        <v>4512.1400000000003</v>
      </c>
      <c r="J25" s="2">
        <f>SUM(OSRRefD21_0x_6)</f>
        <v>5896.13</v>
      </c>
      <c r="K25" s="2">
        <f>SUM(OSRRefD21_0x_7)</f>
        <v>4515.66</v>
      </c>
      <c r="L25" s="2">
        <f>SUM(OSRRefD21_0x_8)</f>
        <v>4409.54</v>
      </c>
      <c r="M25" s="2">
        <f>SUM(OSRRefD21_0x_9)</f>
        <v>5692.91</v>
      </c>
      <c r="N25" s="2">
        <f>SUM(OSRRefE21_0x_0)</f>
        <v>4438.2928217692333</v>
      </c>
      <c r="O25" s="2">
        <f>SUM(OSRRefE21_0x_1)</f>
        <v>4161.6077657692331</v>
      </c>
      <c r="Q25" s="3">
        <f>SUM(OSRRefD20_0x)+IFERROR(SUM(OSRRefE20_0x),0)</f>
        <v>81461.56058753845</v>
      </c>
    </row>
    <row r="26" spans="1:17" s="42" customFormat="1" ht="15" hidden="1" customHeight="1" outlineLevel="1" x14ac:dyDescent="0.3">
      <c r="A26" s="34"/>
      <c r="B26" s="11" t="str">
        <f>CONCATENATE("          ","6111"," - ","F.I.C.A.")</f>
        <v xml:space="preserve">          6111 - F.I.C.A.</v>
      </c>
      <c r="C26" s="15"/>
      <c r="D26" s="3">
        <v>1247.51</v>
      </c>
      <c r="E26" s="3">
        <v>1387.4</v>
      </c>
      <c r="F26" s="3">
        <v>1244.83</v>
      </c>
      <c r="G26" s="3">
        <v>1811.85</v>
      </c>
      <c r="H26" s="3">
        <v>2780.09</v>
      </c>
      <c r="I26" s="3">
        <v>690.61</v>
      </c>
      <c r="J26" s="3">
        <v>681.32</v>
      </c>
      <c r="K26" s="3">
        <v>665.6</v>
      </c>
      <c r="L26" s="3">
        <v>671.98</v>
      </c>
      <c r="M26" s="3">
        <v>1011.55</v>
      </c>
      <c r="N26" s="3">
        <v>849.25988561538497</v>
      </c>
      <c r="O26" s="3">
        <v>678.81226961538505</v>
      </c>
      <c r="P26" s="10"/>
      <c r="Q26" s="3">
        <f>SUM(OSRRefD21_0_0x)+IFERROR(SUM(OSRRefE21_0_0x),0)</f>
        <v>13720.812155230769</v>
      </c>
    </row>
    <row r="27" spans="1:17" s="42" customFormat="1" ht="15" hidden="1" customHeight="1" outlineLevel="1" x14ac:dyDescent="0.3">
      <c r="A27" s="34"/>
      <c r="B27" s="11" t="str">
        <f>CONCATENATE("          ","6112"," - ","COMPENSATION INSURANCE")</f>
        <v xml:space="preserve">          6112 - COMPENSATION INSURANCE</v>
      </c>
      <c r="C27" s="15"/>
      <c r="D27" s="3">
        <v>251.73</v>
      </c>
      <c r="E27" s="3">
        <v>285</v>
      </c>
      <c r="F27" s="3">
        <v>291.74</v>
      </c>
      <c r="G27" s="3">
        <v>441.7</v>
      </c>
      <c r="H27" s="3">
        <v>567.87</v>
      </c>
      <c r="I27" s="3">
        <v>172.02</v>
      </c>
      <c r="J27" s="3">
        <v>164.86</v>
      </c>
      <c r="K27" s="3">
        <v>179.21</v>
      </c>
      <c r="L27" s="3">
        <v>181</v>
      </c>
      <c r="M27" s="3">
        <v>180.65</v>
      </c>
      <c r="N27" s="3">
        <v>173.11452</v>
      </c>
      <c r="O27" s="3">
        <v>138.37020000000001</v>
      </c>
      <c r="P27" s="10"/>
      <c r="Q27" s="3">
        <f>SUM(OSRRefD21_0_1x)+IFERROR(SUM(OSRRefE21_0_1x),0)</f>
        <v>3027.2647200000001</v>
      </c>
    </row>
    <row r="28" spans="1:17" s="42" customFormat="1" ht="15" hidden="1" customHeight="1" outlineLevel="1" x14ac:dyDescent="0.3">
      <c r="A28" s="34"/>
      <c r="B28" s="11" t="str">
        <f>CONCATENATE("          ","6113"," - ","GROUP INSURANCE")</f>
        <v xml:space="preserve">          6113 - GROUP INSURANCE</v>
      </c>
      <c r="C28" s="15"/>
      <c r="D28" s="3">
        <v>3410.23</v>
      </c>
      <c r="E28" s="3">
        <v>3410.23</v>
      </c>
      <c r="F28" s="3">
        <v>3443.98</v>
      </c>
      <c r="G28" s="3">
        <v>3410.23</v>
      </c>
      <c r="H28" s="3">
        <v>2817.93</v>
      </c>
      <c r="I28" s="3">
        <v>1393.42</v>
      </c>
      <c r="J28" s="3">
        <v>1287</v>
      </c>
      <c r="K28" s="3">
        <v>1287</v>
      </c>
      <c r="L28" s="3">
        <v>1287</v>
      </c>
      <c r="M28" s="3">
        <v>1287</v>
      </c>
      <c r="N28" s="3">
        <v>1326</v>
      </c>
      <c r="O28" s="3">
        <v>1326</v>
      </c>
      <c r="P28" s="10"/>
      <c r="Q28" s="3">
        <f>SUM(OSRRefD21_0_2x)+IFERROR(SUM(OSRRefE21_0_2x),0)</f>
        <v>25686.019999999997</v>
      </c>
    </row>
    <row r="29" spans="1:17" s="42" customFormat="1" ht="15" hidden="1" customHeight="1" outlineLevel="1" x14ac:dyDescent="0.3">
      <c r="A29" s="34"/>
      <c r="B29" s="11" t="str">
        <f>CONCATENATE("          ","6114"," - ","STATE UNEMPLOYMENT INSURANCE")</f>
        <v xml:space="preserve">          6114 - STATE UNEMPLOYMENT INSURANCE</v>
      </c>
      <c r="C29" s="15"/>
      <c r="D29" s="3">
        <v>44.22</v>
      </c>
      <c r="E29" s="3">
        <v>50.07</v>
      </c>
      <c r="F29" s="3">
        <v>51.25</v>
      </c>
      <c r="G29" s="3">
        <v>77.599999999999994</v>
      </c>
      <c r="H29" s="3">
        <v>99.76</v>
      </c>
      <c r="I29" s="3">
        <v>30.22</v>
      </c>
      <c r="J29" s="3">
        <v>28.96</v>
      </c>
      <c r="K29" s="3">
        <v>31.48</v>
      </c>
      <c r="L29" s="3">
        <v>31.8</v>
      </c>
      <c r="M29" s="3">
        <v>31.74</v>
      </c>
      <c r="N29" s="3">
        <v>23.303877692307701</v>
      </c>
      <c r="O29" s="3">
        <v>18.626757692307699</v>
      </c>
      <c r="P29" s="10"/>
      <c r="Q29" s="3">
        <f>SUM(OSRRefD21_0_3x)+IFERROR(SUM(OSRRefE21_0_3x),0)</f>
        <v>519.03063538461538</v>
      </c>
    </row>
    <row r="30" spans="1:17" s="42" customFormat="1" ht="15" hidden="1" customHeight="1" outlineLevel="1" x14ac:dyDescent="0.3">
      <c r="A30" s="34"/>
      <c r="B30" s="11" t="str">
        <f>CONCATENATE("          ","6115"," - ","P.E.R.S.")</f>
        <v xml:space="preserve">          6115 - P.E.R.S.</v>
      </c>
      <c r="C30" s="15"/>
      <c r="D30" s="3">
        <v>1590.79</v>
      </c>
      <c r="E30" s="3">
        <v>1590.79</v>
      </c>
      <c r="F30" s="3">
        <v>1590.79</v>
      </c>
      <c r="G30" s="3">
        <v>2386.1799999999998</v>
      </c>
      <c r="H30" s="3">
        <v>3677.36</v>
      </c>
      <c r="I30" s="3">
        <v>810.13</v>
      </c>
      <c r="J30" s="3">
        <v>834.08</v>
      </c>
      <c r="K30" s="3">
        <v>811.71</v>
      </c>
      <c r="L30" s="3">
        <v>793.49</v>
      </c>
      <c r="M30" s="3">
        <v>1140.55</v>
      </c>
      <c r="N30" s="3">
        <v>762.81007692307799</v>
      </c>
      <c r="O30" s="3">
        <v>762.81007692307799</v>
      </c>
      <c r="P30" s="10"/>
      <c r="Q30" s="3">
        <f>SUM(OSRRefD21_0_4x)+IFERROR(SUM(OSRRefE21_0_4x),0)</f>
        <v>16751.490153846153</v>
      </c>
    </row>
    <row r="31" spans="1:17" s="42" customFormat="1" ht="15" hidden="1" customHeight="1" outlineLevel="1" x14ac:dyDescent="0.3">
      <c r="A31" s="34"/>
      <c r="B31" s="11" t="str">
        <f>CONCATENATE("          ","6116"," - ","EDUCATIONAL BENEFITS")</f>
        <v xml:space="preserve">          6116 - EDUCATIONAL BENEFITS</v>
      </c>
      <c r="C31" s="15"/>
      <c r="D31" s="3"/>
      <c r="E31" s="3"/>
      <c r="F31" s="3"/>
      <c r="G31" s="3"/>
      <c r="H31" s="3"/>
      <c r="I31" s="3"/>
      <c r="J31" s="3"/>
      <c r="K31" s="3"/>
      <c r="L31" s="3"/>
      <c r="M31" s="3"/>
      <c r="N31" s="3">
        <v>0</v>
      </c>
      <c r="O31" s="3">
        <v>0</v>
      </c>
      <c r="P31" s="10"/>
      <c r="Q31" s="3">
        <f>SUM(OSRRefD21_0_5x)+IFERROR(SUM(OSRRefE21_0_5x),0)</f>
        <v>0</v>
      </c>
    </row>
    <row r="32" spans="1:17" s="42" customFormat="1" ht="15" hidden="1" customHeight="1" outlineLevel="1" x14ac:dyDescent="0.3">
      <c r="A32" s="34"/>
      <c r="B32" s="11" t="str">
        <f>CONCATENATE("          ","6118"," - ","VACATION")</f>
        <v xml:space="preserve">          6118 - VACATION</v>
      </c>
      <c r="C32" s="15"/>
      <c r="D32" s="3">
        <v>1216.0999999999999</v>
      </c>
      <c r="E32" s="3">
        <v>1216.0999999999999</v>
      </c>
      <c r="F32" s="3">
        <v>697.52</v>
      </c>
      <c r="G32" s="3">
        <v>834.2</v>
      </c>
      <c r="H32" s="3">
        <v>639.32000000000005</v>
      </c>
      <c r="I32" s="3">
        <v>639.32000000000005</v>
      </c>
      <c r="J32" s="3">
        <v>1001.59</v>
      </c>
      <c r="K32" s="3">
        <v>640.52</v>
      </c>
      <c r="L32" s="3">
        <v>640.52</v>
      </c>
      <c r="M32" s="3">
        <v>976.7</v>
      </c>
      <c r="N32" s="3">
        <v>620.89192307692304</v>
      </c>
      <c r="O32" s="3">
        <v>620.89192307692304</v>
      </c>
      <c r="P32" s="10"/>
      <c r="Q32" s="3">
        <f>SUM(OSRRefD21_0_6x)+IFERROR(SUM(OSRRefE21_0_6x),0)</f>
        <v>9743.673846153848</v>
      </c>
    </row>
    <row r="33" spans="1:17" s="42" customFormat="1" ht="15" hidden="1" customHeight="1" outlineLevel="1" x14ac:dyDescent="0.3">
      <c r="A33" s="34"/>
      <c r="B33" s="11" t="str">
        <f>CONCATENATE("          ","6119"," - ","SICK LEAVE")</f>
        <v xml:space="preserve">          6119 - SICK LEAVE</v>
      </c>
      <c r="C33" s="15"/>
      <c r="D33" s="3">
        <v>738.5</v>
      </c>
      <c r="E33" s="3">
        <v>738.5</v>
      </c>
      <c r="F33" s="3">
        <v>566.41999999999996</v>
      </c>
      <c r="G33" s="3">
        <v>591.51</v>
      </c>
      <c r="H33" s="3">
        <v>410.1</v>
      </c>
      <c r="I33" s="3">
        <v>410.1</v>
      </c>
      <c r="J33" s="3">
        <v>1509.53</v>
      </c>
      <c r="K33" s="3">
        <v>411.06</v>
      </c>
      <c r="L33" s="3">
        <v>411.06</v>
      </c>
      <c r="M33" s="3">
        <v>616.59</v>
      </c>
      <c r="N33" s="3">
        <v>332.91253846153899</v>
      </c>
      <c r="O33" s="3">
        <v>266.09653846153901</v>
      </c>
      <c r="P33" s="10"/>
      <c r="Q33" s="3">
        <f>SUM(OSRRefD21_0_7x)+IFERROR(SUM(OSRRefE21_0_7x),0)</f>
        <v>7002.3790769230791</v>
      </c>
    </row>
    <row r="34" spans="1:17" s="42" customFormat="1" ht="15" hidden="1" customHeight="1" outlineLevel="1" x14ac:dyDescent="0.3">
      <c r="A34" s="34"/>
      <c r="B34" s="11" t="str">
        <f>CONCATENATE("          ","6156"," - ","EMPLOYEE MEALS")</f>
        <v xml:space="preserve">          6156 - EMPLOYEE MEALS</v>
      </c>
      <c r="C34" s="15"/>
      <c r="D34" s="3">
        <v>422.24</v>
      </c>
      <c r="E34" s="3">
        <v>496.27</v>
      </c>
      <c r="F34" s="3">
        <v>317.54000000000002</v>
      </c>
      <c r="G34" s="3">
        <v>567.69000000000005</v>
      </c>
      <c r="H34" s="3">
        <v>422.14</v>
      </c>
      <c r="I34" s="3">
        <v>366.32</v>
      </c>
      <c r="J34" s="3">
        <v>388.79</v>
      </c>
      <c r="K34" s="3">
        <v>489.08</v>
      </c>
      <c r="L34" s="3">
        <v>392.69</v>
      </c>
      <c r="M34" s="3">
        <v>448.13</v>
      </c>
      <c r="N34" s="3">
        <v>350</v>
      </c>
      <c r="O34" s="3">
        <v>350</v>
      </c>
      <c r="P34" s="10"/>
      <c r="Q34" s="3">
        <f>SUM(OSRRefD21_0_8x)+IFERROR(SUM(OSRRefE21_0_8x),0)</f>
        <v>5010.8900000000003</v>
      </c>
    </row>
    <row r="35" spans="1:17" s="42" customFormat="1" ht="15" customHeight="1" collapsed="1" x14ac:dyDescent="0.3">
      <c r="A35" s="34"/>
      <c r="B35" s="15" t="str">
        <f>CONCATENATE("     ","*Payroll                                          ")</f>
        <v xml:space="preserve">     *Payroll                                          </v>
      </c>
      <c r="C35" s="15"/>
      <c r="D35" s="2">
        <f>SUM(OSRRefD21_1x_0)</f>
        <v>19441.55</v>
      </c>
      <c r="E35" s="2">
        <f>SUM(OSRRefD21_1x_1)</f>
        <v>17940.689999999999</v>
      </c>
      <c r="F35" s="2">
        <f>SUM(OSRRefD21_1x_2)</f>
        <v>17178.86</v>
      </c>
      <c r="G35" s="2">
        <f>SUM(OSRRefD21_1x_3)</f>
        <v>22697.439999999999</v>
      </c>
      <c r="H35" s="2">
        <f>SUM(OSRRefD21_1x_4)</f>
        <v>91.619999999999891</v>
      </c>
      <c r="I35" s="2">
        <f>SUM(OSRRefD21_1x_5)</f>
        <v>10711.42</v>
      </c>
      <c r="J35" s="2">
        <f>SUM(OSRRefD21_1x_6)</f>
        <v>13111.52</v>
      </c>
      <c r="K35" s="2">
        <f>SUM(OSRRefD21_1x_7)</f>
        <v>12026.04</v>
      </c>
      <c r="L35" s="2">
        <f>SUM(OSRRefD21_1x_8)</f>
        <v>13661.55</v>
      </c>
      <c r="M35" s="2">
        <f>SUM(OSRRefD21_1x_9)</f>
        <v>14795.57</v>
      </c>
      <c r="N35" s="2">
        <f>SUM(OSRRefE21_1x_0)</f>
        <v>10303.312153846158</v>
      </c>
      <c r="O35" s="2">
        <f>SUM(OSRRefE21_1x_1)</f>
        <v>7982.8961538461599</v>
      </c>
      <c r="Q35" s="3">
        <f>SUM(OSRRefD20_1x)+IFERROR(SUM(OSRRefE20_1x),0)</f>
        <v>159942.4683076923</v>
      </c>
    </row>
    <row r="36" spans="1:17" s="42" customFormat="1" ht="15" hidden="1" customHeight="1" outlineLevel="1" x14ac:dyDescent="0.3">
      <c r="A36" s="34"/>
      <c r="B36" s="11" t="str">
        <f>CONCATENATE("          ","6001"," - ","ADMINISTRATIVE SALARIES")</f>
        <v xml:space="preserve">          6001 - ADMINISTRATIVE SALARIES</v>
      </c>
      <c r="C36" s="15"/>
      <c r="D36" s="3"/>
      <c r="E36" s="3"/>
      <c r="F36" s="3"/>
      <c r="G36" s="3"/>
      <c r="H36" s="3"/>
      <c r="I36" s="3"/>
      <c r="J36" s="3"/>
      <c r="K36" s="3"/>
      <c r="L36" s="3"/>
      <c r="M36" s="3"/>
      <c r="N36" s="3">
        <v>0</v>
      </c>
      <c r="O36" s="3">
        <v>0</v>
      </c>
      <c r="P36" s="10"/>
      <c r="Q36" s="3">
        <f>SUM(OSRRefD21_1_0x)+IFERROR(SUM(OSRRefE21_1_0x),0)</f>
        <v>0</v>
      </c>
    </row>
    <row r="37" spans="1:17" s="42" customFormat="1" ht="15" hidden="1" customHeight="1" outlineLevel="1" x14ac:dyDescent="0.3">
      <c r="A37" s="34"/>
      <c r="B37" s="11" t="str">
        <f>CONCATENATE("          ","6002"," - ","STAFF SALARIES")</f>
        <v xml:space="preserve">          6002 - STAFF SALARIES</v>
      </c>
      <c r="C37" s="15"/>
      <c r="D37" s="3">
        <v>18934.05</v>
      </c>
      <c r="E37" s="3">
        <v>15332.57</v>
      </c>
      <c r="F37" s="3">
        <v>14552.52</v>
      </c>
      <c r="G37" s="3">
        <v>19378.57</v>
      </c>
      <c r="H37" s="3">
        <v>-1936.7</v>
      </c>
      <c r="I37" s="3">
        <v>7763.16</v>
      </c>
      <c r="J37" s="3">
        <v>10145.64</v>
      </c>
      <c r="K37" s="3">
        <v>8912.0400000000009</v>
      </c>
      <c r="L37" s="3">
        <v>9955.57</v>
      </c>
      <c r="M37" s="3">
        <v>10626.39</v>
      </c>
      <c r="N37" s="3">
        <v>7982.8961538461599</v>
      </c>
      <c r="O37" s="3">
        <v>7982.8961538461599</v>
      </c>
      <c r="P37" s="10"/>
      <c r="Q37" s="3">
        <f>SUM(OSRRefD21_1_1x)+IFERROR(SUM(OSRRefE21_1_1x),0)</f>
        <v>129629.60230769233</v>
      </c>
    </row>
    <row r="38" spans="1:17" s="42" customFormat="1" ht="15" hidden="1" customHeight="1" outlineLevel="1" x14ac:dyDescent="0.3">
      <c r="A38" s="34"/>
      <c r="B38" s="11" t="str">
        <f>CONCATENATE("          ","6003"," - ","STAFF HOURLY-9 MONTH")</f>
        <v xml:space="preserve">          6003 - STAFF HOURLY-9 MONTH</v>
      </c>
      <c r="C38" s="15"/>
      <c r="D38" s="3"/>
      <c r="E38" s="3"/>
      <c r="F38" s="3"/>
      <c r="G38" s="3"/>
      <c r="H38" s="3"/>
      <c r="I38" s="3"/>
      <c r="J38" s="3"/>
      <c r="K38" s="3"/>
      <c r="L38" s="3"/>
      <c r="M38" s="3"/>
      <c r="N38" s="3">
        <v>0</v>
      </c>
      <c r="O38" s="3">
        <v>0</v>
      </c>
      <c r="P38" s="10"/>
      <c r="Q38" s="3">
        <f>SUM(OSRRefD21_1_2x)+IFERROR(SUM(OSRRefE21_1_2x),0)</f>
        <v>0</v>
      </c>
    </row>
    <row r="39" spans="1:17" s="42" customFormat="1" ht="15" hidden="1" customHeight="1" outlineLevel="1" x14ac:dyDescent="0.3">
      <c r="A39" s="34"/>
      <c r="B39" s="11" t="str">
        <f>CONCATENATE("          ","6004"," - ","STAFF HOURLY")</f>
        <v xml:space="preserve">          6004 - STAFF HOURLY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/>
      <c r="N39" s="3">
        <v>1386</v>
      </c>
      <c r="O39" s="3">
        <v>0</v>
      </c>
      <c r="P39" s="10"/>
      <c r="Q39" s="3">
        <f>SUM(OSRRefD21_1_3x)+IFERROR(SUM(OSRRefE21_1_3x),0)</f>
        <v>1386</v>
      </c>
    </row>
    <row r="40" spans="1:17" s="42" customFormat="1" ht="15" hidden="1" customHeight="1" outlineLevel="1" x14ac:dyDescent="0.3">
      <c r="A40" s="34"/>
      <c r="B40" s="11" t="str">
        <f>CONCATENATE("          ","6005"," - ","TEMPORARY WAGES-HOURLY")</f>
        <v xml:space="preserve">          6005 - TEMPORARY WAGES-HOURLY</v>
      </c>
      <c r="C40" s="15"/>
      <c r="D40" s="3"/>
      <c r="E40" s="3"/>
      <c r="F40" s="3"/>
      <c r="G40" s="3"/>
      <c r="H40" s="3"/>
      <c r="I40" s="3"/>
      <c r="J40" s="3"/>
      <c r="K40" s="3"/>
      <c r="L40" s="3"/>
      <c r="M40" s="3"/>
      <c r="N40" s="3">
        <v>0</v>
      </c>
      <c r="O40" s="3">
        <v>0</v>
      </c>
      <c r="P40" s="10"/>
      <c r="Q40" s="3">
        <f>SUM(OSRRefD21_1_4x)+IFERROR(SUM(OSRRefE21_1_4x),0)</f>
        <v>0</v>
      </c>
    </row>
    <row r="41" spans="1:17" s="42" customFormat="1" ht="15" hidden="1" customHeight="1" outlineLevel="1" x14ac:dyDescent="0.3">
      <c r="A41" s="34"/>
      <c r="B41" s="11" t="str">
        <f>CONCATENATE("          ","6006"," - ","TEMPORARY PART TIME")</f>
        <v xml:space="preserve">          6006 - TEMPORARY PART TIME</v>
      </c>
      <c r="C41" s="15"/>
      <c r="D41" s="3"/>
      <c r="E41" s="3"/>
      <c r="F41" s="3"/>
      <c r="G41" s="3"/>
      <c r="H41" s="3"/>
      <c r="I41" s="3"/>
      <c r="J41" s="3"/>
      <c r="K41" s="3"/>
      <c r="L41" s="3"/>
      <c r="M41" s="3"/>
      <c r="N41" s="3">
        <v>0</v>
      </c>
      <c r="O41" s="3">
        <v>0</v>
      </c>
      <c r="P41" s="10"/>
      <c r="Q41" s="3">
        <f>SUM(OSRRefD21_1_5x)+IFERROR(SUM(OSRRefE21_1_5x),0)</f>
        <v>0</v>
      </c>
    </row>
    <row r="42" spans="1:17" s="42" customFormat="1" ht="15" hidden="1" customHeight="1" outlineLevel="1" x14ac:dyDescent="0.3">
      <c r="A42" s="34"/>
      <c r="B42" s="11" t="str">
        <f>CONCATENATE("          ","6007"," - ","STUDENT HOURLY")</f>
        <v xml:space="preserve">          6007 - STUDENT HOURLY</v>
      </c>
      <c r="C42" s="15"/>
      <c r="D42" s="3">
        <v>507.5</v>
      </c>
      <c r="E42" s="3">
        <v>2608.12</v>
      </c>
      <c r="F42" s="3">
        <v>2626.34</v>
      </c>
      <c r="G42" s="3">
        <v>3318.87</v>
      </c>
      <c r="H42" s="3">
        <v>2028.32</v>
      </c>
      <c r="I42" s="3">
        <v>2948.26</v>
      </c>
      <c r="J42" s="3">
        <v>2965.88</v>
      </c>
      <c r="K42" s="3">
        <v>3114</v>
      </c>
      <c r="L42" s="3">
        <v>3705.98</v>
      </c>
      <c r="M42" s="3">
        <v>3416.93</v>
      </c>
      <c r="N42" s="3">
        <v>934.41600000000005</v>
      </c>
      <c r="O42" s="3">
        <v>0</v>
      </c>
      <c r="P42" s="10"/>
      <c r="Q42" s="3">
        <f>SUM(OSRRefD21_1_6x)+IFERROR(SUM(OSRRefE21_1_6x),0)</f>
        <v>28174.616000000002</v>
      </c>
    </row>
    <row r="43" spans="1:17" s="42" customFormat="1" ht="15" hidden="1" customHeight="1" outlineLevel="1" x14ac:dyDescent="0.3">
      <c r="A43" s="34"/>
      <c r="B43" s="11" t="str">
        <f>CONCATENATE("          ","6008"," - ","STUDENT HOURLY-FICA EXEMPT")</f>
        <v xml:space="preserve">          6008 - STUDENT HOURLY-FICA EXEMPT</v>
      </c>
      <c r="C43" s="15"/>
      <c r="D43" s="3"/>
      <c r="E43" s="3"/>
      <c r="F43" s="3"/>
      <c r="G43" s="3"/>
      <c r="H43" s="3"/>
      <c r="I43" s="3"/>
      <c r="J43" s="3"/>
      <c r="K43" s="3"/>
      <c r="L43" s="3"/>
      <c r="M43" s="3">
        <v>752.25</v>
      </c>
      <c r="N43" s="3">
        <v>0</v>
      </c>
      <c r="O43" s="3">
        <v>0</v>
      </c>
      <c r="P43" s="10"/>
      <c r="Q43" s="3">
        <f>SUM(OSRRefD21_1_7x)+IFERROR(SUM(OSRRefE21_1_7x),0)</f>
        <v>752.25</v>
      </c>
    </row>
    <row r="44" spans="1:17" s="42" customFormat="1" ht="15" hidden="1" customHeight="1" outlineLevel="1" x14ac:dyDescent="0.3">
      <c r="A44" s="34"/>
      <c r="B44" s="11" t="str">
        <f>CONCATENATE("          ","6009"," - ","TEMPORARY-SEASONAL")</f>
        <v xml:space="preserve">          6009 - TEMPORARY-SEASONAL</v>
      </c>
      <c r="C44" s="15"/>
      <c r="D44" s="3"/>
      <c r="E44" s="3"/>
      <c r="F44" s="3"/>
      <c r="G44" s="3"/>
      <c r="H44" s="3"/>
      <c r="I44" s="3"/>
      <c r="J44" s="3"/>
      <c r="K44" s="3"/>
      <c r="L44" s="3"/>
      <c r="M44" s="3"/>
      <c r="N44" s="3">
        <v>0</v>
      </c>
      <c r="O44" s="3">
        <v>0</v>
      </c>
      <c r="P44" s="10"/>
      <c r="Q44" s="3">
        <f>SUM(OSRRefD21_1_8x)+IFERROR(SUM(OSRRefE21_1_8x),0)</f>
        <v>0</v>
      </c>
    </row>
    <row r="45" spans="1:17" s="42" customFormat="1" ht="15" hidden="1" customHeight="1" outlineLevel="1" x14ac:dyDescent="0.3">
      <c r="A45" s="34"/>
      <c r="B45" s="11" t="str">
        <f>CONCATENATE("          ","6010"," - ","GRATUITY")</f>
        <v xml:space="preserve">          6010 - GRATUITY</v>
      </c>
      <c r="C45" s="15"/>
      <c r="D45" s="3"/>
      <c r="E45" s="3"/>
      <c r="F45" s="3"/>
      <c r="G45" s="3"/>
      <c r="H45" s="3"/>
      <c r="I45" s="3"/>
      <c r="J45" s="3"/>
      <c r="K45" s="3"/>
      <c r="L45" s="3"/>
      <c r="M45" s="3"/>
      <c r="N45" s="3">
        <v>0</v>
      </c>
      <c r="O45" s="3">
        <v>0</v>
      </c>
      <c r="P45" s="10"/>
      <c r="Q45" s="3">
        <f>SUM(OSRRefD21_1_9x)+IFERROR(SUM(OSRRefE21_1_9x),0)</f>
        <v>0</v>
      </c>
    </row>
    <row r="46" spans="1:17" s="42" customFormat="1" ht="15" customHeight="1" collapsed="1" x14ac:dyDescent="0.3">
      <c r="A46" s="34"/>
      <c r="B46" s="15" t="str">
        <f>CONCATENATE("     ","Advertising/Promo                                 ")</f>
        <v xml:space="preserve">     Advertising/Promo                                 </v>
      </c>
      <c r="C46" s="15"/>
      <c r="D46" s="2">
        <f>SUM(OSRRefD21_2x_0)</f>
        <v>0</v>
      </c>
      <c r="E46" s="2">
        <f>SUM(OSRRefD21_2x_1)</f>
        <v>0</v>
      </c>
      <c r="F46" s="2">
        <f>SUM(OSRRefD21_2x_2)</f>
        <v>0</v>
      </c>
      <c r="G46" s="2">
        <f>SUM(OSRRefD21_2x_3)</f>
        <v>97.75</v>
      </c>
      <c r="H46" s="2">
        <f>SUM(OSRRefD21_2x_4)</f>
        <v>0</v>
      </c>
      <c r="I46" s="2">
        <f>SUM(OSRRefD21_2x_5)</f>
        <v>0</v>
      </c>
      <c r="J46" s="2">
        <f>SUM(OSRRefD21_2x_6)</f>
        <v>44.1</v>
      </c>
      <c r="K46" s="2">
        <f>SUM(OSRRefD21_2x_7)</f>
        <v>10</v>
      </c>
      <c r="L46" s="2">
        <f>SUM(OSRRefD21_2x_8)</f>
        <v>0</v>
      </c>
      <c r="M46" s="2">
        <f>SUM(OSRRefD21_2x_9)</f>
        <v>0</v>
      </c>
      <c r="N46" s="2">
        <f>SUM(OSRRefE21_2x_0)</f>
        <v>50</v>
      </c>
      <c r="O46" s="2">
        <f>SUM(OSRRefE21_2x_1)</f>
        <v>50</v>
      </c>
      <c r="Q46" s="3">
        <f>SUM(OSRRefD20_2x)+IFERROR(SUM(OSRRefE20_2x),0)</f>
        <v>251.85</v>
      </c>
    </row>
    <row r="47" spans="1:17" s="42" customFormat="1" ht="15" hidden="1" customHeight="1" outlineLevel="1" x14ac:dyDescent="0.3">
      <c r="A47" s="34"/>
      <c r="B47" s="11" t="str">
        <f>CONCATENATE("          ","6362"," - ","ADVERTISING EXPENSE")</f>
        <v xml:space="preserve">          6362 - ADVERTISING EXPENSE</v>
      </c>
      <c r="C47" s="15"/>
      <c r="D47" s="3"/>
      <c r="E47" s="3"/>
      <c r="F47" s="3"/>
      <c r="G47" s="3">
        <v>97.75</v>
      </c>
      <c r="H47" s="3"/>
      <c r="I47" s="3"/>
      <c r="J47" s="3">
        <v>44.1</v>
      </c>
      <c r="K47" s="3">
        <v>10</v>
      </c>
      <c r="L47" s="3"/>
      <c r="M47" s="3"/>
      <c r="N47" s="3">
        <v>50</v>
      </c>
      <c r="O47" s="3">
        <v>50</v>
      </c>
      <c r="P47" s="10"/>
      <c r="Q47" s="3">
        <f>SUM(OSRRefD21_2_0x)+IFERROR(SUM(OSRRefE21_2_0x),0)</f>
        <v>251.85</v>
      </c>
    </row>
    <row r="48" spans="1:17" s="42" customFormat="1" ht="15" customHeight="1" collapsed="1" x14ac:dyDescent="0.3">
      <c r="A48" s="34"/>
      <c r="B48" s="15" t="str">
        <f>CONCATENATE("     ","Depreciation                                      ")</f>
        <v xml:space="preserve">     Depreciation                                      </v>
      </c>
      <c r="C48" s="15"/>
      <c r="D48" s="2">
        <f>SUM(OSRRefD21_3x_0)</f>
        <v>169.88</v>
      </c>
      <c r="E48" s="2">
        <f>SUM(OSRRefD21_3x_1)</f>
        <v>169.88</v>
      </c>
      <c r="F48" s="2">
        <f>SUM(OSRRefD21_3x_2)</f>
        <v>169.88</v>
      </c>
      <c r="G48" s="2">
        <f>SUM(OSRRefD21_3x_3)</f>
        <v>169.88</v>
      </c>
      <c r="H48" s="2">
        <f>SUM(OSRRefD21_3x_4)</f>
        <v>169.88</v>
      </c>
      <c r="I48" s="2">
        <f>SUM(OSRRefD21_3x_5)</f>
        <v>169.88</v>
      </c>
      <c r="J48" s="2">
        <f>SUM(OSRRefD21_3x_6)</f>
        <v>169.88</v>
      </c>
      <c r="K48" s="2">
        <f>SUM(OSRRefD21_3x_7)</f>
        <v>169.88</v>
      </c>
      <c r="L48" s="2">
        <f>SUM(OSRRefD21_3x_8)</f>
        <v>169.88</v>
      </c>
      <c r="M48" s="2">
        <f>SUM(OSRRefD21_3x_9)</f>
        <v>169.88</v>
      </c>
      <c r="N48" s="2">
        <f>SUM(OSRRefE21_3x_0)</f>
        <v>170</v>
      </c>
      <c r="O48" s="2">
        <f>SUM(OSRRefE21_3x_1)</f>
        <v>170</v>
      </c>
      <c r="Q48" s="3">
        <f>SUM(OSRRefD20_3x)+IFERROR(SUM(OSRRefE20_3x),0)</f>
        <v>2038.8000000000002</v>
      </c>
    </row>
    <row r="49" spans="1:17" s="42" customFormat="1" ht="15" hidden="1" customHeight="1" outlineLevel="1" x14ac:dyDescent="0.3">
      <c r="A49" s="34"/>
      <c r="B49" s="11" t="str">
        <f>CONCATENATE("          ","6322"," - ","EQUIPMENT DEPRECIATION EXPENSE")</f>
        <v xml:space="preserve">          6322 - EQUIPMENT DEPRECIATION EXPENSE</v>
      </c>
      <c r="C49" s="15"/>
      <c r="D49" s="3">
        <v>169.88</v>
      </c>
      <c r="E49" s="3">
        <v>169.88</v>
      </c>
      <c r="F49" s="3">
        <v>169.88</v>
      </c>
      <c r="G49" s="3">
        <v>169.88</v>
      </c>
      <c r="H49" s="3">
        <v>169.88</v>
      </c>
      <c r="I49" s="3">
        <v>169.88</v>
      </c>
      <c r="J49" s="3">
        <v>169.88</v>
      </c>
      <c r="K49" s="3">
        <v>169.88</v>
      </c>
      <c r="L49" s="3">
        <v>169.88</v>
      </c>
      <c r="M49" s="3">
        <v>169.88</v>
      </c>
      <c r="N49" s="3">
        <v>170</v>
      </c>
      <c r="O49" s="3">
        <v>170</v>
      </c>
      <c r="P49" s="10"/>
      <c r="Q49" s="3">
        <f>SUM(OSRRefD21_3_0x)+IFERROR(SUM(OSRRefE21_3_0x),0)</f>
        <v>2038.8000000000002</v>
      </c>
    </row>
    <row r="50" spans="1:17" s="42" customFormat="1" ht="15" customHeight="1" collapsed="1" x14ac:dyDescent="0.3">
      <c r="A50" s="34"/>
      <c r="B50" s="15" t="str">
        <f>CONCATENATE("     ","Equipment Rental                                  ")</f>
        <v xml:space="preserve">     Equipment Rental                                  </v>
      </c>
      <c r="C50" s="15"/>
      <c r="D50" s="2">
        <f>SUM(OSRRefD21_4x_0)</f>
        <v>1205.6400000000001</v>
      </c>
      <c r="E50" s="2">
        <f>SUM(OSRRefD21_4x_1)</f>
        <v>1205.6400000000001</v>
      </c>
      <c r="F50" s="2">
        <f>SUM(OSRRefD21_4x_2)</f>
        <v>1205.6400000000001</v>
      </c>
      <c r="G50" s="2">
        <f>SUM(OSRRefD21_4x_3)</f>
        <v>1205.6400000000001</v>
      </c>
      <c r="H50" s="2">
        <f>SUM(OSRRefD21_4x_4)</f>
        <v>1205.6400000000001</v>
      </c>
      <c r="I50" s="2">
        <f>SUM(OSRRefD21_4x_5)</f>
        <v>1205.6400000000001</v>
      </c>
      <c r="J50" s="2">
        <f>SUM(OSRRefD21_4x_6)</f>
        <v>1296.9000000000001</v>
      </c>
      <c r="K50" s="2">
        <f>SUM(OSRRefD21_4x_7)</f>
        <v>1205.6400000000001</v>
      </c>
      <c r="L50" s="2">
        <f>SUM(OSRRefD21_4x_8)</f>
        <v>1205.6400000000001</v>
      </c>
      <c r="M50" s="2">
        <f>SUM(OSRRefD21_4x_9)</f>
        <v>1205.6400000000001</v>
      </c>
      <c r="N50" s="2">
        <f>SUM(OSRRefE21_4x_0)</f>
        <v>1300</v>
      </c>
      <c r="O50" s="2">
        <f>SUM(OSRRefE21_4x_1)</f>
        <v>1300</v>
      </c>
      <c r="Q50" s="3">
        <f>SUM(OSRRefD20_4x)+IFERROR(SUM(OSRRefE20_4x),0)</f>
        <v>14747.66</v>
      </c>
    </row>
    <row r="51" spans="1:17" s="42" customFormat="1" ht="15" hidden="1" customHeight="1" outlineLevel="1" x14ac:dyDescent="0.3">
      <c r="A51" s="34"/>
      <c r="B51" s="11" t="str">
        <f>CONCATENATE("          ","6351"," - ","EQUIPMENT RENTAL")</f>
        <v xml:space="preserve">          6351 - EQUIPMENT RENTAL</v>
      </c>
      <c r="C51" s="15"/>
      <c r="D51" s="3">
        <v>1205.6400000000001</v>
      </c>
      <c r="E51" s="3">
        <v>1205.6400000000001</v>
      </c>
      <c r="F51" s="3">
        <v>1205.6400000000001</v>
      </c>
      <c r="G51" s="3">
        <v>1205.6400000000001</v>
      </c>
      <c r="H51" s="3">
        <v>1205.6400000000001</v>
      </c>
      <c r="I51" s="3">
        <v>1205.6400000000001</v>
      </c>
      <c r="J51" s="3">
        <v>1296.9000000000001</v>
      </c>
      <c r="K51" s="3">
        <v>1205.6400000000001</v>
      </c>
      <c r="L51" s="3">
        <v>1205.6400000000001</v>
      </c>
      <c r="M51" s="3">
        <v>1205.6400000000001</v>
      </c>
      <c r="N51" s="3">
        <v>1300</v>
      </c>
      <c r="O51" s="3">
        <v>1300</v>
      </c>
      <c r="P51" s="10"/>
      <c r="Q51" s="3">
        <f>SUM(OSRRefD21_4_0x)+IFERROR(SUM(OSRRefE21_4_0x),0)</f>
        <v>14747.66</v>
      </c>
    </row>
    <row r="52" spans="1:17" s="42" customFormat="1" ht="15" customHeight="1" collapsed="1" x14ac:dyDescent="0.3">
      <c r="A52" s="34"/>
      <c r="B52" s="15" t="str">
        <f>CONCATENATE("     ","Freight out/Postage                               ")</f>
        <v xml:space="preserve">     Freight out/Postage                               </v>
      </c>
      <c r="C52" s="15"/>
      <c r="D52" s="2">
        <f>SUM(OSRRefD21_5x_0)</f>
        <v>2283.8600000000006</v>
      </c>
      <c r="E52" s="2">
        <f>SUM(OSRRefD21_5x_1)</f>
        <v>-20187.95</v>
      </c>
      <c r="F52" s="2">
        <f>SUM(OSRRefD21_5x_2)</f>
        <v>3500.9700000000012</v>
      </c>
      <c r="G52" s="2">
        <f>SUM(OSRRefD21_5x_3)</f>
        <v>-24784.420000000002</v>
      </c>
      <c r="H52" s="2">
        <f>SUM(OSRRefD21_5x_4)</f>
        <v>-3785.619999999999</v>
      </c>
      <c r="I52" s="2">
        <f>SUM(OSRRefD21_5x_5)</f>
        <v>-4174.8600000000006</v>
      </c>
      <c r="J52" s="2">
        <f>SUM(OSRRefD21_5x_6)</f>
        <v>-10138.209999999999</v>
      </c>
      <c r="K52" s="2">
        <f>SUM(OSRRefD21_5x_7)</f>
        <v>-7076.82</v>
      </c>
      <c r="L52" s="2">
        <f>SUM(OSRRefD21_5x_8)</f>
        <v>1763.2199999999993</v>
      </c>
      <c r="M52" s="2">
        <f>SUM(OSRRefD21_5x_9)</f>
        <v>-6034.4100000000008</v>
      </c>
      <c r="N52" s="2">
        <f>SUM(OSRRefE21_5x_0)</f>
        <v>-3000</v>
      </c>
      <c r="O52" s="2">
        <f>SUM(OSRRefE21_5x_1)</f>
        <v>-3000</v>
      </c>
      <c r="Q52" s="3">
        <f>SUM(OSRRefD20_5x)+IFERROR(SUM(OSRRefE20_5x),0)</f>
        <v>-74634.240000000005</v>
      </c>
    </row>
    <row r="53" spans="1:17" s="42" customFormat="1" ht="15" hidden="1" customHeight="1" outlineLevel="1" x14ac:dyDescent="0.3">
      <c r="A53" s="34"/>
      <c r="B53" s="11" t="str">
        <f>CONCATENATE("          ","6305"," - ","FREIGHT OUT")</f>
        <v xml:space="preserve">          6305 - FREIGHT OUT</v>
      </c>
      <c r="C53" s="15"/>
      <c r="D53" s="3">
        <v>9911.1200000000008</v>
      </c>
      <c r="E53" s="3">
        <v>4220.1899999999996</v>
      </c>
      <c r="F53" s="3">
        <v>13197.43</v>
      </c>
      <c r="G53" s="3">
        <v>26152.05</v>
      </c>
      <c r="H53" s="3">
        <v>8941.11</v>
      </c>
      <c r="I53" s="3">
        <v>10292.709999999999</v>
      </c>
      <c r="J53" s="3">
        <v>14906.39</v>
      </c>
      <c r="K53" s="3">
        <v>7594.99</v>
      </c>
      <c r="L53" s="3">
        <v>10386.42</v>
      </c>
      <c r="M53" s="3">
        <v>7450.71</v>
      </c>
      <c r="N53" s="3">
        <v>1500</v>
      </c>
      <c r="O53" s="3">
        <v>1500</v>
      </c>
      <c r="P53" s="10"/>
      <c r="Q53" s="3">
        <f>SUM(OSRRefD21_5_0x)+IFERROR(SUM(OSRRefE21_5_0x),0)</f>
        <v>116053.12000000001</v>
      </c>
    </row>
    <row r="54" spans="1:17" s="42" customFormat="1" ht="15" hidden="1" customHeight="1" outlineLevel="1" x14ac:dyDescent="0.3">
      <c r="A54" s="34"/>
      <c r="B54" s="11" t="str">
        <f>CONCATENATE("          ","6307"," - ","POSTAGE")</f>
        <v xml:space="preserve">          6307 - POSTAGE</v>
      </c>
      <c r="C54" s="15"/>
      <c r="D54" s="3">
        <v>-7627.26</v>
      </c>
      <c r="E54" s="3">
        <v>-24408.14</v>
      </c>
      <c r="F54" s="3">
        <v>-9696.4599999999991</v>
      </c>
      <c r="G54" s="3">
        <v>-50936.47</v>
      </c>
      <c r="H54" s="3">
        <v>-12726.73</v>
      </c>
      <c r="I54" s="3">
        <v>-14467.57</v>
      </c>
      <c r="J54" s="3">
        <v>-25044.6</v>
      </c>
      <c r="K54" s="3">
        <v>-14671.81</v>
      </c>
      <c r="L54" s="3">
        <v>-8623.2000000000007</v>
      </c>
      <c r="M54" s="3">
        <v>-13485.12</v>
      </c>
      <c r="N54" s="3">
        <v>-4500</v>
      </c>
      <c r="O54" s="3">
        <v>-4500</v>
      </c>
      <c r="P54" s="10"/>
      <c r="Q54" s="3">
        <f>SUM(OSRRefD21_5_1x)+IFERROR(SUM(OSRRefE21_5_1x),0)</f>
        <v>-190687.36000000002</v>
      </c>
    </row>
    <row r="55" spans="1:17" s="42" customFormat="1" ht="15" customHeight="1" collapsed="1" x14ac:dyDescent="0.3">
      <c r="A55" s="34"/>
      <c r="B55" s="15" t="str">
        <f>CONCATENATE("     ","General                                           ")</f>
        <v xml:space="preserve">     General                                           </v>
      </c>
      <c r="C55" s="15"/>
      <c r="D55" s="2">
        <f>SUM(OSRRefD21_6x_0)</f>
        <v>0</v>
      </c>
      <c r="E55" s="2">
        <f>SUM(OSRRefD21_6x_1)</f>
        <v>0</v>
      </c>
      <c r="F55" s="2">
        <f>SUM(OSRRefD21_6x_2)</f>
        <v>91.31</v>
      </c>
      <c r="G55" s="2">
        <f>SUM(OSRRefD21_6x_3)</f>
        <v>0</v>
      </c>
      <c r="H55" s="2">
        <f>SUM(OSRRefD21_6x_4)</f>
        <v>0</v>
      </c>
      <c r="I55" s="2">
        <f>SUM(OSRRefD21_6x_5)</f>
        <v>0</v>
      </c>
      <c r="J55" s="2">
        <f>SUM(OSRRefD21_6x_6)</f>
        <v>0</v>
      </c>
      <c r="K55" s="2">
        <f>SUM(OSRRefD21_6x_7)</f>
        <v>0</v>
      </c>
      <c r="L55" s="2">
        <f>SUM(OSRRefD21_6x_8)</f>
        <v>0</v>
      </c>
      <c r="M55" s="2">
        <f>SUM(OSRRefD21_6x_9)</f>
        <v>0</v>
      </c>
      <c r="N55" s="2">
        <f>SUM(OSRRefE21_6x_0)</f>
        <v>0</v>
      </c>
      <c r="O55" s="2">
        <f>SUM(OSRRefE21_6x_1)</f>
        <v>0</v>
      </c>
      <c r="Q55" s="3">
        <f>SUM(OSRRefD20_6x)+IFERROR(SUM(OSRRefE20_6x),0)</f>
        <v>91.31</v>
      </c>
    </row>
    <row r="56" spans="1:17" s="42" customFormat="1" ht="15" hidden="1" customHeight="1" outlineLevel="1" x14ac:dyDescent="0.3">
      <c r="A56" s="34"/>
      <c r="B56" s="11" t="str">
        <f>CONCATENATE("          ","6279"," - ","GENERAL EXPENSE")</f>
        <v xml:space="preserve">          6279 - GENERAL EXPENSE</v>
      </c>
      <c r="C56" s="15"/>
      <c r="D56" s="3"/>
      <c r="E56" s="3"/>
      <c r="F56" s="3">
        <v>91.31</v>
      </c>
      <c r="G56" s="3"/>
      <c r="H56" s="3"/>
      <c r="I56" s="3"/>
      <c r="J56" s="3"/>
      <c r="K56" s="3"/>
      <c r="L56" s="3"/>
      <c r="M56" s="3"/>
      <c r="N56" s="3"/>
      <c r="O56" s="3"/>
      <c r="P56" s="10"/>
      <c r="Q56" s="3">
        <f>SUM(OSRRefD21_6_0x)+IFERROR(SUM(OSRRefE21_6_0x),0)</f>
        <v>91.31</v>
      </c>
    </row>
    <row r="57" spans="1:17" s="42" customFormat="1" ht="15" customHeight="1" collapsed="1" x14ac:dyDescent="0.3">
      <c r="A57" s="34"/>
      <c r="B57" s="15" t="str">
        <f>CONCATENATE("     ","Repair and Maintenance                            ")</f>
        <v xml:space="preserve">     Repair and Maintenance                            </v>
      </c>
      <c r="C57" s="15"/>
      <c r="D57" s="2">
        <f>SUM(OSRRefD21_7x_0)</f>
        <v>2345.98</v>
      </c>
      <c r="E57" s="2">
        <f>SUM(OSRRefD21_7x_1)</f>
        <v>1731.54</v>
      </c>
      <c r="F57" s="2">
        <f>SUM(OSRRefD21_7x_2)</f>
        <v>0</v>
      </c>
      <c r="G57" s="2">
        <f>SUM(OSRRefD21_7x_3)</f>
        <v>8307.630000000001</v>
      </c>
      <c r="H57" s="2">
        <f>SUM(OSRRefD21_7x_4)</f>
        <v>142.87</v>
      </c>
      <c r="I57" s="2">
        <f>SUM(OSRRefD21_7x_5)</f>
        <v>700.73</v>
      </c>
      <c r="J57" s="2">
        <f>SUM(OSRRefD21_7x_6)</f>
        <v>7510.08</v>
      </c>
      <c r="K57" s="2">
        <f>SUM(OSRRefD21_7x_7)</f>
        <v>2632.59</v>
      </c>
      <c r="L57" s="2">
        <f>SUM(OSRRefD21_7x_8)</f>
        <v>2724.17</v>
      </c>
      <c r="M57" s="2">
        <f>SUM(OSRRefD21_7x_9)</f>
        <v>2209.4499999999998</v>
      </c>
      <c r="N57" s="2">
        <f>SUM(OSRRefE21_7x_0)</f>
        <v>5600</v>
      </c>
      <c r="O57" s="2">
        <f>SUM(OSRRefE21_7x_1)</f>
        <v>5600</v>
      </c>
      <c r="Q57" s="3">
        <f>SUM(OSRRefD20_7x)+IFERROR(SUM(OSRRefE20_7x),0)</f>
        <v>39505.040000000008</v>
      </c>
    </row>
    <row r="58" spans="1:17" s="42" customFormat="1" ht="15" hidden="1" customHeight="1" outlineLevel="1" x14ac:dyDescent="0.3">
      <c r="A58" s="34"/>
      <c r="B58" s="11" t="str">
        <f>CONCATENATE("          ","6373"," - ","MAINTENANCE CONTRACTS")</f>
        <v xml:space="preserve">          6373 - MAINTENANCE CONTRACTS</v>
      </c>
      <c r="C58" s="15"/>
      <c r="D58" s="3">
        <v>625.34</v>
      </c>
      <c r="E58" s="3">
        <v>55.74</v>
      </c>
      <c r="F58" s="3"/>
      <c r="G58" s="3">
        <v>3806.46</v>
      </c>
      <c r="H58" s="3">
        <v>142.87</v>
      </c>
      <c r="I58" s="3">
        <v>700.73</v>
      </c>
      <c r="J58" s="3">
        <v>1433.04</v>
      </c>
      <c r="K58" s="3">
        <v>749.09</v>
      </c>
      <c r="L58" s="3">
        <v>964.58</v>
      </c>
      <c r="M58" s="3">
        <v>770.04</v>
      </c>
      <c r="N58" s="3">
        <v>5600</v>
      </c>
      <c r="O58" s="3">
        <v>5600</v>
      </c>
      <c r="P58" s="10"/>
      <c r="Q58" s="3">
        <f>SUM(OSRRefD21_7_0x)+IFERROR(SUM(OSRRefE21_7_0x),0)</f>
        <v>20447.89</v>
      </c>
    </row>
    <row r="59" spans="1:17" s="42" customFormat="1" ht="15" hidden="1" customHeight="1" outlineLevel="1" x14ac:dyDescent="0.3">
      <c r="A59" s="34"/>
      <c r="B59" s="11" t="str">
        <f>CONCATENATE("          ","6375"," - ","OUTSIDE REPAIRS &amp; MAINTENANCE")</f>
        <v xml:space="preserve">          6375 - OUTSIDE REPAIRS &amp; MAINTENANCE</v>
      </c>
      <c r="C59" s="15"/>
      <c r="D59" s="3">
        <v>1720.64</v>
      </c>
      <c r="E59" s="3">
        <v>1675.8</v>
      </c>
      <c r="F59" s="3"/>
      <c r="G59" s="3">
        <v>4501.17</v>
      </c>
      <c r="H59" s="3"/>
      <c r="I59" s="3"/>
      <c r="J59" s="3">
        <v>6077.04</v>
      </c>
      <c r="K59" s="3">
        <v>1883.5</v>
      </c>
      <c r="L59" s="3">
        <v>1759.59</v>
      </c>
      <c r="M59" s="3">
        <v>1439.41</v>
      </c>
      <c r="N59" s="3"/>
      <c r="O59" s="3"/>
      <c r="P59" s="10"/>
      <c r="Q59" s="3">
        <f>SUM(OSRRefD21_7_1x)+IFERROR(SUM(OSRRefE21_7_1x),0)</f>
        <v>19057.150000000001</v>
      </c>
    </row>
    <row r="60" spans="1:17" s="42" customFormat="1" ht="15" customHeight="1" collapsed="1" x14ac:dyDescent="0.3">
      <c r="A60" s="34"/>
      <c r="B60" s="15" t="str">
        <f>CONCATENATE("     ","Royalty &amp; Commissions                             ")</f>
        <v xml:space="preserve">     Royalty &amp; Commissions                             </v>
      </c>
      <c r="C60" s="15"/>
      <c r="D60" s="2">
        <f>SUM(OSRRefD21_8x_0)</f>
        <v>6.06</v>
      </c>
      <c r="E60" s="2">
        <f>SUM(OSRRefD21_8x_1)</f>
        <v>601.89</v>
      </c>
      <c r="F60" s="2">
        <f>SUM(OSRRefD21_8x_2)</f>
        <v>1174.22</v>
      </c>
      <c r="G60" s="2">
        <f>SUM(OSRRefD21_8x_3)</f>
        <v>1925.97</v>
      </c>
      <c r="H60" s="2">
        <f>SUM(OSRRefD21_8x_4)</f>
        <v>784.77</v>
      </c>
      <c r="I60" s="2">
        <f>SUM(OSRRefD21_8x_5)</f>
        <v>1121.23</v>
      </c>
      <c r="J60" s="2">
        <f>SUM(OSRRefD21_8x_6)</f>
        <v>254.44</v>
      </c>
      <c r="K60" s="2">
        <f>SUM(OSRRefD21_8x_7)</f>
        <v>1634.9</v>
      </c>
      <c r="L60" s="2">
        <f>SUM(OSRRefD21_8x_8)</f>
        <v>2502.14</v>
      </c>
      <c r="M60" s="2">
        <f>SUM(OSRRefD21_8x_9)</f>
        <v>2045.03</v>
      </c>
      <c r="N60" s="2">
        <f>SUM(OSRRefE21_8x_0)</f>
        <v>6500</v>
      </c>
      <c r="O60" s="2">
        <f>SUM(OSRRefE21_8x_1)</f>
        <v>6500</v>
      </c>
      <c r="Q60" s="3">
        <f>SUM(OSRRefD20_8x)+IFERROR(SUM(OSRRefE20_8x),0)</f>
        <v>25050.65</v>
      </c>
    </row>
    <row r="61" spans="1:17" s="42" customFormat="1" ht="15" hidden="1" customHeight="1" outlineLevel="1" x14ac:dyDescent="0.3">
      <c r="A61" s="34"/>
      <c r="B61" s="11" t="str">
        <f>CONCATENATE("          ","6259"," - ","ROYALTY &amp; COMMISSIONS")</f>
        <v xml:space="preserve">          6259 - ROYALTY &amp; COMMISSIONS</v>
      </c>
      <c r="C61" s="15"/>
      <c r="D61" s="3">
        <v>6.06</v>
      </c>
      <c r="E61" s="3">
        <v>601.89</v>
      </c>
      <c r="F61" s="3">
        <v>1174.22</v>
      </c>
      <c r="G61" s="3">
        <v>1925.97</v>
      </c>
      <c r="H61" s="3">
        <v>784.77</v>
      </c>
      <c r="I61" s="3">
        <v>1121.23</v>
      </c>
      <c r="J61" s="3">
        <v>254.44</v>
      </c>
      <c r="K61" s="3">
        <v>1634.9</v>
      </c>
      <c r="L61" s="3">
        <v>2502.14</v>
      </c>
      <c r="M61" s="3">
        <v>2045.03</v>
      </c>
      <c r="N61" s="3">
        <v>6500</v>
      </c>
      <c r="O61" s="3">
        <v>6500</v>
      </c>
      <c r="P61" s="10"/>
      <c r="Q61" s="3">
        <f>SUM(OSRRefD21_8_0x)+IFERROR(SUM(OSRRefE21_8_0x),0)</f>
        <v>25050.65</v>
      </c>
    </row>
    <row r="62" spans="1:17" s="42" customFormat="1" ht="15" customHeight="1" collapsed="1" x14ac:dyDescent="0.3">
      <c r="A62" s="34"/>
      <c r="B62" s="15" t="str">
        <f>CONCATENATE("     ","Subscriptions &amp; Dues                              ")</f>
        <v xml:space="preserve">     Subscriptions &amp; Dues                              </v>
      </c>
      <c r="C62" s="15"/>
      <c r="D62" s="2">
        <f>SUM(OSRRefD21_9x_0)</f>
        <v>0</v>
      </c>
      <c r="E62" s="2">
        <f>SUM(OSRRefD21_9x_1)</f>
        <v>0</v>
      </c>
      <c r="F62" s="2">
        <f>SUM(OSRRefD21_9x_2)</f>
        <v>0</v>
      </c>
      <c r="G62" s="2">
        <f>SUM(OSRRefD21_9x_3)</f>
        <v>0</v>
      </c>
      <c r="H62" s="2">
        <f>SUM(OSRRefD21_9x_4)</f>
        <v>0</v>
      </c>
      <c r="I62" s="2">
        <f>SUM(OSRRefD21_9x_5)</f>
        <v>0</v>
      </c>
      <c r="J62" s="2">
        <f>SUM(OSRRefD21_9x_6)</f>
        <v>0</v>
      </c>
      <c r="K62" s="2">
        <f>SUM(OSRRefD21_9x_7)</f>
        <v>0</v>
      </c>
      <c r="L62" s="2">
        <f>SUM(OSRRefD21_9x_8)</f>
        <v>5.28</v>
      </c>
      <c r="M62" s="2">
        <f>SUM(OSRRefD21_9x_9)</f>
        <v>0</v>
      </c>
      <c r="N62" s="2">
        <f>SUM(OSRRefE21_9x_0)</f>
        <v>0</v>
      </c>
      <c r="O62" s="2">
        <f>SUM(OSRRefE21_9x_1)</f>
        <v>0</v>
      </c>
      <c r="Q62" s="3">
        <f>SUM(OSRRefD20_9x)+IFERROR(SUM(OSRRefE20_9x),0)</f>
        <v>5.28</v>
      </c>
    </row>
    <row r="63" spans="1:17" s="42" customFormat="1" ht="15" hidden="1" customHeight="1" outlineLevel="1" x14ac:dyDescent="0.3">
      <c r="A63" s="34"/>
      <c r="B63" s="11" t="str">
        <f>CONCATENATE("          ","6258"," - ","MEMBERSHIP DUES")</f>
        <v xml:space="preserve">          6258 - MEMBERSHIP DUES</v>
      </c>
      <c r="C63" s="15"/>
      <c r="D63" s="3"/>
      <c r="E63" s="3"/>
      <c r="F63" s="3"/>
      <c r="G63" s="3"/>
      <c r="H63" s="3"/>
      <c r="I63" s="3"/>
      <c r="J63" s="3"/>
      <c r="K63" s="3"/>
      <c r="L63" s="3">
        <v>5.28</v>
      </c>
      <c r="M63" s="3"/>
      <c r="N63" s="3"/>
      <c r="O63" s="3"/>
      <c r="P63" s="10"/>
      <c r="Q63" s="3">
        <f>SUM(OSRRefD21_9_0x)+IFERROR(SUM(OSRRefE21_9_0x),0)</f>
        <v>5.28</v>
      </c>
    </row>
    <row r="64" spans="1:17" s="42" customFormat="1" ht="15" customHeight="1" collapsed="1" x14ac:dyDescent="0.3">
      <c r="A64" s="34"/>
      <c r="B64" s="15" t="str">
        <f>CONCATENATE("     ","Supplies                                          ")</f>
        <v xml:space="preserve">     Supplies                                          </v>
      </c>
      <c r="C64" s="15"/>
      <c r="D64" s="2">
        <f>SUM(OSRRefD21_10x_0)</f>
        <v>3116.79</v>
      </c>
      <c r="E64" s="2">
        <f>SUM(OSRRefD21_10x_1)</f>
        <v>7042.86</v>
      </c>
      <c r="F64" s="2">
        <f>SUM(OSRRefD21_10x_2)</f>
        <v>2879.46</v>
      </c>
      <c r="G64" s="2">
        <f>SUM(OSRRefD21_10x_3)</f>
        <v>3516.3199999999997</v>
      </c>
      <c r="H64" s="2">
        <f>SUM(OSRRefD21_10x_4)</f>
        <v>1938.7199999999998</v>
      </c>
      <c r="I64" s="2">
        <f>SUM(OSRRefD21_10x_5)</f>
        <v>3328.09</v>
      </c>
      <c r="J64" s="2">
        <f>SUM(OSRRefD21_10x_6)</f>
        <v>795.68000000000006</v>
      </c>
      <c r="K64" s="2">
        <f>SUM(OSRRefD21_10x_7)</f>
        <v>5674.86</v>
      </c>
      <c r="L64" s="2">
        <f>SUM(OSRRefD21_10x_8)</f>
        <v>7414.27</v>
      </c>
      <c r="M64" s="2">
        <f>SUM(OSRRefD21_10x_9)</f>
        <v>8058.9500000000007</v>
      </c>
      <c r="N64" s="2">
        <f>SUM(OSRRefE21_10x_0)</f>
        <v>5500</v>
      </c>
      <c r="O64" s="2">
        <f>SUM(OSRRefE21_10x_1)</f>
        <v>1350</v>
      </c>
      <c r="Q64" s="3">
        <f>SUM(OSRRefD20_10x)+IFERROR(SUM(OSRRefE20_10x),0)</f>
        <v>50616</v>
      </c>
    </row>
    <row r="65" spans="1:17" s="42" customFormat="1" ht="15" hidden="1" customHeight="1" outlineLevel="1" x14ac:dyDescent="0.3">
      <c r="A65" s="34"/>
      <c r="B65" s="11" t="str">
        <f>CONCATENATE("          ","6234"," - ","EXPENDABLE SUPPLIES &amp; EQUIPMEN")</f>
        <v xml:space="preserve">          6234 - EXPENDABLE SUPPLIES &amp; EQUIPMEN</v>
      </c>
      <c r="C65" s="15"/>
      <c r="D65" s="3"/>
      <c r="E65" s="3"/>
      <c r="F65" s="3"/>
      <c r="G65" s="3"/>
      <c r="H65" s="3"/>
      <c r="I65" s="3"/>
      <c r="J65" s="3"/>
      <c r="K65" s="3"/>
      <c r="L65" s="3"/>
      <c r="M65" s="3">
        <v>4993.3100000000004</v>
      </c>
      <c r="N65" s="3"/>
      <c r="O65" s="3"/>
      <c r="P65" s="10"/>
      <c r="Q65" s="3">
        <f>SUM(OSRRefD21_10_0x)+IFERROR(SUM(OSRRefE21_10_0x),0)</f>
        <v>4993.3100000000004</v>
      </c>
    </row>
    <row r="66" spans="1:17" s="42" customFormat="1" ht="15" hidden="1" customHeight="1" outlineLevel="1" x14ac:dyDescent="0.3">
      <c r="A66" s="34"/>
      <c r="B66" s="11" t="str">
        <f>CONCATENATE("          ","6241"," - ","OFFICE EXPENSE")</f>
        <v xml:space="preserve">          6241 - OFFICE EXPENSE</v>
      </c>
      <c r="C66" s="15"/>
      <c r="D66" s="3">
        <v>153.85</v>
      </c>
      <c r="E66" s="3">
        <v>4675.71</v>
      </c>
      <c r="F66" s="3">
        <v>2.19</v>
      </c>
      <c r="G66" s="3">
        <v>3.96</v>
      </c>
      <c r="H66" s="3">
        <v>7.16</v>
      </c>
      <c r="I66" s="3">
        <v>9.98</v>
      </c>
      <c r="J66" s="3">
        <v>9.4600000000000009</v>
      </c>
      <c r="K66" s="3">
        <v>3295.15</v>
      </c>
      <c r="L66" s="3">
        <v>1063.92</v>
      </c>
      <c r="M66" s="3">
        <v>1786.97</v>
      </c>
      <c r="N66" s="3"/>
      <c r="O66" s="3">
        <v>50</v>
      </c>
      <c r="P66" s="10"/>
      <c r="Q66" s="3">
        <f>SUM(OSRRefD21_10_1x)+IFERROR(SUM(OSRRefE21_10_1x),0)</f>
        <v>11058.349999999999</v>
      </c>
    </row>
    <row r="67" spans="1:17" s="42" customFormat="1" ht="15" hidden="1" customHeight="1" outlineLevel="1" x14ac:dyDescent="0.3">
      <c r="A67" s="34"/>
      <c r="B67" s="11" t="str">
        <f>CONCATENATE("          ","6243"," - ","PAPER SUPPLIES")</f>
        <v xml:space="preserve">          6243 - PAPER SUPPLIES</v>
      </c>
      <c r="C67" s="15"/>
      <c r="D67" s="3">
        <v>1649.24</v>
      </c>
      <c r="E67" s="3">
        <v>1801.68</v>
      </c>
      <c r="F67" s="3"/>
      <c r="G67" s="3">
        <v>735.87</v>
      </c>
      <c r="H67" s="3">
        <v>284.11</v>
      </c>
      <c r="I67" s="3"/>
      <c r="J67" s="3">
        <v>78.34</v>
      </c>
      <c r="K67" s="3">
        <v>1072.69</v>
      </c>
      <c r="L67" s="3">
        <v>1213.21</v>
      </c>
      <c r="M67" s="3">
        <v>410.22</v>
      </c>
      <c r="N67" s="3">
        <v>2800</v>
      </c>
      <c r="O67" s="3">
        <v>1250</v>
      </c>
      <c r="P67" s="10"/>
      <c r="Q67" s="3">
        <f>SUM(OSRRefD21_10_2x)+IFERROR(SUM(OSRRefE21_10_2x),0)</f>
        <v>11295.36</v>
      </c>
    </row>
    <row r="68" spans="1:17" s="42" customFormat="1" ht="15" hidden="1" customHeight="1" outlineLevel="1" x14ac:dyDescent="0.3">
      <c r="A68" s="34"/>
      <c r="B68" s="11" t="str">
        <f>CONCATENATE("          ","6245"," - ","PRINTING")</f>
        <v xml:space="preserve">          6245 - PRINTING</v>
      </c>
      <c r="C68" s="15"/>
      <c r="D68" s="3">
        <v>251.64</v>
      </c>
      <c r="E68" s="3">
        <v>-1187.1400000000001</v>
      </c>
      <c r="F68" s="3">
        <v>276.43</v>
      </c>
      <c r="G68" s="3">
        <v>296.68</v>
      </c>
      <c r="H68" s="3">
        <v>632.28</v>
      </c>
      <c r="I68" s="3">
        <v>812.04</v>
      </c>
      <c r="J68" s="3">
        <v>76.62</v>
      </c>
      <c r="K68" s="3">
        <v>502.78</v>
      </c>
      <c r="L68" s="3">
        <v>3671.2</v>
      </c>
      <c r="M68" s="3">
        <v>-45.84</v>
      </c>
      <c r="N68" s="3">
        <v>2300</v>
      </c>
      <c r="O68" s="3">
        <v>50</v>
      </c>
      <c r="P68" s="10"/>
      <c r="Q68" s="3">
        <f>SUM(OSRRefD21_10_3x)+IFERROR(SUM(OSRRefE21_10_3x),0)</f>
        <v>7636.69</v>
      </c>
    </row>
    <row r="69" spans="1:17" s="42" customFormat="1" ht="15" hidden="1" customHeight="1" outlineLevel="1" x14ac:dyDescent="0.3">
      <c r="A69" s="34"/>
      <c r="B69" s="11" t="str">
        <f>CONCATENATE("          ","6247"," - ","STORE SUPPLIES")</f>
        <v xml:space="preserve">          6247 - STORE SUPPLIES</v>
      </c>
      <c r="C69" s="15"/>
      <c r="D69" s="3">
        <v>1062.06</v>
      </c>
      <c r="E69" s="3">
        <v>1752.61</v>
      </c>
      <c r="F69" s="3">
        <v>2600.84</v>
      </c>
      <c r="G69" s="3">
        <v>2479.81</v>
      </c>
      <c r="H69" s="3">
        <v>1015.17</v>
      </c>
      <c r="I69" s="3">
        <v>2506.0700000000002</v>
      </c>
      <c r="J69" s="3">
        <v>631.26</v>
      </c>
      <c r="K69" s="3">
        <v>804.24</v>
      </c>
      <c r="L69" s="3">
        <v>1465.94</v>
      </c>
      <c r="M69" s="3">
        <v>914.29</v>
      </c>
      <c r="N69" s="3">
        <v>400</v>
      </c>
      <c r="O69" s="3"/>
      <c r="P69" s="10"/>
      <c r="Q69" s="3">
        <f>SUM(OSRRefD21_10_4x)+IFERROR(SUM(OSRRefE21_10_4x),0)</f>
        <v>15632.29</v>
      </c>
    </row>
    <row r="70" spans="1:17" s="42" customFormat="1" ht="15" customHeight="1" collapsed="1" x14ac:dyDescent="0.3">
      <c r="A70" s="34"/>
      <c r="B70" s="15" t="str">
        <f>CONCATENATE("     ","Telephone/Data Lines                              ")</f>
        <v xml:space="preserve">     Telephone/Data Lines                              </v>
      </c>
      <c r="C70" s="15"/>
      <c r="D70" s="2">
        <f>SUM(OSRRefD21_11x_0)</f>
        <v>167.8</v>
      </c>
      <c r="E70" s="2">
        <f>SUM(OSRRefD21_11x_1)</f>
        <v>159.5</v>
      </c>
      <c r="F70" s="2">
        <f>SUM(OSRRefD21_11x_2)</f>
        <v>159.4</v>
      </c>
      <c r="G70" s="2">
        <f>SUM(OSRRefD21_11x_3)</f>
        <v>46.2</v>
      </c>
      <c r="H70" s="2">
        <f>SUM(OSRRefD21_11x_4)</f>
        <v>46.15</v>
      </c>
      <c r="I70" s="2">
        <f>SUM(OSRRefD21_11x_5)</f>
        <v>50.5</v>
      </c>
      <c r="J70" s="2">
        <f>SUM(OSRRefD21_11x_6)</f>
        <v>111.3</v>
      </c>
      <c r="K70" s="2">
        <f>SUM(OSRRefD21_11x_7)</f>
        <v>143.55000000000001</v>
      </c>
      <c r="L70" s="2">
        <f>SUM(OSRRefD21_11x_8)</f>
        <v>46</v>
      </c>
      <c r="M70" s="2">
        <f>SUM(OSRRefD21_11x_9)</f>
        <v>241.2</v>
      </c>
      <c r="N70" s="2">
        <f>SUM(OSRRefE21_11x_0)</f>
        <v>175</v>
      </c>
      <c r="O70" s="2">
        <f>SUM(OSRRefE21_11x_1)</f>
        <v>175</v>
      </c>
      <c r="Q70" s="3">
        <f>SUM(OSRRefD20_11x)+IFERROR(SUM(OSRRefE20_11x),0)</f>
        <v>1521.6000000000001</v>
      </c>
    </row>
    <row r="71" spans="1:17" s="42" customFormat="1" ht="15" hidden="1" customHeight="1" outlineLevel="1" x14ac:dyDescent="0.3">
      <c r="A71" s="34"/>
      <c r="B71" s="11" t="str">
        <f>CONCATENATE("          ","6309"," - ","TELEPHONE")</f>
        <v xml:space="preserve">          6309 - TELEPHONE</v>
      </c>
      <c r="C71" s="15"/>
      <c r="D71" s="3">
        <v>167.8</v>
      </c>
      <c r="E71" s="3">
        <v>159.5</v>
      </c>
      <c r="F71" s="3">
        <v>159.4</v>
      </c>
      <c r="G71" s="3">
        <v>46.2</v>
      </c>
      <c r="H71" s="3">
        <v>46.15</v>
      </c>
      <c r="I71" s="3">
        <v>50.5</v>
      </c>
      <c r="J71" s="3">
        <v>111.3</v>
      </c>
      <c r="K71" s="3">
        <v>143.55000000000001</v>
      </c>
      <c r="L71" s="3">
        <v>46</v>
      </c>
      <c r="M71" s="3">
        <v>241.2</v>
      </c>
      <c r="N71" s="3">
        <v>175</v>
      </c>
      <c r="O71" s="3">
        <v>175</v>
      </c>
      <c r="P71" s="10"/>
      <c r="Q71" s="3">
        <f>SUM(OSRRefD21_11_0x)+IFERROR(SUM(OSRRefE21_11_0x),0)</f>
        <v>1521.6000000000001</v>
      </c>
    </row>
    <row r="72" spans="1:17" s="40" customFormat="1" ht="15" customHeight="1" x14ac:dyDescent="0.3">
      <c r="A72" s="22"/>
      <c r="B72" s="22"/>
      <c r="C72" s="2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Q72" s="2"/>
    </row>
    <row r="73" spans="1:17" s="39" customFormat="1" ht="15" customHeight="1" x14ac:dyDescent="0.3">
      <c r="A73" s="24"/>
      <c r="B73" s="17" t="s">
        <v>287</v>
      </c>
      <c r="C73" s="23"/>
      <c r="D73" s="4">
        <f>0</f>
        <v>0</v>
      </c>
      <c r="E73" s="4">
        <f>0</f>
        <v>0</v>
      </c>
      <c r="F73" s="4">
        <f>--14899</f>
        <v>14899</v>
      </c>
      <c r="G73" s="4">
        <f>0</f>
        <v>0</v>
      </c>
      <c r="H73" s="4">
        <f>0</f>
        <v>0</v>
      </c>
      <c r="I73" s="4">
        <f>0</f>
        <v>0</v>
      </c>
      <c r="J73" s="4">
        <f>--236.44</f>
        <v>236.44</v>
      </c>
      <c r="K73" s="4">
        <f>0</f>
        <v>0</v>
      </c>
      <c r="L73" s="4">
        <f>0</f>
        <v>0</v>
      </c>
      <c r="M73" s="4">
        <f>--3060.54</f>
        <v>3060.54</v>
      </c>
      <c r="N73" s="4"/>
      <c r="O73" s="4"/>
      <c r="Q73" s="3">
        <f>SUM(OSRRefD23_0x)+IFERROR(SUM(OSRRefE23_0x),0)</f>
        <v>18195.98</v>
      </c>
    </row>
    <row r="74" spans="1:17" ht="15" customHeight="1" x14ac:dyDescent="0.3">
      <c r="A74" s="6"/>
      <c r="B74" s="7"/>
      <c r="C74" s="7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Q74" s="4"/>
    </row>
    <row r="75" spans="1:17" s="37" customFormat="1" ht="15" customHeight="1" x14ac:dyDescent="0.3">
      <c r="A75" s="7"/>
      <c r="B75" s="18" t="s">
        <v>288</v>
      </c>
      <c r="C75" s="18"/>
      <c r="D75" s="9">
        <f t="shared" ref="D75:O75" si="2">IFERROR(+D21-D24+D73,0)</f>
        <v>-35127.08</v>
      </c>
      <c r="E75" s="9">
        <f t="shared" si="2"/>
        <v>38105.460000000006</v>
      </c>
      <c r="F75" s="9">
        <f t="shared" si="2"/>
        <v>-3127.9000000000051</v>
      </c>
      <c r="G75" s="9">
        <f t="shared" si="2"/>
        <v>-13895.08</v>
      </c>
      <c r="H75" s="9">
        <f t="shared" si="2"/>
        <v>-5228.7299999999987</v>
      </c>
      <c r="I75" s="9">
        <f t="shared" si="2"/>
        <v>-9875.0600000000013</v>
      </c>
      <c r="J75" s="9">
        <f t="shared" si="2"/>
        <v>4467.3599999999979</v>
      </c>
      <c r="K75" s="9">
        <f t="shared" si="2"/>
        <v>3238.2300000000032</v>
      </c>
      <c r="L75" s="9">
        <f t="shared" si="2"/>
        <v>-15683.050000000007</v>
      </c>
      <c r="M75" s="9">
        <f t="shared" si="2"/>
        <v>5044.1500000000005</v>
      </c>
      <c r="N75" s="9">
        <f t="shared" si="2"/>
        <v>15963.395024384608</v>
      </c>
      <c r="O75" s="9">
        <f t="shared" si="2"/>
        <v>-18689.503919615392</v>
      </c>
      <c r="Q75" s="9">
        <f>IFERROR(+Q21-Q24+Q73,0)</f>
        <v>-34807.808895230715</v>
      </c>
    </row>
    <row r="76" spans="1:17" s="38" customFormat="1" ht="15" customHeight="1" x14ac:dyDescent="0.3">
      <c r="B76" s="17"/>
      <c r="C76" s="17"/>
      <c r="D76" s="5">
        <f t="shared" ref="D76:O76" si="3">IFERROR(D75/D10,0)</f>
        <v>-13.874350264633859</v>
      </c>
      <c r="E76" s="5">
        <f t="shared" si="3"/>
        <v>0.68113736143030512</v>
      </c>
      <c r="F76" s="5">
        <f t="shared" si="3"/>
        <v>-0.18914658179792992</v>
      </c>
      <c r="G76" s="5">
        <f t="shared" si="3"/>
        <v>-1.4768975020965553</v>
      </c>
      <c r="H76" s="5">
        <f t="shared" si="3"/>
        <v>-0.77027546614457865</v>
      </c>
      <c r="I76" s="5">
        <f t="shared" si="3"/>
        <v>-1.2742489718970131</v>
      </c>
      <c r="J76" s="5">
        <f t="shared" si="3"/>
        <v>0.19187432407010507</v>
      </c>
      <c r="K76" s="5">
        <f t="shared" si="3"/>
        <v>0.13395213888336208</v>
      </c>
      <c r="L76" s="5">
        <f t="shared" si="3"/>
        <v>-0.86082440840809249</v>
      </c>
      <c r="M76" s="5">
        <f t="shared" si="3"/>
        <v>0.16610175965816459</v>
      </c>
      <c r="N76" s="5">
        <f t="shared" si="3"/>
        <v>0.339646702646481</v>
      </c>
      <c r="O76" s="5">
        <f t="shared" si="3"/>
        <v>-3.3374114142170344</v>
      </c>
      <c r="P76" s="19"/>
      <c r="Q76" s="5">
        <f>IFERROR(Q75/Q10,0)</f>
        <v>-0.1405794203378469</v>
      </c>
    </row>
    <row r="77" spans="1:17" ht="15" customHeight="1" x14ac:dyDescent="0.3">
      <c r="A77" s="6"/>
      <c r="B77" s="7"/>
      <c r="C77" s="6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Q77" s="4"/>
    </row>
    <row r="78" spans="1:17" s="37" customFormat="1" ht="15" customHeight="1" x14ac:dyDescent="0.3">
      <c r="A78" s="26"/>
      <c r="B78" s="7" t="s">
        <v>289</v>
      </c>
      <c r="C78" s="7"/>
      <c r="D78" s="4">
        <v>1169.68</v>
      </c>
      <c r="E78" s="4">
        <v>7568.52</v>
      </c>
      <c r="F78" s="4">
        <v>546.53</v>
      </c>
      <c r="G78" s="4">
        <v>473.63</v>
      </c>
      <c r="H78" s="4">
        <v>1105.7</v>
      </c>
      <c r="I78" s="4">
        <v>1047.68</v>
      </c>
      <c r="J78" s="4">
        <v>4269.04</v>
      </c>
      <c r="K78" s="4">
        <v>2095.2600000000002</v>
      </c>
      <c r="L78" s="4">
        <v>1372.7</v>
      </c>
      <c r="M78" s="4">
        <v>2441.89</v>
      </c>
      <c r="N78" s="4">
        <v>6161</v>
      </c>
      <c r="O78" s="4">
        <v>-3596</v>
      </c>
      <c r="Q78" s="3">
        <f>SUM(OSRRefD28_0x)+IFERROR(SUM(OSRRefE28_0x),0)</f>
        <v>24655.63</v>
      </c>
    </row>
    <row r="79" spans="1:17" ht="15" customHeight="1" x14ac:dyDescent="0.3">
      <c r="A79" s="6"/>
      <c r="B79" s="7"/>
      <c r="C79" s="7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Q79" s="4"/>
    </row>
    <row r="80" spans="1:17" s="37" customFormat="1" ht="15.75" customHeight="1" x14ac:dyDescent="0.3">
      <c r="A80" s="7"/>
      <c r="B80" s="18" t="s">
        <v>290</v>
      </c>
      <c r="C80" s="18"/>
      <c r="D80" s="8">
        <f t="shared" ref="D80:O80" si="4">IFERROR(+D75-D78,0)</f>
        <v>-36296.76</v>
      </c>
      <c r="E80" s="8">
        <f t="shared" si="4"/>
        <v>30536.940000000006</v>
      </c>
      <c r="F80" s="8">
        <f t="shared" si="4"/>
        <v>-3674.4300000000048</v>
      </c>
      <c r="G80" s="8">
        <f t="shared" si="4"/>
        <v>-14368.71</v>
      </c>
      <c r="H80" s="8">
        <f t="shared" si="4"/>
        <v>-6334.4299999999985</v>
      </c>
      <c r="I80" s="8">
        <f t="shared" si="4"/>
        <v>-10922.740000000002</v>
      </c>
      <c r="J80" s="8">
        <f t="shared" si="4"/>
        <v>198.31999999999789</v>
      </c>
      <c r="K80" s="8">
        <f t="shared" si="4"/>
        <v>1142.970000000003</v>
      </c>
      <c r="L80" s="8">
        <f t="shared" si="4"/>
        <v>-17055.750000000007</v>
      </c>
      <c r="M80" s="8">
        <f t="shared" si="4"/>
        <v>2602.2600000000007</v>
      </c>
      <c r="N80" s="8">
        <f t="shared" si="4"/>
        <v>9802.3950243846084</v>
      </c>
      <c r="O80" s="8">
        <f t="shared" si="4"/>
        <v>-15093.503919615392</v>
      </c>
      <c r="Q80" s="8">
        <f>IFERROR(+Q75-Q78,0)</f>
        <v>-59463.43889523072</v>
      </c>
    </row>
    <row r="81" spans="1:17" ht="15.75" customHeight="1" x14ac:dyDescent="0.3">
      <c r="A81" s="6"/>
      <c r="B81" s="6"/>
      <c r="C81" s="6"/>
      <c r="D81" s="5">
        <f t="shared" ref="D81:O81" si="5">IFERROR(D80/D10,0)</f>
        <v>-14.336345682913345</v>
      </c>
      <c r="E81" s="5">
        <f t="shared" si="5"/>
        <v>0.54584961676766386</v>
      </c>
      <c r="F81" s="5">
        <f t="shared" si="5"/>
        <v>-0.22219568226470393</v>
      </c>
      <c r="G81" s="5">
        <f t="shared" si="5"/>
        <v>-1.5272392751498944</v>
      </c>
      <c r="H81" s="5">
        <f t="shared" si="5"/>
        <v>-0.9331627414324708</v>
      </c>
      <c r="I81" s="5">
        <f t="shared" si="5"/>
        <v>-1.4094385467327168</v>
      </c>
      <c r="J81" s="5">
        <f t="shared" si="5"/>
        <v>8.5178978075603606E-3</v>
      </c>
      <c r="K81" s="5">
        <f t="shared" si="5"/>
        <v>4.7279926434971142E-2</v>
      </c>
      <c r="L81" s="5">
        <f t="shared" si="5"/>
        <v>-0.93617031787224569</v>
      </c>
      <c r="M81" s="5">
        <f t="shared" si="5"/>
        <v>8.5691338498667849E-2</v>
      </c>
      <c r="N81" s="5">
        <f t="shared" si="5"/>
        <v>0.20856159626350232</v>
      </c>
      <c r="O81" s="5">
        <f t="shared" si="5"/>
        <v>-2.695268557074177</v>
      </c>
      <c r="P81" s="19"/>
      <c r="Q81" s="5">
        <f>IFERROR(Q80/Q10,0)</f>
        <v>-0.24015690836351064</v>
      </c>
    </row>
    <row r="82" spans="1:17" ht="15" customHeight="1" x14ac:dyDescent="0.3">
      <c r="A82" s="6"/>
      <c r="B82" s="6"/>
      <c r="C82" s="6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Q82" s="4"/>
    </row>
    <row r="83" spans="1:17" ht="15" customHeight="1" x14ac:dyDescent="0.3">
      <c r="A83" s="6"/>
      <c r="B83" s="6"/>
      <c r="C83" s="6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Q83" s="4"/>
    </row>
    <row r="84" spans="1:17" s="37" customFormat="1" ht="15.75" customHeight="1" x14ac:dyDescent="0.3">
      <c r="A84" s="7"/>
      <c r="B84" s="18" t="s">
        <v>293</v>
      </c>
      <c r="C84" s="18"/>
      <c r="D84" s="8">
        <f t="shared" ref="D84:O84" si="6">IFERROR(SUM(D80:D83),0)</f>
        <v>-36311.096345682912</v>
      </c>
      <c r="E84" s="8">
        <f t="shared" si="6"/>
        <v>30537.485849616773</v>
      </c>
      <c r="F84" s="8">
        <f t="shared" si="6"/>
        <v>-3674.6521956822694</v>
      </c>
      <c r="G84" s="8">
        <f t="shared" si="6"/>
        <v>-14370.237239275149</v>
      </c>
      <c r="H84" s="8">
        <f t="shared" si="6"/>
        <v>-6335.3631627414306</v>
      </c>
      <c r="I84" s="8">
        <f t="shared" si="6"/>
        <v>-10924.149438546734</v>
      </c>
      <c r="J84" s="8">
        <f t="shared" si="6"/>
        <v>198.32851789780545</v>
      </c>
      <c r="K84" s="8">
        <f t="shared" si="6"/>
        <v>1143.0172799264381</v>
      </c>
      <c r="L84" s="8">
        <f t="shared" si="6"/>
        <v>-17056.68617031788</v>
      </c>
      <c r="M84" s="8">
        <f t="shared" si="6"/>
        <v>2602.3456913384994</v>
      </c>
      <c r="N84" s="8">
        <f t="shared" si="6"/>
        <v>9802.6035859808726</v>
      </c>
      <c r="O84" s="8">
        <f t="shared" si="6"/>
        <v>-15096.199188172466</v>
      </c>
      <c r="Q84" s="8">
        <f>IFERROR(SUM(Q80:Q83),0)</f>
        <v>-59463.679052139087</v>
      </c>
    </row>
    <row r="85" spans="1:17" ht="15.75" customHeight="1" x14ac:dyDescent="0.3">
      <c r="A85" s="6"/>
      <c r="C85" s="6"/>
      <c r="D85" s="5">
        <f t="shared" ref="D85:O85" si="7">IFERROR(D84/D10,0)</f>
        <v>-14.342008194044915</v>
      </c>
      <c r="E85" s="5">
        <f t="shared" si="7"/>
        <v>0.54585937386199368</v>
      </c>
      <c r="F85" s="5">
        <f t="shared" si="7"/>
        <v>-0.2222091186129857</v>
      </c>
      <c r="G85" s="5">
        <f t="shared" si="7"/>
        <v>-1.527401604252755</v>
      </c>
      <c r="H85" s="5">
        <f t="shared" si="7"/>
        <v>-0.93330021121301898</v>
      </c>
      <c r="I85" s="5">
        <f t="shared" si="7"/>
        <v>-1.409620416576457</v>
      </c>
      <c r="J85" s="5">
        <f t="shared" si="7"/>
        <v>8.5182636535822455E-3</v>
      </c>
      <c r="K85" s="5">
        <f t="shared" si="7"/>
        <v>4.7281882209351658E-2</v>
      </c>
      <c r="L85" s="5">
        <f t="shared" si="7"/>
        <v>-0.93622170317421516</v>
      </c>
      <c r="M85" s="5">
        <f t="shared" si="7"/>
        <v>8.5694160278771955E-2</v>
      </c>
      <c r="N85" s="5">
        <f t="shared" si="7"/>
        <v>0.20856603374427388</v>
      </c>
      <c r="O85" s="5">
        <f t="shared" si="7"/>
        <v>-2.6957498550307974</v>
      </c>
      <c r="P85" s="19"/>
      <c r="Q85" s="5">
        <f>IFERROR(Q84/Q10,0)</f>
        <v>-0.24015787829296154</v>
      </c>
    </row>
    <row r="86" spans="1:17" ht="15" customHeight="1" x14ac:dyDescent="0.3">
      <c r="A86" s="6"/>
      <c r="B86" s="33">
        <v>44694.892851770834</v>
      </c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</row>
    <row r="87" spans="1:17" ht="15" customHeight="1" x14ac:dyDescent="0.3">
      <c r="A87" s="6"/>
      <c r="B87" s="31" t="s">
        <v>294</v>
      </c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Q87" s="14"/>
    </row>
    <row r="88" spans="1:17" ht="15" customHeight="1" x14ac:dyDescent="0.3">
      <c r="A88" s="6"/>
      <c r="B88" s="27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Q88" s="14"/>
    </row>
    <row r="89" spans="1:17" ht="15" customHeight="1" x14ac:dyDescent="0.3"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Q89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2D527-7A2E-F645-A159-E1FA534259BE}">
  <sheetPr>
    <tabColor rgb="FF92D050"/>
    <outlinePr summaryBelow="0" summaryRight="0"/>
    <pageSetUpPr fitToPage="1"/>
  </sheetPr>
  <dimension ref="A2:R89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","316"," - ","Campus Copy Center")</f>
        <v>Department 316 - Campus Copy Center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2531.7999999999997</v>
      </c>
      <c r="E10" s="4">
        <f>SUM(OSRRefD11x_1)</f>
        <v>55943.87</v>
      </c>
      <c r="F10" s="4">
        <f>SUM(OSRRefD11x_2)</f>
        <v>16536.91</v>
      </c>
      <c r="G10" s="4">
        <f>SUM(OSRRefD11x_3)</f>
        <v>9408.2899999999991</v>
      </c>
      <c r="H10" s="4">
        <f>SUM(OSRRefD11x_4)</f>
        <v>6788.13</v>
      </c>
      <c r="I10" s="4">
        <f>SUM(OSRRefD11x_5)</f>
        <v>7749.7099999999991</v>
      </c>
      <c r="J10" s="4">
        <f>SUM(OSRRefD11x_6)</f>
        <v>23282.739999999998</v>
      </c>
      <c r="K10" s="4">
        <f>SUM(OSRRefD11x_7)</f>
        <v>24174.530000000002</v>
      </c>
      <c r="L10" s="4">
        <f>SUM(OSRRefD11x_8)</f>
        <v>18218.639999999996</v>
      </c>
      <c r="M10" s="4">
        <f>SUM(OSRRefD11x_9)</f>
        <v>30367.83</v>
      </c>
      <c r="N10" s="4">
        <f>SUM(OSRRefE11x_0)</f>
        <v>47000</v>
      </c>
      <c r="O10" s="4">
        <f>SUM(OSRRefE11x_1)</f>
        <v>5600</v>
      </c>
      <c r="P10" s="25"/>
      <c r="Q10" s="4">
        <f>SUM(OSRRefG11x)</f>
        <v>247602.44999999998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--2230.15</f>
        <v>2230.15</v>
      </c>
      <c r="E11" s="3">
        <f>--52570.47</f>
        <v>52570.47</v>
      </c>
      <c r="F11" s="3">
        <f>--11641.04</f>
        <v>11641.04</v>
      </c>
      <c r="G11" s="3">
        <f>--4122.58</f>
        <v>4122.58</v>
      </c>
      <c r="H11" s="3">
        <f>--3447.29</f>
        <v>3447.29</v>
      </c>
      <c r="I11" s="3">
        <f>--4665.65</f>
        <v>4665.6499999999996</v>
      </c>
      <c r="J11" s="3">
        <f>--21634.61</f>
        <v>21634.61</v>
      </c>
      <c r="K11" s="3">
        <f>--17204.32</f>
        <v>17204.32</v>
      </c>
      <c r="L11" s="3">
        <f>--10589.72</f>
        <v>10589.72</v>
      </c>
      <c r="M11" s="3">
        <f>--21804.84</f>
        <v>21804.84</v>
      </c>
      <c r="N11" s="3">
        <v>20000</v>
      </c>
      <c r="O11" s="3">
        <v>3100</v>
      </c>
      <c r="Q11" s="3">
        <f>SUM(OSRRefD11_0x)+IFERROR(SUM(OSRRefE11_0x),0)</f>
        <v>173010.66999999998</v>
      </c>
    </row>
    <row r="12" spans="1:18" s="39" customFormat="1" ht="15" hidden="1" customHeight="1" outlineLevel="1" x14ac:dyDescent="0.3">
      <c r="A12" s="24"/>
      <c r="B12" s="11" t="str">
        <f>CONCATENATE("          ","4100"," - ","NON-TAXABLE SALES")</f>
        <v xml:space="preserve">          4100 - NON-TAXABLE SALES</v>
      </c>
      <c r="C12" s="23"/>
      <c r="D12" s="3">
        <f>--281.45</f>
        <v>281.45</v>
      </c>
      <c r="E12" s="3">
        <f>--553.4</f>
        <v>553.4</v>
      </c>
      <c r="F12" s="3">
        <f>--171.97</f>
        <v>171.97</v>
      </c>
      <c r="G12" s="3">
        <f>--13252.81</f>
        <v>13252.81</v>
      </c>
      <c r="H12" s="3">
        <f>--3340.84</f>
        <v>3340.84</v>
      </c>
      <c r="I12" s="3">
        <f>--3084.06</f>
        <v>3084.06</v>
      </c>
      <c r="J12" s="3">
        <f>--1803.53</f>
        <v>1803.53</v>
      </c>
      <c r="K12" s="3">
        <f>--7098.56</f>
        <v>7098.56</v>
      </c>
      <c r="L12" s="3">
        <f>--7630.91</f>
        <v>7630.91</v>
      </c>
      <c r="M12" s="3">
        <f>--8945.27</f>
        <v>8945.27</v>
      </c>
      <c r="N12" s="3">
        <v>27000</v>
      </c>
      <c r="O12" s="3">
        <v>2500</v>
      </c>
      <c r="Q12" s="3">
        <f>SUM(OSRRefD11_1x)+IFERROR(SUM(OSRRefE11_1x),0)</f>
        <v>75662.8</v>
      </c>
    </row>
    <row r="13" spans="1:18" s="39" customFormat="1" ht="15" hidden="1" customHeight="1" outlineLevel="1" x14ac:dyDescent="0.3">
      <c r="A13" s="24"/>
      <c r="B13" s="11" t="str">
        <f>CONCATENATE("          ","4141"," - ","NON-TAXABLE SALES-LOGO GIFTS")</f>
        <v xml:space="preserve">          4141 - NON-TAXABLE SALES-LOGO GIFTS</v>
      </c>
      <c r="C13" s="23"/>
      <c r="D13" s="3">
        <f>0</f>
        <v>0</v>
      </c>
      <c r="E13" s="3">
        <f>--389.5</f>
        <v>389.5</v>
      </c>
      <c r="F13" s="3">
        <f>--71.05</f>
        <v>71.05</v>
      </c>
      <c r="G13" s="3">
        <f>-460.55</f>
        <v>-460.55</v>
      </c>
      <c r="H13" s="3">
        <f>0</f>
        <v>0</v>
      </c>
      <c r="I13" s="3">
        <f>0</f>
        <v>0</v>
      </c>
      <c r="J13" s="3">
        <f>0</f>
        <v>0</v>
      </c>
      <c r="K13" s="3">
        <f>0</f>
        <v>0</v>
      </c>
      <c r="L13" s="3">
        <f>0</f>
        <v>0</v>
      </c>
      <c r="M13" s="3">
        <f>0</f>
        <v>0</v>
      </c>
      <c r="N13" s="3"/>
      <c r="O13" s="3"/>
      <c r="Q13" s="3">
        <f>SUM(OSRRefD11_2x)+IFERROR(SUM(OSRRefE11_2x),0)</f>
        <v>0</v>
      </c>
    </row>
    <row r="14" spans="1:18" s="39" customFormat="1" ht="15" hidden="1" customHeight="1" outlineLevel="1" x14ac:dyDescent="0.3">
      <c r="A14" s="24"/>
      <c r="B14" s="11" t="str">
        <f>CONCATENATE("          ","4146"," - ","NON-TAXABLE SALES-COIN OP MACH")</f>
        <v xml:space="preserve">          4146 - NON-TAXABLE SALES-COIN OP MACH</v>
      </c>
      <c r="C14" s="23"/>
      <c r="D14" s="3">
        <f>--20.2</f>
        <v>20.2</v>
      </c>
      <c r="E14" s="3">
        <f>--2713.4</f>
        <v>2713.4</v>
      </c>
      <c r="F14" s="3">
        <f>--4759.35</f>
        <v>4759.3500000000004</v>
      </c>
      <c r="G14" s="3">
        <f>-7492.95</f>
        <v>-7492.95</v>
      </c>
      <c r="H14" s="3">
        <f>0</f>
        <v>0</v>
      </c>
      <c r="I14" s="3">
        <f>0</f>
        <v>0</v>
      </c>
      <c r="J14" s="3">
        <f>0</f>
        <v>0</v>
      </c>
      <c r="K14" s="3">
        <f>0</f>
        <v>0</v>
      </c>
      <c r="L14" s="3">
        <f>0</f>
        <v>0</v>
      </c>
      <c r="M14" s="3">
        <f>0</f>
        <v>0</v>
      </c>
      <c r="N14" s="3"/>
      <c r="O14" s="3"/>
      <c r="Q14" s="3">
        <f>SUM(OSRRefD11_3x)+IFERROR(SUM(OSRRefE11_3x),0)</f>
        <v>9.0949470177292824E-13</v>
      </c>
    </row>
    <row r="15" spans="1:18" s="39" customFormat="1" ht="15" hidden="1" customHeight="1" outlineLevel="1" x14ac:dyDescent="0.3">
      <c r="A15" s="24"/>
      <c r="B15" s="11" t="str">
        <f>CONCATENATE("          ","4200"," - ","TAXABLE RETURNS")</f>
        <v xml:space="preserve">          4200 - TAXABLE RETURNS</v>
      </c>
      <c r="C15" s="23"/>
      <c r="D15" s="3">
        <f>0</f>
        <v>0</v>
      </c>
      <c r="E15" s="3">
        <f>-282.9</f>
        <v>-282.89999999999998</v>
      </c>
      <c r="F15" s="3">
        <f>-106.5</f>
        <v>-106.5</v>
      </c>
      <c r="G15" s="3">
        <f>-13.6</f>
        <v>-13.6</v>
      </c>
      <c r="H15" s="3">
        <f>0</f>
        <v>0</v>
      </c>
      <c r="I15" s="3">
        <f>0</f>
        <v>0</v>
      </c>
      <c r="J15" s="3">
        <f>-155.4</f>
        <v>-155.4</v>
      </c>
      <c r="K15" s="3">
        <f>-128.35</f>
        <v>-128.35</v>
      </c>
      <c r="L15" s="3">
        <f>-1.99</f>
        <v>-1.99</v>
      </c>
      <c r="M15" s="3">
        <f>-382.28</f>
        <v>-382.28</v>
      </c>
      <c r="N15" s="3"/>
      <c r="O15" s="3"/>
      <c r="Q15" s="3">
        <f>SUM(OSRRefD11_4x)+IFERROR(SUM(OSRRefE11_4x),0)</f>
        <v>-1071.02</v>
      </c>
    </row>
    <row r="16" spans="1:18" ht="15" customHeight="1" x14ac:dyDescent="0.3">
      <c r="A16" s="6"/>
      <c r="B16" s="7"/>
      <c r="C16" s="6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Q16" s="4"/>
    </row>
    <row r="17" spans="1:17" s="39" customFormat="1" ht="15" customHeight="1" collapsed="1" x14ac:dyDescent="0.3">
      <c r="A17" s="24"/>
      <c r="B17" s="17" t="s">
        <v>284</v>
      </c>
      <c r="C17" s="23"/>
      <c r="D17" s="4">
        <f>SUM(OSRRefD14x_0)</f>
        <v>0</v>
      </c>
      <c r="E17" s="4">
        <f>SUM(OSRRefD14x_1)</f>
        <v>0</v>
      </c>
      <c r="F17" s="4">
        <f>SUM(OSRRefD14x_2)</f>
        <v>0</v>
      </c>
      <c r="G17" s="4">
        <f>SUM(OSRRefD14x_3)</f>
        <v>0</v>
      </c>
      <c r="H17" s="4">
        <f>SUM(OSRRefD14x_4)</f>
        <v>8.26</v>
      </c>
      <c r="I17" s="4">
        <f>SUM(OSRRefD14x_5)</f>
        <v>0</v>
      </c>
      <c r="J17" s="4">
        <f>SUM(OSRRefD14x_6)</f>
        <v>0</v>
      </c>
      <c r="K17" s="4">
        <f>SUM(OSRRefD14x_7)</f>
        <v>0</v>
      </c>
      <c r="L17" s="4">
        <f>SUM(OSRRefD14x_8)</f>
        <v>0</v>
      </c>
      <c r="M17" s="4">
        <f>SUM(OSRRefD14x_9)</f>
        <v>0</v>
      </c>
      <c r="N17" s="4">
        <f>SUM(OSRRefE14x_0)</f>
        <v>0</v>
      </c>
      <c r="O17" s="4">
        <f>SUM(OSRRefE14x_1)</f>
        <v>0</v>
      </c>
      <c r="Q17" s="4">
        <f>SUM(OSRRefG14x)</f>
        <v>8.26</v>
      </c>
    </row>
    <row r="18" spans="1:17" s="39" customFormat="1" ht="15" hidden="1" customHeight="1" outlineLevel="1" x14ac:dyDescent="0.3">
      <c r="A18" s="24"/>
      <c r="B18" s="11" t="str">
        <f>CONCATENATE("          ","5000"," - ","PURCHASES @ COST")</f>
        <v xml:space="preserve">          5000 - PURCHASES @ COST</v>
      </c>
      <c r="C18" s="23"/>
      <c r="D18" s="3"/>
      <c r="E18" s="3"/>
      <c r="F18" s="3"/>
      <c r="G18" s="3"/>
      <c r="H18" s="3"/>
      <c r="I18" s="3"/>
      <c r="J18" s="3"/>
      <c r="K18" s="3"/>
      <c r="L18" s="3"/>
      <c r="M18" s="3"/>
      <c r="N18" s="3">
        <v>0</v>
      </c>
      <c r="O18" s="3">
        <v>0</v>
      </c>
      <c r="Q18" s="3">
        <f>SUM(OSRRefD14_0x)+IFERROR(SUM(OSRRefE14_0x),0)</f>
        <v>0</v>
      </c>
    </row>
    <row r="19" spans="1:17" s="39" customFormat="1" ht="15" hidden="1" customHeight="1" outlineLevel="1" x14ac:dyDescent="0.3">
      <c r="A19" s="24"/>
      <c r="B19" s="11" t="str">
        <f>CONCATENATE("          ","5500"," - ","FREIGHT-IN")</f>
        <v xml:space="preserve">          5500 - FREIGHT-IN</v>
      </c>
      <c r="C19" s="23"/>
      <c r="D19" s="3"/>
      <c r="E19" s="3"/>
      <c r="F19" s="3"/>
      <c r="G19" s="3"/>
      <c r="H19" s="3">
        <v>8.26</v>
      </c>
      <c r="I19" s="3"/>
      <c r="J19" s="3"/>
      <c r="K19" s="3"/>
      <c r="L19" s="3"/>
      <c r="M19" s="3"/>
      <c r="N19" s="3"/>
      <c r="O19" s="3"/>
      <c r="Q19" s="3">
        <f>SUM(OSRRefD14_1x)+IFERROR(SUM(OSRRefE14_1x),0)</f>
        <v>8.26</v>
      </c>
    </row>
    <row r="20" spans="1:17" ht="15" customHeight="1" x14ac:dyDescent="0.3">
      <c r="A20" s="6"/>
      <c r="B20" s="7"/>
      <c r="C20" s="7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Q20" s="4"/>
    </row>
    <row r="21" spans="1:17" s="37" customFormat="1" ht="15" customHeight="1" x14ac:dyDescent="0.3">
      <c r="A21" s="7"/>
      <c r="B21" s="18" t="s">
        <v>285</v>
      </c>
      <c r="C21" s="18"/>
      <c r="D21" s="9">
        <f t="shared" ref="D21:O21" si="0">IFERROR(+D10-D17,0)</f>
        <v>2531.7999999999997</v>
      </c>
      <c r="E21" s="9">
        <f t="shared" si="0"/>
        <v>55943.87</v>
      </c>
      <c r="F21" s="9">
        <f t="shared" si="0"/>
        <v>16536.91</v>
      </c>
      <c r="G21" s="9">
        <f t="shared" si="0"/>
        <v>9408.2899999999991</v>
      </c>
      <c r="H21" s="9">
        <f t="shared" si="0"/>
        <v>6779.87</v>
      </c>
      <c r="I21" s="9">
        <f t="shared" si="0"/>
        <v>7749.7099999999991</v>
      </c>
      <c r="J21" s="9">
        <f t="shared" si="0"/>
        <v>23282.739999999998</v>
      </c>
      <c r="K21" s="9">
        <f t="shared" si="0"/>
        <v>24174.530000000002</v>
      </c>
      <c r="L21" s="9">
        <f t="shared" si="0"/>
        <v>18218.639999999996</v>
      </c>
      <c r="M21" s="9">
        <f t="shared" si="0"/>
        <v>30367.83</v>
      </c>
      <c r="N21" s="9">
        <f t="shared" si="0"/>
        <v>47000</v>
      </c>
      <c r="O21" s="9">
        <f t="shared" si="0"/>
        <v>5600</v>
      </c>
      <c r="Q21" s="9">
        <f>IFERROR(+Q10-Q17,0)</f>
        <v>247594.18999999997</v>
      </c>
    </row>
    <row r="22" spans="1:17" s="38" customFormat="1" ht="15" customHeight="1" x14ac:dyDescent="0.3">
      <c r="B22" s="17"/>
      <c r="C22" s="17"/>
      <c r="D22" s="5">
        <f t="shared" ref="D22:O22" si="1">IFERROR(D21/D10,0)</f>
        <v>1</v>
      </c>
      <c r="E22" s="5">
        <f t="shared" si="1"/>
        <v>1</v>
      </c>
      <c r="F22" s="5">
        <f t="shared" si="1"/>
        <v>1</v>
      </c>
      <c r="G22" s="5">
        <f t="shared" si="1"/>
        <v>1</v>
      </c>
      <c r="H22" s="5">
        <f t="shared" si="1"/>
        <v>0.99878317003357331</v>
      </c>
      <c r="I22" s="5">
        <f t="shared" si="1"/>
        <v>1</v>
      </c>
      <c r="J22" s="5">
        <f t="shared" si="1"/>
        <v>1</v>
      </c>
      <c r="K22" s="5">
        <f t="shared" si="1"/>
        <v>1</v>
      </c>
      <c r="L22" s="5">
        <f t="shared" si="1"/>
        <v>1</v>
      </c>
      <c r="M22" s="5">
        <f t="shared" si="1"/>
        <v>1</v>
      </c>
      <c r="N22" s="5">
        <f t="shared" si="1"/>
        <v>1</v>
      </c>
      <c r="O22" s="5">
        <f t="shared" si="1"/>
        <v>1</v>
      </c>
      <c r="P22" s="19"/>
      <c r="Q22" s="5">
        <f>IFERROR(Q21/Q10,0)</f>
        <v>0.99996664007161473</v>
      </c>
    </row>
    <row r="23" spans="1:17" ht="15" customHeight="1" x14ac:dyDescent="0.3">
      <c r="A23" s="6"/>
      <c r="B23" s="7"/>
      <c r="C23" s="6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Q23" s="2"/>
    </row>
    <row r="24" spans="1:17" s="37" customFormat="1" ht="15" customHeight="1" x14ac:dyDescent="0.3">
      <c r="A24" s="7"/>
      <c r="B24" s="17" t="s">
        <v>286</v>
      </c>
      <c r="C24" s="7"/>
      <c r="D24" s="12" cm="1">
        <f t="array" ref="D24">SUM(OSRRefD20x_0)</f>
        <v>37658.880000000005</v>
      </c>
      <c r="E24" s="12" cm="1">
        <f t="array" ref="E24">SUM(OSRRefD20x_1)</f>
        <v>17838.41</v>
      </c>
      <c r="F24" s="12" cm="1">
        <f t="array" ref="F24">SUM(OSRRefD20x_2)</f>
        <v>34563.810000000005</v>
      </c>
      <c r="G24" s="12" cm="1">
        <f t="array" ref="G24">SUM(OSRRefD20x_3)</f>
        <v>23303.37</v>
      </c>
      <c r="H24" s="12" cm="1">
        <f t="array" ref="H24">SUM(OSRRefD20x_4)</f>
        <v>12008.599999999999</v>
      </c>
      <c r="I24" s="12" cm="1">
        <f t="array" ref="I24">SUM(OSRRefD20x_5)</f>
        <v>17624.77</v>
      </c>
      <c r="J24" s="12" cm="1">
        <f t="array" ref="J24">SUM(OSRRefD20x_6)</f>
        <v>19051.82</v>
      </c>
      <c r="K24" s="12" cm="1">
        <f t="array" ref="K24">SUM(OSRRefD20x_7)</f>
        <v>20936.3</v>
      </c>
      <c r="L24" s="12" cm="1">
        <f t="array" ref="L24">SUM(OSRRefD20x_8)</f>
        <v>33901.69</v>
      </c>
      <c r="M24" s="12" cm="1">
        <f t="array" ref="M24">SUM(OSRRefD20x_9)</f>
        <v>28384.22</v>
      </c>
      <c r="N24" s="12" cm="1">
        <f t="array" ref="N24">SUM(OSRRefE20x_0)</f>
        <v>31036.604975615392</v>
      </c>
      <c r="O24" s="12" cm="1">
        <f t="array" ref="O24">SUM(OSRRefE20x_1)</f>
        <v>24289.503919615392</v>
      </c>
      <c r="Q24" s="12" cm="1">
        <f t="array" ref="Q24">SUM(OSRRefG20x)</f>
        <v>300597.97889523068</v>
      </c>
    </row>
    <row r="25" spans="1:17" s="42" customFormat="1" ht="15" customHeight="1" collapsed="1" x14ac:dyDescent="0.3">
      <c r="A25" s="34"/>
      <c r="B25" s="15" t="str">
        <f>CONCATENATE("     ","*Benefits                                         ")</f>
        <v xml:space="preserve">     *Benefits                                         </v>
      </c>
      <c r="C25" s="15"/>
      <c r="D25" s="2">
        <f>SUM(OSRRefD21_0x_0)</f>
        <v>8921.32</v>
      </c>
      <c r="E25" s="2">
        <f>SUM(OSRRefD21_0x_1)</f>
        <v>9174.36</v>
      </c>
      <c r="F25" s="2">
        <f>SUM(OSRRefD21_0x_2)</f>
        <v>8204.0700000000015</v>
      </c>
      <c r="G25" s="2">
        <f>SUM(OSRRefD21_0x_3)</f>
        <v>10120.960000000001</v>
      </c>
      <c r="H25" s="2">
        <f>SUM(OSRRefD21_0x_4)</f>
        <v>11414.57</v>
      </c>
      <c r="I25" s="2">
        <f>SUM(OSRRefD21_0x_5)</f>
        <v>4512.1400000000003</v>
      </c>
      <c r="J25" s="2">
        <f>SUM(OSRRefD21_0x_6)</f>
        <v>5896.13</v>
      </c>
      <c r="K25" s="2">
        <f>SUM(OSRRefD21_0x_7)</f>
        <v>4515.66</v>
      </c>
      <c r="L25" s="2">
        <f>SUM(OSRRefD21_0x_8)</f>
        <v>4409.54</v>
      </c>
      <c r="M25" s="2">
        <f>SUM(OSRRefD21_0x_9)</f>
        <v>5692.91</v>
      </c>
      <c r="N25" s="2">
        <f>SUM(OSRRefE21_0x_0)</f>
        <v>4438.2928217692333</v>
      </c>
      <c r="O25" s="2">
        <f>SUM(OSRRefE21_0x_1)</f>
        <v>4161.6077657692331</v>
      </c>
      <c r="Q25" s="3">
        <f>SUM(OSRRefD20_0x)+IFERROR(SUM(OSRRefE20_0x),0)</f>
        <v>81461.56058753845</v>
      </c>
    </row>
    <row r="26" spans="1:17" s="42" customFormat="1" ht="15" hidden="1" customHeight="1" outlineLevel="1" x14ac:dyDescent="0.3">
      <c r="A26" s="34"/>
      <c r="B26" s="11" t="str">
        <f>CONCATENATE("          ","6111"," - ","F.I.C.A.")</f>
        <v xml:space="preserve">          6111 - F.I.C.A.</v>
      </c>
      <c r="C26" s="15"/>
      <c r="D26" s="3">
        <v>1247.51</v>
      </c>
      <c r="E26" s="3">
        <v>1387.4</v>
      </c>
      <c r="F26" s="3">
        <v>1244.83</v>
      </c>
      <c r="G26" s="3">
        <v>1811.85</v>
      </c>
      <c r="H26" s="3">
        <v>2780.09</v>
      </c>
      <c r="I26" s="3">
        <v>690.61</v>
      </c>
      <c r="J26" s="3">
        <v>681.32</v>
      </c>
      <c r="K26" s="3">
        <v>665.6</v>
      </c>
      <c r="L26" s="3">
        <v>671.98</v>
      </c>
      <c r="M26" s="3">
        <v>1011.55</v>
      </c>
      <c r="N26" s="3">
        <v>849.25988561538497</v>
      </c>
      <c r="O26" s="3">
        <v>678.81226961538505</v>
      </c>
      <c r="P26" s="10"/>
      <c r="Q26" s="3">
        <f>SUM(OSRRefD21_0_0x)+IFERROR(SUM(OSRRefE21_0_0x),0)</f>
        <v>13720.812155230769</v>
      </c>
    </row>
    <row r="27" spans="1:17" s="42" customFormat="1" ht="15" hidden="1" customHeight="1" outlineLevel="1" x14ac:dyDescent="0.3">
      <c r="A27" s="34"/>
      <c r="B27" s="11" t="str">
        <f>CONCATENATE("          ","6112"," - ","COMPENSATION INSURANCE")</f>
        <v xml:space="preserve">          6112 - COMPENSATION INSURANCE</v>
      </c>
      <c r="C27" s="15"/>
      <c r="D27" s="3">
        <v>251.73</v>
      </c>
      <c r="E27" s="3">
        <v>285</v>
      </c>
      <c r="F27" s="3">
        <v>291.74</v>
      </c>
      <c r="G27" s="3">
        <v>441.7</v>
      </c>
      <c r="H27" s="3">
        <v>567.87</v>
      </c>
      <c r="I27" s="3">
        <v>172.02</v>
      </c>
      <c r="J27" s="3">
        <v>164.86</v>
      </c>
      <c r="K27" s="3">
        <v>179.21</v>
      </c>
      <c r="L27" s="3">
        <v>181</v>
      </c>
      <c r="M27" s="3">
        <v>180.65</v>
      </c>
      <c r="N27" s="3">
        <v>173.11452</v>
      </c>
      <c r="O27" s="3">
        <v>138.37020000000001</v>
      </c>
      <c r="P27" s="10"/>
      <c r="Q27" s="3">
        <f>SUM(OSRRefD21_0_1x)+IFERROR(SUM(OSRRefE21_0_1x),0)</f>
        <v>3027.2647200000001</v>
      </c>
    </row>
    <row r="28" spans="1:17" s="42" customFormat="1" ht="15" hidden="1" customHeight="1" outlineLevel="1" x14ac:dyDescent="0.3">
      <c r="A28" s="34"/>
      <c r="B28" s="11" t="str">
        <f>CONCATENATE("          ","6113"," - ","GROUP INSURANCE")</f>
        <v xml:space="preserve">          6113 - GROUP INSURANCE</v>
      </c>
      <c r="C28" s="15"/>
      <c r="D28" s="3">
        <v>3410.23</v>
      </c>
      <c r="E28" s="3">
        <v>3410.23</v>
      </c>
      <c r="F28" s="3">
        <v>3443.98</v>
      </c>
      <c r="G28" s="3">
        <v>3410.23</v>
      </c>
      <c r="H28" s="3">
        <v>2817.93</v>
      </c>
      <c r="I28" s="3">
        <v>1393.42</v>
      </c>
      <c r="J28" s="3">
        <v>1287</v>
      </c>
      <c r="K28" s="3">
        <v>1287</v>
      </c>
      <c r="L28" s="3">
        <v>1287</v>
      </c>
      <c r="M28" s="3">
        <v>1287</v>
      </c>
      <c r="N28" s="3">
        <v>1326</v>
      </c>
      <c r="O28" s="3">
        <v>1326</v>
      </c>
      <c r="P28" s="10"/>
      <c r="Q28" s="3">
        <f>SUM(OSRRefD21_0_2x)+IFERROR(SUM(OSRRefE21_0_2x),0)</f>
        <v>25686.019999999997</v>
      </c>
    </row>
    <row r="29" spans="1:17" s="42" customFormat="1" ht="15" hidden="1" customHeight="1" outlineLevel="1" x14ac:dyDescent="0.3">
      <c r="A29" s="34"/>
      <c r="B29" s="11" t="str">
        <f>CONCATENATE("          ","6114"," - ","STATE UNEMPLOYMENT INSURANCE")</f>
        <v xml:space="preserve">          6114 - STATE UNEMPLOYMENT INSURANCE</v>
      </c>
      <c r="C29" s="15"/>
      <c r="D29" s="3">
        <v>44.22</v>
      </c>
      <c r="E29" s="3">
        <v>50.07</v>
      </c>
      <c r="F29" s="3">
        <v>51.25</v>
      </c>
      <c r="G29" s="3">
        <v>77.599999999999994</v>
      </c>
      <c r="H29" s="3">
        <v>99.76</v>
      </c>
      <c r="I29" s="3">
        <v>30.22</v>
      </c>
      <c r="J29" s="3">
        <v>28.96</v>
      </c>
      <c r="K29" s="3">
        <v>31.48</v>
      </c>
      <c r="L29" s="3">
        <v>31.8</v>
      </c>
      <c r="M29" s="3">
        <v>31.74</v>
      </c>
      <c r="N29" s="3">
        <v>23.303877692307701</v>
      </c>
      <c r="O29" s="3">
        <v>18.626757692307699</v>
      </c>
      <c r="P29" s="10"/>
      <c r="Q29" s="3">
        <f>SUM(OSRRefD21_0_3x)+IFERROR(SUM(OSRRefE21_0_3x),0)</f>
        <v>519.03063538461538</v>
      </c>
    </row>
    <row r="30" spans="1:17" s="42" customFormat="1" ht="15" hidden="1" customHeight="1" outlineLevel="1" x14ac:dyDescent="0.3">
      <c r="A30" s="34"/>
      <c r="B30" s="11" t="str">
        <f>CONCATENATE("          ","6115"," - ","P.E.R.S.")</f>
        <v xml:space="preserve">          6115 - P.E.R.S.</v>
      </c>
      <c r="C30" s="15"/>
      <c r="D30" s="3">
        <v>1590.79</v>
      </c>
      <c r="E30" s="3">
        <v>1590.79</v>
      </c>
      <c r="F30" s="3">
        <v>1590.79</v>
      </c>
      <c r="G30" s="3">
        <v>2386.1799999999998</v>
      </c>
      <c r="H30" s="3">
        <v>3677.36</v>
      </c>
      <c r="I30" s="3">
        <v>810.13</v>
      </c>
      <c r="J30" s="3">
        <v>834.08</v>
      </c>
      <c r="K30" s="3">
        <v>811.71</v>
      </c>
      <c r="L30" s="3">
        <v>793.49</v>
      </c>
      <c r="M30" s="3">
        <v>1140.55</v>
      </c>
      <c r="N30" s="3">
        <v>762.81007692307799</v>
      </c>
      <c r="O30" s="3">
        <v>762.81007692307799</v>
      </c>
      <c r="P30" s="10"/>
      <c r="Q30" s="3">
        <f>SUM(OSRRefD21_0_4x)+IFERROR(SUM(OSRRefE21_0_4x),0)</f>
        <v>16751.490153846153</v>
      </c>
    </row>
    <row r="31" spans="1:17" s="42" customFormat="1" ht="15" hidden="1" customHeight="1" outlineLevel="1" x14ac:dyDescent="0.3">
      <c r="A31" s="34"/>
      <c r="B31" s="11" t="str">
        <f>CONCATENATE("          ","6116"," - ","EDUCATIONAL BENEFITS")</f>
        <v xml:space="preserve">          6116 - EDUCATIONAL BENEFITS</v>
      </c>
      <c r="C31" s="15"/>
      <c r="D31" s="3"/>
      <c r="E31" s="3"/>
      <c r="F31" s="3"/>
      <c r="G31" s="3"/>
      <c r="H31" s="3"/>
      <c r="I31" s="3"/>
      <c r="J31" s="3"/>
      <c r="K31" s="3"/>
      <c r="L31" s="3"/>
      <c r="M31" s="3"/>
      <c r="N31" s="3">
        <v>0</v>
      </c>
      <c r="O31" s="3">
        <v>0</v>
      </c>
      <c r="P31" s="10"/>
      <c r="Q31" s="3">
        <f>SUM(OSRRefD21_0_5x)+IFERROR(SUM(OSRRefE21_0_5x),0)</f>
        <v>0</v>
      </c>
    </row>
    <row r="32" spans="1:17" s="42" customFormat="1" ht="15" hidden="1" customHeight="1" outlineLevel="1" x14ac:dyDescent="0.3">
      <c r="A32" s="34"/>
      <c r="B32" s="11" t="str">
        <f>CONCATENATE("          ","6118"," - ","VACATION")</f>
        <v xml:space="preserve">          6118 - VACATION</v>
      </c>
      <c r="C32" s="15"/>
      <c r="D32" s="3">
        <v>1216.0999999999999</v>
      </c>
      <c r="E32" s="3">
        <v>1216.0999999999999</v>
      </c>
      <c r="F32" s="3">
        <v>697.52</v>
      </c>
      <c r="G32" s="3">
        <v>834.2</v>
      </c>
      <c r="H32" s="3">
        <v>639.32000000000005</v>
      </c>
      <c r="I32" s="3">
        <v>639.32000000000005</v>
      </c>
      <c r="J32" s="3">
        <v>1001.59</v>
      </c>
      <c r="K32" s="3">
        <v>640.52</v>
      </c>
      <c r="L32" s="3">
        <v>640.52</v>
      </c>
      <c r="M32" s="3">
        <v>976.7</v>
      </c>
      <c r="N32" s="3">
        <v>620.89192307692304</v>
      </c>
      <c r="O32" s="3">
        <v>620.89192307692304</v>
      </c>
      <c r="P32" s="10"/>
      <c r="Q32" s="3">
        <f>SUM(OSRRefD21_0_6x)+IFERROR(SUM(OSRRefE21_0_6x),0)</f>
        <v>9743.673846153848</v>
      </c>
    </row>
    <row r="33" spans="1:17" s="42" customFormat="1" ht="15" hidden="1" customHeight="1" outlineLevel="1" x14ac:dyDescent="0.3">
      <c r="A33" s="34"/>
      <c r="B33" s="11" t="str">
        <f>CONCATENATE("          ","6119"," - ","SICK LEAVE")</f>
        <v xml:space="preserve">          6119 - SICK LEAVE</v>
      </c>
      <c r="C33" s="15"/>
      <c r="D33" s="3">
        <v>738.5</v>
      </c>
      <c r="E33" s="3">
        <v>738.5</v>
      </c>
      <c r="F33" s="3">
        <v>566.41999999999996</v>
      </c>
      <c r="G33" s="3">
        <v>591.51</v>
      </c>
      <c r="H33" s="3">
        <v>410.1</v>
      </c>
      <c r="I33" s="3">
        <v>410.1</v>
      </c>
      <c r="J33" s="3">
        <v>1509.53</v>
      </c>
      <c r="K33" s="3">
        <v>411.06</v>
      </c>
      <c r="L33" s="3">
        <v>411.06</v>
      </c>
      <c r="M33" s="3">
        <v>616.59</v>
      </c>
      <c r="N33" s="3">
        <v>332.91253846153899</v>
      </c>
      <c r="O33" s="3">
        <v>266.09653846153901</v>
      </c>
      <c r="P33" s="10"/>
      <c r="Q33" s="3">
        <f>SUM(OSRRefD21_0_7x)+IFERROR(SUM(OSRRefE21_0_7x),0)</f>
        <v>7002.3790769230791</v>
      </c>
    </row>
    <row r="34" spans="1:17" s="42" customFormat="1" ht="15" hidden="1" customHeight="1" outlineLevel="1" x14ac:dyDescent="0.3">
      <c r="A34" s="34"/>
      <c r="B34" s="11" t="str">
        <f>CONCATENATE("          ","6156"," - ","EMPLOYEE MEALS")</f>
        <v xml:space="preserve">          6156 - EMPLOYEE MEALS</v>
      </c>
      <c r="C34" s="15"/>
      <c r="D34" s="3">
        <v>422.24</v>
      </c>
      <c r="E34" s="3">
        <v>496.27</v>
      </c>
      <c r="F34" s="3">
        <v>317.54000000000002</v>
      </c>
      <c r="G34" s="3">
        <v>567.69000000000005</v>
      </c>
      <c r="H34" s="3">
        <v>422.14</v>
      </c>
      <c r="I34" s="3">
        <v>366.32</v>
      </c>
      <c r="J34" s="3">
        <v>388.79</v>
      </c>
      <c r="K34" s="3">
        <v>489.08</v>
      </c>
      <c r="L34" s="3">
        <v>392.69</v>
      </c>
      <c r="M34" s="3">
        <v>448.13</v>
      </c>
      <c r="N34" s="3">
        <v>350</v>
      </c>
      <c r="O34" s="3">
        <v>350</v>
      </c>
      <c r="P34" s="10"/>
      <c r="Q34" s="3">
        <f>SUM(OSRRefD21_0_8x)+IFERROR(SUM(OSRRefE21_0_8x),0)</f>
        <v>5010.8900000000003</v>
      </c>
    </row>
    <row r="35" spans="1:17" s="42" customFormat="1" ht="15" customHeight="1" collapsed="1" x14ac:dyDescent="0.3">
      <c r="A35" s="34"/>
      <c r="B35" s="15" t="str">
        <f>CONCATENATE("     ","*Payroll                                          ")</f>
        <v xml:space="preserve">     *Payroll                                          </v>
      </c>
      <c r="C35" s="15"/>
      <c r="D35" s="2">
        <f>SUM(OSRRefD21_1x_0)</f>
        <v>19441.55</v>
      </c>
      <c r="E35" s="2">
        <f>SUM(OSRRefD21_1x_1)</f>
        <v>17940.689999999999</v>
      </c>
      <c r="F35" s="2">
        <f>SUM(OSRRefD21_1x_2)</f>
        <v>17178.86</v>
      </c>
      <c r="G35" s="2">
        <f>SUM(OSRRefD21_1x_3)</f>
        <v>22697.439999999999</v>
      </c>
      <c r="H35" s="2">
        <f>SUM(OSRRefD21_1x_4)</f>
        <v>91.619999999999891</v>
      </c>
      <c r="I35" s="2">
        <f>SUM(OSRRefD21_1x_5)</f>
        <v>10711.42</v>
      </c>
      <c r="J35" s="2">
        <f>SUM(OSRRefD21_1x_6)</f>
        <v>13111.52</v>
      </c>
      <c r="K35" s="2">
        <f>SUM(OSRRefD21_1x_7)</f>
        <v>12026.04</v>
      </c>
      <c r="L35" s="2">
        <f>SUM(OSRRefD21_1x_8)</f>
        <v>13661.55</v>
      </c>
      <c r="M35" s="2">
        <f>SUM(OSRRefD21_1x_9)</f>
        <v>14795.57</v>
      </c>
      <c r="N35" s="2">
        <f>SUM(OSRRefE21_1x_0)</f>
        <v>10303.312153846158</v>
      </c>
      <c r="O35" s="2">
        <f>SUM(OSRRefE21_1x_1)</f>
        <v>7982.8961538461599</v>
      </c>
      <c r="Q35" s="3">
        <f>SUM(OSRRefD20_1x)+IFERROR(SUM(OSRRefE20_1x),0)</f>
        <v>159942.4683076923</v>
      </c>
    </row>
    <row r="36" spans="1:17" s="42" customFormat="1" ht="15" hidden="1" customHeight="1" outlineLevel="1" x14ac:dyDescent="0.3">
      <c r="A36" s="34"/>
      <c r="B36" s="11" t="str">
        <f>CONCATENATE("          ","6001"," - ","ADMINISTRATIVE SALARIES")</f>
        <v xml:space="preserve">          6001 - ADMINISTRATIVE SALARIES</v>
      </c>
      <c r="C36" s="15"/>
      <c r="D36" s="3"/>
      <c r="E36" s="3"/>
      <c r="F36" s="3"/>
      <c r="G36" s="3"/>
      <c r="H36" s="3"/>
      <c r="I36" s="3"/>
      <c r="J36" s="3"/>
      <c r="K36" s="3"/>
      <c r="L36" s="3"/>
      <c r="M36" s="3"/>
      <c r="N36" s="3">
        <v>0</v>
      </c>
      <c r="O36" s="3">
        <v>0</v>
      </c>
      <c r="P36" s="10"/>
      <c r="Q36" s="3">
        <f>SUM(OSRRefD21_1_0x)+IFERROR(SUM(OSRRefE21_1_0x),0)</f>
        <v>0</v>
      </c>
    </row>
    <row r="37" spans="1:17" s="42" customFormat="1" ht="15" hidden="1" customHeight="1" outlineLevel="1" x14ac:dyDescent="0.3">
      <c r="A37" s="34"/>
      <c r="B37" s="11" t="str">
        <f>CONCATENATE("          ","6002"," - ","STAFF SALARIES")</f>
        <v xml:space="preserve">          6002 - STAFF SALARIES</v>
      </c>
      <c r="C37" s="15"/>
      <c r="D37" s="3">
        <v>18934.05</v>
      </c>
      <c r="E37" s="3">
        <v>15332.57</v>
      </c>
      <c r="F37" s="3">
        <v>14552.52</v>
      </c>
      <c r="G37" s="3">
        <v>19378.57</v>
      </c>
      <c r="H37" s="3">
        <v>-1936.7</v>
      </c>
      <c r="I37" s="3">
        <v>7763.16</v>
      </c>
      <c r="J37" s="3">
        <v>10145.64</v>
      </c>
      <c r="K37" s="3">
        <v>8912.0400000000009</v>
      </c>
      <c r="L37" s="3">
        <v>9955.57</v>
      </c>
      <c r="M37" s="3">
        <v>10626.39</v>
      </c>
      <c r="N37" s="3">
        <v>7982.8961538461599</v>
      </c>
      <c r="O37" s="3">
        <v>7982.8961538461599</v>
      </c>
      <c r="P37" s="10"/>
      <c r="Q37" s="3">
        <f>SUM(OSRRefD21_1_1x)+IFERROR(SUM(OSRRefE21_1_1x),0)</f>
        <v>129629.60230769233</v>
      </c>
    </row>
    <row r="38" spans="1:17" s="42" customFormat="1" ht="15" hidden="1" customHeight="1" outlineLevel="1" x14ac:dyDescent="0.3">
      <c r="A38" s="34"/>
      <c r="B38" s="11" t="str">
        <f>CONCATENATE("          ","6003"," - ","STAFF HOURLY-9 MONTH")</f>
        <v xml:space="preserve">          6003 - STAFF HOURLY-9 MONTH</v>
      </c>
      <c r="C38" s="15"/>
      <c r="D38" s="3"/>
      <c r="E38" s="3"/>
      <c r="F38" s="3"/>
      <c r="G38" s="3"/>
      <c r="H38" s="3"/>
      <c r="I38" s="3"/>
      <c r="J38" s="3"/>
      <c r="K38" s="3"/>
      <c r="L38" s="3"/>
      <c r="M38" s="3"/>
      <c r="N38" s="3">
        <v>0</v>
      </c>
      <c r="O38" s="3">
        <v>0</v>
      </c>
      <c r="P38" s="10"/>
      <c r="Q38" s="3">
        <f>SUM(OSRRefD21_1_2x)+IFERROR(SUM(OSRRefE21_1_2x),0)</f>
        <v>0</v>
      </c>
    </row>
    <row r="39" spans="1:17" s="42" customFormat="1" ht="15" hidden="1" customHeight="1" outlineLevel="1" x14ac:dyDescent="0.3">
      <c r="A39" s="34"/>
      <c r="B39" s="11" t="str">
        <f>CONCATENATE("          ","6004"," - ","STAFF HOURLY")</f>
        <v xml:space="preserve">          6004 - STAFF HOURLY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/>
      <c r="N39" s="3">
        <v>1386</v>
      </c>
      <c r="O39" s="3">
        <v>0</v>
      </c>
      <c r="P39" s="10"/>
      <c r="Q39" s="3">
        <f>SUM(OSRRefD21_1_3x)+IFERROR(SUM(OSRRefE21_1_3x),0)</f>
        <v>1386</v>
      </c>
    </row>
    <row r="40" spans="1:17" s="42" customFormat="1" ht="15" hidden="1" customHeight="1" outlineLevel="1" x14ac:dyDescent="0.3">
      <c r="A40" s="34"/>
      <c r="B40" s="11" t="str">
        <f>CONCATENATE("          ","6005"," - ","TEMPORARY WAGES-HOURLY")</f>
        <v xml:space="preserve">          6005 - TEMPORARY WAGES-HOURLY</v>
      </c>
      <c r="C40" s="15"/>
      <c r="D40" s="3"/>
      <c r="E40" s="3"/>
      <c r="F40" s="3"/>
      <c r="G40" s="3"/>
      <c r="H40" s="3"/>
      <c r="I40" s="3"/>
      <c r="J40" s="3"/>
      <c r="K40" s="3"/>
      <c r="L40" s="3"/>
      <c r="M40" s="3"/>
      <c r="N40" s="3">
        <v>0</v>
      </c>
      <c r="O40" s="3">
        <v>0</v>
      </c>
      <c r="P40" s="10"/>
      <c r="Q40" s="3">
        <f>SUM(OSRRefD21_1_4x)+IFERROR(SUM(OSRRefE21_1_4x),0)</f>
        <v>0</v>
      </c>
    </row>
    <row r="41" spans="1:17" s="42" customFormat="1" ht="15" hidden="1" customHeight="1" outlineLevel="1" x14ac:dyDescent="0.3">
      <c r="A41" s="34"/>
      <c r="B41" s="11" t="str">
        <f>CONCATENATE("          ","6006"," - ","TEMPORARY PART TIME")</f>
        <v xml:space="preserve">          6006 - TEMPORARY PART TIME</v>
      </c>
      <c r="C41" s="15"/>
      <c r="D41" s="3"/>
      <c r="E41" s="3"/>
      <c r="F41" s="3"/>
      <c r="G41" s="3"/>
      <c r="H41" s="3"/>
      <c r="I41" s="3"/>
      <c r="J41" s="3"/>
      <c r="K41" s="3"/>
      <c r="L41" s="3"/>
      <c r="M41" s="3"/>
      <c r="N41" s="3">
        <v>0</v>
      </c>
      <c r="O41" s="3">
        <v>0</v>
      </c>
      <c r="P41" s="10"/>
      <c r="Q41" s="3">
        <f>SUM(OSRRefD21_1_5x)+IFERROR(SUM(OSRRefE21_1_5x),0)</f>
        <v>0</v>
      </c>
    </row>
    <row r="42" spans="1:17" s="42" customFormat="1" ht="15" hidden="1" customHeight="1" outlineLevel="1" x14ac:dyDescent="0.3">
      <c r="A42" s="34"/>
      <c r="B42" s="11" t="str">
        <f>CONCATENATE("          ","6007"," - ","STUDENT HOURLY")</f>
        <v xml:space="preserve">          6007 - STUDENT HOURLY</v>
      </c>
      <c r="C42" s="15"/>
      <c r="D42" s="3">
        <v>507.5</v>
      </c>
      <c r="E42" s="3">
        <v>2608.12</v>
      </c>
      <c r="F42" s="3">
        <v>2626.34</v>
      </c>
      <c r="G42" s="3">
        <v>3318.87</v>
      </c>
      <c r="H42" s="3">
        <v>2028.32</v>
      </c>
      <c r="I42" s="3">
        <v>2948.26</v>
      </c>
      <c r="J42" s="3">
        <v>2965.88</v>
      </c>
      <c r="K42" s="3">
        <v>3114</v>
      </c>
      <c r="L42" s="3">
        <v>3705.98</v>
      </c>
      <c r="M42" s="3">
        <v>3416.93</v>
      </c>
      <c r="N42" s="3">
        <v>934.41600000000005</v>
      </c>
      <c r="O42" s="3">
        <v>0</v>
      </c>
      <c r="P42" s="10"/>
      <c r="Q42" s="3">
        <f>SUM(OSRRefD21_1_6x)+IFERROR(SUM(OSRRefE21_1_6x),0)</f>
        <v>28174.616000000002</v>
      </c>
    </row>
    <row r="43" spans="1:17" s="42" customFormat="1" ht="15" hidden="1" customHeight="1" outlineLevel="1" x14ac:dyDescent="0.3">
      <c r="A43" s="34"/>
      <c r="B43" s="11" t="str">
        <f>CONCATENATE("          ","6008"," - ","STUDENT HOURLY-FICA EXEMPT")</f>
        <v xml:space="preserve">          6008 - STUDENT HOURLY-FICA EXEMPT</v>
      </c>
      <c r="C43" s="15"/>
      <c r="D43" s="3"/>
      <c r="E43" s="3"/>
      <c r="F43" s="3"/>
      <c r="G43" s="3"/>
      <c r="H43" s="3"/>
      <c r="I43" s="3"/>
      <c r="J43" s="3"/>
      <c r="K43" s="3"/>
      <c r="L43" s="3"/>
      <c r="M43" s="3">
        <v>752.25</v>
      </c>
      <c r="N43" s="3">
        <v>0</v>
      </c>
      <c r="O43" s="3">
        <v>0</v>
      </c>
      <c r="P43" s="10"/>
      <c r="Q43" s="3">
        <f>SUM(OSRRefD21_1_7x)+IFERROR(SUM(OSRRefE21_1_7x),0)</f>
        <v>752.25</v>
      </c>
    </row>
    <row r="44" spans="1:17" s="42" customFormat="1" ht="15" hidden="1" customHeight="1" outlineLevel="1" x14ac:dyDescent="0.3">
      <c r="A44" s="34"/>
      <c r="B44" s="11" t="str">
        <f>CONCATENATE("          ","6009"," - ","TEMPORARY-SEASONAL")</f>
        <v xml:space="preserve">          6009 - TEMPORARY-SEASONAL</v>
      </c>
      <c r="C44" s="15"/>
      <c r="D44" s="3"/>
      <c r="E44" s="3"/>
      <c r="F44" s="3"/>
      <c r="G44" s="3"/>
      <c r="H44" s="3"/>
      <c r="I44" s="3"/>
      <c r="J44" s="3"/>
      <c r="K44" s="3"/>
      <c r="L44" s="3"/>
      <c r="M44" s="3"/>
      <c r="N44" s="3">
        <v>0</v>
      </c>
      <c r="O44" s="3">
        <v>0</v>
      </c>
      <c r="P44" s="10"/>
      <c r="Q44" s="3">
        <f>SUM(OSRRefD21_1_8x)+IFERROR(SUM(OSRRefE21_1_8x),0)</f>
        <v>0</v>
      </c>
    </row>
    <row r="45" spans="1:17" s="42" customFormat="1" ht="15" hidden="1" customHeight="1" outlineLevel="1" x14ac:dyDescent="0.3">
      <c r="A45" s="34"/>
      <c r="B45" s="11" t="str">
        <f>CONCATENATE("          ","6010"," - ","GRATUITY")</f>
        <v xml:space="preserve">          6010 - GRATUITY</v>
      </c>
      <c r="C45" s="15"/>
      <c r="D45" s="3"/>
      <c r="E45" s="3"/>
      <c r="F45" s="3"/>
      <c r="G45" s="3"/>
      <c r="H45" s="3"/>
      <c r="I45" s="3"/>
      <c r="J45" s="3"/>
      <c r="K45" s="3"/>
      <c r="L45" s="3"/>
      <c r="M45" s="3"/>
      <c r="N45" s="3">
        <v>0</v>
      </c>
      <c r="O45" s="3">
        <v>0</v>
      </c>
      <c r="P45" s="10"/>
      <c r="Q45" s="3">
        <f>SUM(OSRRefD21_1_9x)+IFERROR(SUM(OSRRefE21_1_9x),0)</f>
        <v>0</v>
      </c>
    </row>
    <row r="46" spans="1:17" s="42" customFormat="1" ht="15" customHeight="1" collapsed="1" x14ac:dyDescent="0.3">
      <c r="A46" s="34"/>
      <c r="B46" s="15" t="str">
        <f>CONCATENATE("     ","Advertising/Promo                                 ")</f>
        <v xml:space="preserve">     Advertising/Promo                                 </v>
      </c>
      <c r="C46" s="15"/>
      <c r="D46" s="2">
        <f>SUM(OSRRefD21_2x_0)</f>
        <v>0</v>
      </c>
      <c r="E46" s="2">
        <f>SUM(OSRRefD21_2x_1)</f>
        <v>0</v>
      </c>
      <c r="F46" s="2">
        <f>SUM(OSRRefD21_2x_2)</f>
        <v>0</v>
      </c>
      <c r="G46" s="2">
        <f>SUM(OSRRefD21_2x_3)</f>
        <v>97.75</v>
      </c>
      <c r="H46" s="2">
        <f>SUM(OSRRefD21_2x_4)</f>
        <v>0</v>
      </c>
      <c r="I46" s="2">
        <f>SUM(OSRRefD21_2x_5)</f>
        <v>0</v>
      </c>
      <c r="J46" s="2">
        <f>SUM(OSRRefD21_2x_6)</f>
        <v>44.1</v>
      </c>
      <c r="K46" s="2">
        <f>SUM(OSRRefD21_2x_7)</f>
        <v>10</v>
      </c>
      <c r="L46" s="2">
        <f>SUM(OSRRefD21_2x_8)</f>
        <v>0</v>
      </c>
      <c r="M46" s="2">
        <f>SUM(OSRRefD21_2x_9)</f>
        <v>0</v>
      </c>
      <c r="N46" s="2">
        <f>SUM(OSRRefE21_2x_0)</f>
        <v>50</v>
      </c>
      <c r="O46" s="2">
        <f>SUM(OSRRefE21_2x_1)</f>
        <v>50</v>
      </c>
      <c r="Q46" s="3">
        <f>SUM(OSRRefD20_2x)+IFERROR(SUM(OSRRefE20_2x),0)</f>
        <v>251.85</v>
      </c>
    </row>
    <row r="47" spans="1:17" s="42" customFormat="1" ht="15" hidden="1" customHeight="1" outlineLevel="1" x14ac:dyDescent="0.3">
      <c r="A47" s="34"/>
      <c r="B47" s="11" t="str">
        <f>CONCATENATE("          ","6362"," - ","ADVERTISING EXPENSE")</f>
        <v xml:space="preserve">          6362 - ADVERTISING EXPENSE</v>
      </c>
      <c r="C47" s="15"/>
      <c r="D47" s="3"/>
      <c r="E47" s="3"/>
      <c r="F47" s="3"/>
      <c r="G47" s="3">
        <v>97.75</v>
      </c>
      <c r="H47" s="3"/>
      <c r="I47" s="3"/>
      <c r="J47" s="3">
        <v>44.1</v>
      </c>
      <c r="K47" s="3">
        <v>10</v>
      </c>
      <c r="L47" s="3"/>
      <c r="M47" s="3"/>
      <c r="N47" s="3">
        <v>50</v>
      </c>
      <c r="O47" s="3">
        <v>50</v>
      </c>
      <c r="P47" s="10"/>
      <c r="Q47" s="3">
        <f>SUM(OSRRefD21_2_0x)+IFERROR(SUM(OSRRefE21_2_0x),0)</f>
        <v>251.85</v>
      </c>
    </row>
    <row r="48" spans="1:17" s="42" customFormat="1" ht="15" customHeight="1" collapsed="1" x14ac:dyDescent="0.3">
      <c r="A48" s="34"/>
      <c r="B48" s="15" t="str">
        <f>CONCATENATE("     ","Depreciation                                      ")</f>
        <v xml:space="preserve">     Depreciation                                      </v>
      </c>
      <c r="C48" s="15"/>
      <c r="D48" s="2">
        <f>SUM(OSRRefD21_3x_0)</f>
        <v>169.88</v>
      </c>
      <c r="E48" s="2">
        <f>SUM(OSRRefD21_3x_1)</f>
        <v>169.88</v>
      </c>
      <c r="F48" s="2">
        <f>SUM(OSRRefD21_3x_2)</f>
        <v>169.88</v>
      </c>
      <c r="G48" s="2">
        <f>SUM(OSRRefD21_3x_3)</f>
        <v>169.88</v>
      </c>
      <c r="H48" s="2">
        <f>SUM(OSRRefD21_3x_4)</f>
        <v>169.88</v>
      </c>
      <c r="I48" s="2">
        <f>SUM(OSRRefD21_3x_5)</f>
        <v>169.88</v>
      </c>
      <c r="J48" s="2">
        <f>SUM(OSRRefD21_3x_6)</f>
        <v>169.88</v>
      </c>
      <c r="K48" s="2">
        <f>SUM(OSRRefD21_3x_7)</f>
        <v>169.88</v>
      </c>
      <c r="L48" s="2">
        <f>SUM(OSRRefD21_3x_8)</f>
        <v>169.88</v>
      </c>
      <c r="M48" s="2">
        <f>SUM(OSRRefD21_3x_9)</f>
        <v>169.88</v>
      </c>
      <c r="N48" s="2">
        <f>SUM(OSRRefE21_3x_0)</f>
        <v>170</v>
      </c>
      <c r="O48" s="2">
        <f>SUM(OSRRefE21_3x_1)</f>
        <v>170</v>
      </c>
      <c r="Q48" s="3">
        <f>SUM(OSRRefD20_3x)+IFERROR(SUM(OSRRefE20_3x),0)</f>
        <v>2038.8000000000002</v>
      </c>
    </row>
    <row r="49" spans="1:17" s="42" customFormat="1" ht="15" hidden="1" customHeight="1" outlineLevel="1" x14ac:dyDescent="0.3">
      <c r="A49" s="34"/>
      <c r="B49" s="11" t="str">
        <f>CONCATENATE("          ","6322"," - ","EQUIPMENT DEPRECIATION EXPENSE")</f>
        <v xml:space="preserve">          6322 - EQUIPMENT DEPRECIATION EXPENSE</v>
      </c>
      <c r="C49" s="15"/>
      <c r="D49" s="3">
        <v>169.88</v>
      </c>
      <c r="E49" s="3">
        <v>169.88</v>
      </c>
      <c r="F49" s="3">
        <v>169.88</v>
      </c>
      <c r="G49" s="3">
        <v>169.88</v>
      </c>
      <c r="H49" s="3">
        <v>169.88</v>
      </c>
      <c r="I49" s="3">
        <v>169.88</v>
      </c>
      <c r="J49" s="3">
        <v>169.88</v>
      </c>
      <c r="K49" s="3">
        <v>169.88</v>
      </c>
      <c r="L49" s="3">
        <v>169.88</v>
      </c>
      <c r="M49" s="3">
        <v>169.88</v>
      </c>
      <c r="N49" s="3">
        <v>170</v>
      </c>
      <c r="O49" s="3">
        <v>170</v>
      </c>
      <c r="P49" s="10"/>
      <c r="Q49" s="3">
        <f>SUM(OSRRefD21_3_0x)+IFERROR(SUM(OSRRefE21_3_0x),0)</f>
        <v>2038.8000000000002</v>
      </c>
    </row>
    <row r="50" spans="1:17" s="42" customFormat="1" ht="15" customHeight="1" collapsed="1" x14ac:dyDescent="0.3">
      <c r="A50" s="34"/>
      <c r="B50" s="15" t="str">
        <f>CONCATENATE("     ","Equipment Rental                                  ")</f>
        <v xml:space="preserve">     Equipment Rental                                  </v>
      </c>
      <c r="C50" s="15"/>
      <c r="D50" s="2">
        <f>SUM(OSRRefD21_4x_0)</f>
        <v>1205.6400000000001</v>
      </c>
      <c r="E50" s="2">
        <f>SUM(OSRRefD21_4x_1)</f>
        <v>1205.6400000000001</v>
      </c>
      <c r="F50" s="2">
        <f>SUM(OSRRefD21_4x_2)</f>
        <v>1205.6400000000001</v>
      </c>
      <c r="G50" s="2">
        <f>SUM(OSRRefD21_4x_3)</f>
        <v>1205.6400000000001</v>
      </c>
      <c r="H50" s="2">
        <f>SUM(OSRRefD21_4x_4)</f>
        <v>1205.6400000000001</v>
      </c>
      <c r="I50" s="2">
        <f>SUM(OSRRefD21_4x_5)</f>
        <v>1205.6400000000001</v>
      </c>
      <c r="J50" s="2">
        <f>SUM(OSRRefD21_4x_6)</f>
        <v>1296.9000000000001</v>
      </c>
      <c r="K50" s="2">
        <f>SUM(OSRRefD21_4x_7)</f>
        <v>1205.6400000000001</v>
      </c>
      <c r="L50" s="2">
        <f>SUM(OSRRefD21_4x_8)</f>
        <v>1205.6400000000001</v>
      </c>
      <c r="M50" s="2">
        <f>SUM(OSRRefD21_4x_9)</f>
        <v>1205.6400000000001</v>
      </c>
      <c r="N50" s="2">
        <f>SUM(OSRRefE21_4x_0)</f>
        <v>1300</v>
      </c>
      <c r="O50" s="2">
        <f>SUM(OSRRefE21_4x_1)</f>
        <v>1300</v>
      </c>
      <c r="Q50" s="3">
        <f>SUM(OSRRefD20_4x)+IFERROR(SUM(OSRRefE20_4x),0)</f>
        <v>14747.66</v>
      </c>
    </row>
    <row r="51" spans="1:17" s="42" customFormat="1" ht="15" hidden="1" customHeight="1" outlineLevel="1" x14ac:dyDescent="0.3">
      <c r="A51" s="34"/>
      <c r="B51" s="11" t="str">
        <f>CONCATENATE("          ","6351"," - ","EQUIPMENT RENTAL")</f>
        <v xml:space="preserve">          6351 - EQUIPMENT RENTAL</v>
      </c>
      <c r="C51" s="15"/>
      <c r="D51" s="3">
        <v>1205.6400000000001</v>
      </c>
      <c r="E51" s="3">
        <v>1205.6400000000001</v>
      </c>
      <c r="F51" s="3">
        <v>1205.6400000000001</v>
      </c>
      <c r="G51" s="3">
        <v>1205.6400000000001</v>
      </c>
      <c r="H51" s="3">
        <v>1205.6400000000001</v>
      </c>
      <c r="I51" s="3">
        <v>1205.6400000000001</v>
      </c>
      <c r="J51" s="3">
        <v>1296.9000000000001</v>
      </c>
      <c r="K51" s="3">
        <v>1205.6400000000001</v>
      </c>
      <c r="L51" s="3">
        <v>1205.6400000000001</v>
      </c>
      <c r="M51" s="3">
        <v>1205.6400000000001</v>
      </c>
      <c r="N51" s="3">
        <v>1300</v>
      </c>
      <c r="O51" s="3">
        <v>1300</v>
      </c>
      <c r="P51" s="10"/>
      <c r="Q51" s="3">
        <f>SUM(OSRRefD21_4_0x)+IFERROR(SUM(OSRRefE21_4_0x),0)</f>
        <v>14747.66</v>
      </c>
    </row>
    <row r="52" spans="1:17" s="42" customFormat="1" ht="15" customHeight="1" collapsed="1" x14ac:dyDescent="0.3">
      <c r="A52" s="34"/>
      <c r="B52" s="15" t="str">
        <f>CONCATENATE("     ","Freight out/Postage                               ")</f>
        <v xml:space="preserve">     Freight out/Postage                               </v>
      </c>
      <c r="C52" s="15"/>
      <c r="D52" s="2">
        <f>SUM(OSRRefD21_5x_0)</f>
        <v>2283.8600000000006</v>
      </c>
      <c r="E52" s="2">
        <f>SUM(OSRRefD21_5x_1)</f>
        <v>-20187.95</v>
      </c>
      <c r="F52" s="2">
        <f>SUM(OSRRefD21_5x_2)</f>
        <v>3500.9700000000012</v>
      </c>
      <c r="G52" s="2">
        <f>SUM(OSRRefD21_5x_3)</f>
        <v>-24784.420000000002</v>
      </c>
      <c r="H52" s="2">
        <f>SUM(OSRRefD21_5x_4)</f>
        <v>-3785.619999999999</v>
      </c>
      <c r="I52" s="2">
        <f>SUM(OSRRefD21_5x_5)</f>
        <v>-4174.8600000000006</v>
      </c>
      <c r="J52" s="2">
        <f>SUM(OSRRefD21_5x_6)</f>
        <v>-10138.209999999999</v>
      </c>
      <c r="K52" s="2">
        <f>SUM(OSRRefD21_5x_7)</f>
        <v>-7076.82</v>
      </c>
      <c r="L52" s="2">
        <f>SUM(OSRRefD21_5x_8)</f>
        <v>1763.2199999999993</v>
      </c>
      <c r="M52" s="2">
        <f>SUM(OSRRefD21_5x_9)</f>
        <v>-6034.4100000000008</v>
      </c>
      <c r="N52" s="2">
        <f>SUM(OSRRefE21_5x_0)</f>
        <v>-3000</v>
      </c>
      <c r="O52" s="2">
        <f>SUM(OSRRefE21_5x_1)</f>
        <v>-3000</v>
      </c>
      <c r="Q52" s="3">
        <f>SUM(OSRRefD20_5x)+IFERROR(SUM(OSRRefE20_5x),0)</f>
        <v>-74634.240000000005</v>
      </c>
    </row>
    <row r="53" spans="1:17" s="42" customFormat="1" ht="15" hidden="1" customHeight="1" outlineLevel="1" x14ac:dyDescent="0.3">
      <c r="A53" s="34"/>
      <c r="B53" s="11" t="str">
        <f>CONCATENATE("          ","6305"," - ","FREIGHT OUT")</f>
        <v xml:space="preserve">          6305 - FREIGHT OUT</v>
      </c>
      <c r="C53" s="15"/>
      <c r="D53" s="3">
        <v>9911.1200000000008</v>
      </c>
      <c r="E53" s="3">
        <v>4220.1899999999996</v>
      </c>
      <c r="F53" s="3">
        <v>13197.43</v>
      </c>
      <c r="G53" s="3">
        <v>26152.05</v>
      </c>
      <c r="H53" s="3">
        <v>8941.11</v>
      </c>
      <c r="I53" s="3">
        <v>10292.709999999999</v>
      </c>
      <c r="J53" s="3">
        <v>14906.39</v>
      </c>
      <c r="K53" s="3">
        <v>7594.99</v>
      </c>
      <c r="L53" s="3">
        <v>10386.42</v>
      </c>
      <c r="M53" s="3">
        <v>7450.71</v>
      </c>
      <c r="N53" s="3">
        <v>1500</v>
      </c>
      <c r="O53" s="3">
        <v>1500</v>
      </c>
      <c r="P53" s="10"/>
      <c r="Q53" s="3">
        <f>SUM(OSRRefD21_5_0x)+IFERROR(SUM(OSRRefE21_5_0x),0)</f>
        <v>116053.12000000001</v>
      </c>
    </row>
    <row r="54" spans="1:17" s="42" customFormat="1" ht="15" hidden="1" customHeight="1" outlineLevel="1" x14ac:dyDescent="0.3">
      <c r="A54" s="34"/>
      <c r="B54" s="11" t="str">
        <f>CONCATENATE("          ","6307"," - ","POSTAGE")</f>
        <v xml:space="preserve">          6307 - POSTAGE</v>
      </c>
      <c r="C54" s="15"/>
      <c r="D54" s="3">
        <v>-7627.26</v>
      </c>
      <c r="E54" s="3">
        <v>-24408.14</v>
      </c>
      <c r="F54" s="3">
        <v>-9696.4599999999991</v>
      </c>
      <c r="G54" s="3">
        <v>-50936.47</v>
      </c>
      <c r="H54" s="3">
        <v>-12726.73</v>
      </c>
      <c r="I54" s="3">
        <v>-14467.57</v>
      </c>
      <c r="J54" s="3">
        <v>-25044.6</v>
      </c>
      <c r="K54" s="3">
        <v>-14671.81</v>
      </c>
      <c r="L54" s="3">
        <v>-8623.2000000000007</v>
      </c>
      <c r="M54" s="3">
        <v>-13485.12</v>
      </c>
      <c r="N54" s="3">
        <v>-4500</v>
      </c>
      <c r="O54" s="3">
        <v>-4500</v>
      </c>
      <c r="P54" s="10"/>
      <c r="Q54" s="3">
        <f>SUM(OSRRefD21_5_1x)+IFERROR(SUM(OSRRefE21_5_1x),0)</f>
        <v>-190687.36000000002</v>
      </c>
    </row>
    <row r="55" spans="1:17" s="42" customFormat="1" ht="15" customHeight="1" collapsed="1" x14ac:dyDescent="0.3">
      <c r="A55" s="34"/>
      <c r="B55" s="15" t="str">
        <f>CONCATENATE("     ","General                                           ")</f>
        <v xml:space="preserve">     General                                           </v>
      </c>
      <c r="C55" s="15"/>
      <c r="D55" s="2">
        <f>SUM(OSRRefD21_6x_0)</f>
        <v>0</v>
      </c>
      <c r="E55" s="2">
        <f>SUM(OSRRefD21_6x_1)</f>
        <v>0</v>
      </c>
      <c r="F55" s="2">
        <f>SUM(OSRRefD21_6x_2)</f>
        <v>91.31</v>
      </c>
      <c r="G55" s="2">
        <f>SUM(OSRRefD21_6x_3)</f>
        <v>0</v>
      </c>
      <c r="H55" s="2">
        <f>SUM(OSRRefD21_6x_4)</f>
        <v>0</v>
      </c>
      <c r="I55" s="2">
        <f>SUM(OSRRefD21_6x_5)</f>
        <v>0</v>
      </c>
      <c r="J55" s="2">
        <f>SUM(OSRRefD21_6x_6)</f>
        <v>0</v>
      </c>
      <c r="K55" s="2">
        <f>SUM(OSRRefD21_6x_7)</f>
        <v>0</v>
      </c>
      <c r="L55" s="2">
        <f>SUM(OSRRefD21_6x_8)</f>
        <v>0</v>
      </c>
      <c r="M55" s="2">
        <f>SUM(OSRRefD21_6x_9)</f>
        <v>0</v>
      </c>
      <c r="N55" s="2">
        <f>SUM(OSRRefE21_6x_0)</f>
        <v>0</v>
      </c>
      <c r="O55" s="2">
        <f>SUM(OSRRefE21_6x_1)</f>
        <v>0</v>
      </c>
      <c r="Q55" s="3">
        <f>SUM(OSRRefD20_6x)+IFERROR(SUM(OSRRefE20_6x),0)</f>
        <v>91.31</v>
      </c>
    </row>
    <row r="56" spans="1:17" s="42" customFormat="1" ht="15" hidden="1" customHeight="1" outlineLevel="1" x14ac:dyDescent="0.3">
      <c r="A56" s="34"/>
      <c r="B56" s="11" t="str">
        <f>CONCATENATE("          ","6279"," - ","GENERAL EXPENSE")</f>
        <v xml:space="preserve">          6279 - GENERAL EXPENSE</v>
      </c>
      <c r="C56" s="15"/>
      <c r="D56" s="3"/>
      <c r="E56" s="3"/>
      <c r="F56" s="3">
        <v>91.31</v>
      </c>
      <c r="G56" s="3"/>
      <c r="H56" s="3"/>
      <c r="I56" s="3"/>
      <c r="J56" s="3"/>
      <c r="K56" s="3"/>
      <c r="L56" s="3"/>
      <c r="M56" s="3"/>
      <c r="N56" s="3"/>
      <c r="O56" s="3"/>
      <c r="P56" s="10"/>
      <c r="Q56" s="3">
        <f>SUM(OSRRefD21_6_0x)+IFERROR(SUM(OSRRefE21_6_0x),0)</f>
        <v>91.31</v>
      </c>
    </row>
    <row r="57" spans="1:17" s="42" customFormat="1" ht="15" customHeight="1" collapsed="1" x14ac:dyDescent="0.3">
      <c r="A57" s="34"/>
      <c r="B57" s="15" t="str">
        <f>CONCATENATE("     ","Repair and Maintenance                            ")</f>
        <v xml:space="preserve">     Repair and Maintenance                            </v>
      </c>
      <c r="C57" s="15"/>
      <c r="D57" s="2">
        <f>SUM(OSRRefD21_7x_0)</f>
        <v>2345.98</v>
      </c>
      <c r="E57" s="2">
        <f>SUM(OSRRefD21_7x_1)</f>
        <v>1731.54</v>
      </c>
      <c r="F57" s="2">
        <f>SUM(OSRRefD21_7x_2)</f>
        <v>0</v>
      </c>
      <c r="G57" s="2">
        <f>SUM(OSRRefD21_7x_3)</f>
        <v>8307.630000000001</v>
      </c>
      <c r="H57" s="2">
        <f>SUM(OSRRefD21_7x_4)</f>
        <v>142.87</v>
      </c>
      <c r="I57" s="2">
        <f>SUM(OSRRefD21_7x_5)</f>
        <v>700.73</v>
      </c>
      <c r="J57" s="2">
        <f>SUM(OSRRefD21_7x_6)</f>
        <v>7510.08</v>
      </c>
      <c r="K57" s="2">
        <f>SUM(OSRRefD21_7x_7)</f>
        <v>2632.59</v>
      </c>
      <c r="L57" s="2">
        <f>SUM(OSRRefD21_7x_8)</f>
        <v>2724.17</v>
      </c>
      <c r="M57" s="2">
        <f>SUM(OSRRefD21_7x_9)</f>
        <v>2209.4499999999998</v>
      </c>
      <c r="N57" s="2">
        <f>SUM(OSRRefE21_7x_0)</f>
        <v>5600</v>
      </c>
      <c r="O57" s="2">
        <f>SUM(OSRRefE21_7x_1)</f>
        <v>5600</v>
      </c>
      <c r="Q57" s="3">
        <f>SUM(OSRRefD20_7x)+IFERROR(SUM(OSRRefE20_7x),0)</f>
        <v>39505.040000000008</v>
      </c>
    </row>
    <row r="58" spans="1:17" s="42" customFormat="1" ht="15" hidden="1" customHeight="1" outlineLevel="1" x14ac:dyDescent="0.3">
      <c r="A58" s="34"/>
      <c r="B58" s="11" t="str">
        <f>CONCATENATE("          ","6373"," - ","MAINTENANCE CONTRACTS")</f>
        <v xml:space="preserve">          6373 - MAINTENANCE CONTRACTS</v>
      </c>
      <c r="C58" s="15"/>
      <c r="D58" s="3">
        <v>625.34</v>
      </c>
      <c r="E58" s="3">
        <v>55.74</v>
      </c>
      <c r="F58" s="3"/>
      <c r="G58" s="3">
        <v>3806.46</v>
      </c>
      <c r="H58" s="3">
        <v>142.87</v>
      </c>
      <c r="I58" s="3">
        <v>700.73</v>
      </c>
      <c r="J58" s="3">
        <v>1433.04</v>
      </c>
      <c r="K58" s="3">
        <v>749.09</v>
      </c>
      <c r="L58" s="3">
        <v>964.58</v>
      </c>
      <c r="M58" s="3">
        <v>770.04</v>
      </c>
      <c r="N58" s="3">
        <v>5600</v>
      </c>
      <c r="O58" s="3">
        <v>5600</v>
      </c>
      <c r="P58" s="10"/>
      <c r="Q58" s="3">
        <f>SUM(OSRRefD21_7_0x)+IFERROR(SUM(OSRRefE21_7_0x),0)</f>
        <v>20447.89</v>
      </c>
    </row>
    <row r="59" spans="1:17" s="42" customFormat="1" ht="15" hidden="1" customHeight="1" outlineLevel="1" x14ac:dyDescent="0.3">
      <c r="A59" s="34"/>
      <c r="B59" s="11" t="str">
        <f>CONCATENATE("          ","6375"," - ","OUTSIDE REPAIRS &amp; MAINTENANCE")</f>
        <v xml:space="preserve">          6375 - OUTSIDE REPAIRS &amp; MAINTENANCE</v>
      </c>
      <c r="C59" s="15"/>
      <c r="D59" s="3">
        <v>1720.64</v>
      </c>
      <c r="E59" s="3">
        <v>1675.8</v>
      </c>
      <c r="F59" s="3"/>
      <c r="G59" s="3">
        <v>4501.17</v>
      </c>
      <c r="H59" s="3"/>
      <c r="I59" s="3"/>
      <c r="J59" s="3">
        <v>6077.04</v>
      </c>
      <c r="K59" s="3">
        <v>1883.5</v>
      </c>
      <c r="L59" s="3">
        <v>1759.59</v>
      </c>
      <c r="M59" s="3">
        <v>1439.41</v>
      </c>
      <c r="N59" s="3"/>
      <c r="O59" s="3"/>
      <c r="P59" s="10"/>
      <c r="Q59" s="3">
        <f>SUM(OSRRefD21_7_1x)+IFERROR(SUM(OSRRefE21_7_1x),0)</f>
        <v>19057.150000000001</v>
      </c>
    </row>
    <row r="60" spans="1:17" s="42" customFormat="1" ht="15" customHeight="1" collapsed="1" x14ac:dyDescent="0.3">
      <c r="A60" s="34"/>
      <c r="B60" s="15" t="str">
        <f>CONCATENATE("     ","Royalty &amp; Commissions                             ")</f>
        <v xml:space="preserve">     Royalty &amp; Commissions                             </v>
      </c>
      <c r="C60" s="15"/>
      <c r="D60" s="2">
        <f>SUM(OSRRefD21_8x_0)</f>
        <v>6.06</v>
      </c>
      <c r="E60" s="2">
        <f>SUM(OSRRefD21_8x_1)</f>
        <v>601.89</v>
      </c>
      <c r="F60" s="2">
        <f>SUM(OSRRefD21_8x_2)</f>
        <v>1174.22</v>
      </c>
      <c r="G60" s="2">
        <f>SUM(OSRRefD21_8x_3)</f>
        <v>1925.97</v>
      </c>
      <c r="H60" s="2">
        <f>SUM(OSRRefD21_8x_4)</f>
        <v>784.77</v>
      </c>
      <c r="I60" s="2">
        <f>SUM(OSRRefD21_8x_5)</f>
        <v>1121.23</v>
      </c>
      <c r="J60" s="2">
        <f>SUM(OSRRefD21_8x_6)</f>
        <v>254.44</v>
      </c>
      <c r="K60" s="2">
        <f>SUM(OSRRefD21_8x_7)</f>
        <v>1634.9</v>
      </c>
      <c r="L60" s="2">
        <f>SUM(OSRRefD21_8x_8)</f>
        <v>2502.14</v>
      </c>
      <c r="M60" s="2">
        <f>SUM(OSRRefD21_8x_9)</f>
        <v>2045.03</v>
      </c>
      <c r="N60" s="2">
        <f>SUM(OSRRefE21_8x_0)</f>
        <v>6500</v>
      </c>
      <c r="O60" s="2">
        <f>SUM(OSRRefE21_8x_1)</f>
        <v>6500</v>
      </c>
      <c r="Q60" s="3">
        <f>SUM(OSRRefD20_8x)+IFERROR(SUM(OSRRefE20_8x),0)</f>
        <v>25050.65</v>
      </c>
    </row>
    <row r="61" spans="1:17" s="42" customFormat="1" ht="15" hidden="1" customHeight="1" outlineLevel="1" x14ac:dyDescent="0.3">
      <c r="A61" s="34"/>
      <c r="B61" s="11" t="str">
        <f>CONCATENATE("          ","6259"," - ","ROYALTY &amp; COMMISSIONS")</f>
        <v xml:space="preserve">          6259 - ROYALTY &amp; COMMISSIONS</v>
      </c>
      <c r="C61" s="15"/>
      <c r="D61" s="3">
        <v>6.06</v>
      </c>
      <c r="E61" s="3">
        <v>601.89</v>
      </c>
      <c r="F61" s="3">
        <v>1174.22</v>
      </c>
      <c r="G61" s="3">
        <v>1925.97</v>
      </c>
      <c r="H61" s="3">
        <v>784.77</v>
      </c>
      <c r="I61" s="3">
        <v>1121.23</v>
      </c>
      <c r="J61" s="3">
        <v>254.44</v>
      </c>
      <c r="K61" s="3">
        <v>1634.9</v>
      </c>
      <c r="L61" s="3">
        <v>2502.14</v>
      </c>
      <c r="M61" s="3">
        <v>2045.03</v>
      </c>
      <c r="N61" s="3">
        <v>6500</v>
      </c>
      <c r="O61" s="3">
        <v>6500</v>
      </c>
      <c r="P61" s="10"/>
      <c r="Q61" s="3">
        <f>SUM(OSRRefD21_8_0x)+IFERROR(SUM(OSRRefE21_8_0x),0)</f>
        <v>25050.65</v>
      </c>
    </row>
    <row r="62" spans="1:17" s="42" customFormat="1" ht="15" customHeight="1" collapsed="1" x14ac:dyDescent="0.3">
      <c r="A62" s="34"/>
      <c r="B62" s="15" t="str">
        <f>CONCATENATE("     ","Subscriptions &amp; Dues                              ")</f>
        <v xml:space="preserve">     Subscriptions &amp; Dues                              </v>
      </c>
      <c r="C62" s="15"/>
      <c r="D62" s="2">
        <f>SUM(OSRRefD21_9x_0)</f>
        <v>0</v>
      </c>
      <c r="E62" s="2">
        <f>SUM(OSRRefD21_9x_1)</f>
        <v>0</v>
      </c>
      <c r="F62" s="2">
        <f>SUM(OSRRefD21_9x_2)</f>
        <v>0</v>
      </c>
      <c r="G62" s="2">
        <f>SUM(OSRRefD21_9x_3)</f>
        <v>0</v>
      </c>
      <c r="H62" s="2">
        <f>SUM(OSRRefD21_9x_4)</f>
        <v>0</v>
      </c>
      <c r="I62" s="2">
        <f>SUM(OSRRefD21_9x_5)</f>
        <v>0</v>
      </c>
      <c r="J62" s="2">
        <f>SUM(OSRRefD21_9x_6)</f>
        <v>0</v>
      </c>
      <c r="K62" s="2">
        <f>SUM(OSRRefD21_9x_7)</f>
        <v>0</v>
      </c>
      <c r="L62" s="2">
        <f>SUM(OSRRefD21_9x_8)</f>
        <v>5.28</v>
      </c>
      <c r="M62" s="2">
        <f>SUM(OSRRefD21_9x_9)</f>
        <v>0</v>
      </c>
      <c r="N62" s="2">
        <f>SUM(OSRRefE21_9x_0)</f>
        <v>0</v>
      </c>
      <c r="O62" s="2">
        <f>SUM(OSRRefE21_9x_1)</f>
        <v>0</v>
      </c>
      <c r="Q62" s="3">
        <f>SUM(OSRRefD20_9x)+IFERROR(SUM(OSRRefE20_9x),0)</f>
        <v>5.28</v>
      </c>
    </row>
    <row r="63" spans="1:17" s="42" customFormat="1" ht="15" hidden="1" customHeight="1" outlineLevel="1" x14ac:dyDescent="0.3">
      <c r="A63" s="34"/>
      <c r="B63" s="11" t="str">
        <f>CONCATENATE("          ","6258"," - ","MEMBERSHIP DUES")</f>
        <v xml:space="preserve">          6258 - MEMBERSHIP DUES</v>
      </c>
      <c r="C63" s="15"/>
      <c r="D63" s="3"/>
      <c r="E63" s="3"/>
      <c r="F63" s="3"/>
      <c r="G63" s="3"/>
      <c r="H63" s="3"/>
      <c r="I63" s="3"/>
      <c r="J63" s="3"/>
      <c r="K63" s="3"/>
      <c r="L63" s="3">
        <v>5.28</v>
      </c>
      <c r="M63" s="3"/>
      <c r="N63" s="3"/>
      <c r="O63" s="3"/>
      <c r="P63" s="10"/>
      <c r="Q63" s="3">
        <f>SUM(OSRRefD21_9_0x)+IFERROR(SUM(OSRRefE21_9_0x),0)</f>
        <v>5.28</v>
      </c>
    </row>
    <row r="64" spans="1:17" s="42" customFormat="1" ht="15" customHeight="1" collapsed="1" x14ac:dyDescent="0.3">
      <c r="A64" s="34"/>
      <c r="B64" s="15" t="str">
        <f>CONCATENATE("     ","Supplies                                          ")</f>
        <v xml:space="preserve">     Supplies                                          </v>
      </c>
      <c r="C64" s="15"/>
      <c r="D64" s="2">
        <f>SUM(OSRRefD21_10x_0)</f>
        <v>3116.79</v>
      </c>
      <c r="E64" s="2">
        <f>SUM(OSRRefD21_10x_1)</f>
        <v>7042.86</v>
      </c>
      <c r="F64" s="2">
        <f>SUM(OSRRefD21_10x_2)</f>
        <v>2879.46</v>
      </c>
      <c r="G64" s="2">
        <f>SUM(OSRRefD21_10x_3)</f>
        <v>3516.3199999999997</v>
      </c>
      <c r="H64" s="2">
        <f>SUM(OSRRefD21_10x_4)</f>
        <v>1938.7199999999998</v>
      </c>
      <c r="I64" s="2">
        <f>SUM(OSRRefD21_10x_5)</f>
        <v>3328.09</v>
      </c>
      <c r="J64" s="2">
        <f>SUM(OSRRefD21_10x_6)</f>
        <v>795.68000000000006</v>
      </c>
      <c r="K64" s="2">
        <f>SUM(OSRRefD21_10x_7)</f>
        <v>5674.86</v>
      </c>
      <c r="L64" s="2">
        <f>SUM(OSRRefD21_10x_8)</f>
        <v>7414.27</v>
      </c>
      <c r="M64" s="2">
        <f>SUM(OSRRefD21_10x_9)</f>
        <v>8058.9500000000007</v>
      </c>
      <c r="N64" s="2">
        <f>SUM(OSRRefE21_10x_0)</f>
        <v>5500</v>
      </c>
      <c r="O64" s="2">
        <f>SUM(OSRRefE21_10x_1)</f>
        <v>1350</v>
      </c>
      <c r="Q64" s="3">
        <f>SUM(OSRRefD20_10x)+IFERROR(SUM(OSRRefE20_10x),0)</f>
        <v>50616</v>
      </c>
    </row>
    <row r="65" spans="1:17" s="42" customFormat="1" ht="15" hidden="1" customHeight="1" outlineLevel="1" x14ac:dyDescent="0.3">
      <c r="A65" s="34"/>
      <c r="B65" s="11" t="str">
        <f>CONCATENATE("          ","6234"," - ","EXPENDABLE SUPPLIES &amp; EQUIPMEN")</f>
        <v xml:space="preserve">          6234 - EXPENDABLE SUPPLIES &amp; EQUIPMEN</v>
      </c>
      <c r="C65" s="15"/>
      <c r="D65" s="3"/>
      <c r="E65" s="3"/>
      <c r="F65" s="3"/>
      <c r="G65" s="3"/>
      <c r="H65" s="3"/>
      <c r="I65" s="3"/>
      <c r="J65" s="3"/>
      <c r="K65" s="3"/>
      <c r="L65" s="3"/>
      <c r="M65" s="3">
        <v>4993.3100000000004</v>
      </c>
      <c r="N65" s="3"/>
      <c r="O65" s="3"/>
      <c r="P65" s="10"/>
      <c r="Q65" s="3">
        <f>SUM(OSRRefD21_10_0x)+IFERROR(SUM(OSRRefE21_10_0x),0)</f>
        <v>4993.3100000000004</v>
      </c>
    </row>
    <row r="66" spans="1:17" s="42" customFormat="1" ht="15" hidden="1" customHeight="1" outlineLevel="1" x14ac:dyDescent="0.3">
      <c r="A66" s="34"/>
      <c r="B66" s="11" t="str">
        <f>CONCATENATE("          ","6241"," - ","OFFICE EXPENSE")</f>
        <v xml:space="preserve">          6241 - OFFICE EXPENSE</v>
      </c>
      <c r="C66" s="15"/>
      <c r="D66" s="3">
        <v>153.85</v>
      </c>
      <c r="E66" s="3">
        <v>4675.71</v>
      </c>
      <c r="F66" s="3">
        <v>2.19</v>
      </c>
      <c r="G66" s="3">
        <v>3.96</v>
      </c>
      <c r="H66" s="3">
        <v>7.16</v>
      </c>
      <c r="I66" s="3">
        <v>9.98</v>
      </c>
      <c r="J66" s="3">
        <v>9.4600000000000009</v>
      </c>
      <c r="K66" s="3">
        <v>3295.15</v>
      </c>
      <c r="L66" s="3">
        <v>1063.92</v>
      </c>
      <c r="M66" s="3">
        <v>1786.97</v>
      </c>
      <c r="N66" s="3"/>
      <c r="O66" s="3">
        <v>50</v>
      </c>
      <c r="P66" s="10"/>
      <c r="Q66" s="3">
        <f>SUM(OSRRefD21_10_1x)+IFERROR(SUM(OSRRefE21_10_1x),0)</f>
        <v>11058.349999999999</v>
      </c>
    </row>
    <row r="67" spans="1:17" s="42" customFormat="1" ht="15" hidden="1" customHeight="1" outlineLevel="1" x14ac:dyDescent="0.3">
      <c r="A67" s="34"/>
      <c r="B67" s="11" t="str">
        <f>CONCATENATE("          ","6243"," - ","PAPER SUPPLIES")</f>
        <v xml:space="preserve">          6243 - PAPER SUPPLIES</v>
      </c>
      <c r="C67" s="15"/>
      <c r="D67" s="3">
        <v>1649.24</v>
      </c>
      <c r="E67" s="3">
        <v>1801.68</v>
      </c>
      <c r="F67" s="3"/>
      <c r="G67" s="3">
        <v>735.87</v>
      </c>
      <c r="H67" s="3">
        <v>284.11</v>
      </c>
      <c r="I67" s="3"/>
      <c r="J67" s="3">
        <v>78.34</v>
      </c>
      <c r="K67" s="3">
        <v>1072.69</v>
      </c>
      <c r="L67" s="3">
        <v>1213.21</v>
      </c>
      <c r="M67" s="3">
        <v>410.22</v>
      </c>
      <c r="N67" s="3">
        <v>2800</v>
      </c>
      <c r="O67" s="3">
        <v>1250</v>
      </c>
      <c r="P67" s="10"/>
      <c r="Q67" s="3">
        <f>SUM(OSRRefD21_10_2x)+IFERROR(SUM(OSRRefE21_10_2x),0)</f>
        <v>11295.36</v>
      </c>
    </row>
    <row r="68" spans="1:17" s="42" customFormat="1" ht="15" hidden="1" customHeight="1" outlineLevel="1" x14ac:dyDescent="0.3">
      <c r="A68" s="34"/>
      <c r="B68" s="11" t="str">
        <f>CONCATENATE("          ","6245"," - ","PRINTING")</f>
        <v xml:space="preserve">          6245 - PRINTING</v>
      </c>
      <c r="C68" s="15"/>
      <c r="D68" s="3">
        <v>251.64</v>
      </c>
      <c r="E68" s="3">
        <v>-1187.1400000000001</v>
      </c>
      <c r="F68" s="3">
        <v>276.43</v>
      </c>
      <c r="G68" s="3">
        <v>296.68</v>
      </c>
      <c r="H68" s="3">
        <v>632.28</v>
      </c>
      <c r="I68" s="3">
        <v>812.04</v>
      </c>
      <c r="J68" s="3">
        <v>76.62</v>
      </c>
      <c r="K68" s="3">
        <v>502.78</v>
      </c>
      <c r="L68" s="3">
        <v>3671.2</v>
      </c>
      <c r="M68" s="3">
        <v>-45.84</v>
      </c>
      <c r="N68" s="3">
        <v>2300</v>
      </c>
      <c r="O68" s="3">
        <v>50</v>
      </c>
      <c r="P68" s="10"/>
      <c r="Q68" s="3">
        <f>SUM(OSRRefD21_10_3x)+IFERROR(SUM(OSRRefE21_10_3x),0)</f>
        <v>7636.69</v>
      </c>
    </row>
    <row r="69" spans="1:17" s="42" customFormat="1" ht="15" hidden="1" customHeight="1" outlineLevel="1" x14ac:dyDescent="0.3">
      <c r="A69" s="34"/>
      <c r="B69" s="11" t="str">
        <f>CONCATENATE("          ","6247"," - ","STORE SUPPLIES")</f>
        <v xml:space="preserve">          6247 - STORE SUPPLIES</v>
      </c>
      <c r="C69" s="15"/>
      <c r="D69" s="3">
        <v>1062.06</v>
      </c>
      <c r="E69" s="3">
        <v>1752.61</v>
      </c>
      <c r="F69" s="3">
        <v>2600.84</v>
      </c>
      <c r="G69" s="3">
        <v>2479.81</v>
      </c>
      <c r="H69" s="3">
        <v>1015.17</v>
      </c>
      <c r="I69" s="3">
        <v>2506.0700000000002</v>
      </c>
      <c r="J69" s="3">
        <v>631.26</v>
      </c>
      <c r="K69" s="3">
        <v>804.24</v>
      </c>
      <c r="L69" s="3">
        <v>1465.94</v>
      </c>
      <c r="M69" s="3">
        <v>914.29</v>
      </c>
      <c r="N69" s="3">
        <v>400</v>
      </c>
      <c r="O69" s="3"/>
      <c r="P69" s="10"/>
      <c r="Q69" s="3">
        <f>SUM(OSRRefD21_10_4x)+IFERROR(SUM(OSRRefE21_10_4x),0)</f>
        <v>15632.29</v>
      </c>
    </row>
    <row r="70" spans="1:17" s="42" customFormat="1" ht="15" customHeight="1" collapsed="1" x14ac:dyDescent="0.3">
      <c r="A70" s="34"/>
      <c r="B70" s="15" t="str">
        <f>CONCATENATE("     ","Telephone/Data Lines                              ")</f>
        <v xml:space="preserve">     Telephone/Data Lines                              </v>
      </c>
      <c r="C70" s="15"/>
      <c r="D70" s="2">
        <f>SUM(OSRRefD21_11x_0)</f>
        <v>167.8</v>
      </c>
      <c r="E70" s="2">
        <f>SUM(OSRRefD21_11x_1)</f>
        <v>159.5</v>
      </c>
      <c r="F70" s="2">
        <f>SUM(OSRRefD21_11x_2)</f>
        <v>159.4</v>
      </c>
      <c r="G70" s="2">
        <f>SUM(OSRRefD21_11x_3)</f>
        <v>46.2</v>
      </c>
      <c r="H70" s="2">
        <f>SUM(OSRRefD21_11x_4)</f>
        <v>46.15</v>
      </c>
      <c r="I70" s="2">
        <f>SUM(OSRRefD21_11x_5)</f>
        <v>50.5</v>
      </c>
      <c r="J70" s="2">
        <f>SUM(OSRRefD21_11x_6)</f>
        <v>111.3</v>
      </c>
      <c r="K70" s="2">
        <f>SUM(OSRRefD21_11x_7)</f>
        <v>143.55000000000001</v>
      </c>
      <c r="L70" s="2">
        <f>SUM(OSRRefD21_11x_8)</f>
        <v>46</v>
      </c>
      <c r="M70" s="2">
        <f>SUM(OSRRefD21_11x_9)</f>
        <v>241.2</v>
      </c>
      <c r="N70" s="2">
        <f>SUM(OSRRefE21_11x_0)</f>
        <v>175</v>
      </c>
      <c r="O70" s="2">
        <f>SUM(OSRRefE21_11x_1)</f>
        <v>175</v>
      </c>
      <c r="Q70" s="3">
        <f>SUM(OSRRefD20_11x)+IFERROR(SUM(OSRRefE20_11x),0)</f>
        <v>1521.6000000000001</v>
      </c>
    </row>
    <row r="71" spans="1:17" s="42" customFormat="1" ht="15" hidden="1" customHeight="1" outlineLevel="1" x14ac:dyDescent="0.3">
      <c r="A71" s="34"/>
      <c r="B71" s="11" t="str">
        <f>CONCATENATE("          ","6309"," - ","TELEPHONE")</f>
        <v xml:space="preserve">          6309 - TELEPHONE</v>
      </c>
      <c r="C71" s="15"/>
      <c r="D71" s="3">
        <v>167.8</v>
      </c>
      <c r="E71" s="3">
        <v>159.5</v>
      </c>
      <c r="F71" s="3">
        <v>159.4</v>
      </c>
      <c r="G71" s="3">
        <v>46.2</v>
      </c>
      <c r="H71" s="3">
        <v>46.15</v>
      </c>
      <c r="I71" s="3">
        <v>50.5</v>
      </c>
      <c r="J71" s="3">
        <v>111.3</v>
      </c>
      <c r="K71" s="3">
        <v>143.55000000000001</v>
      </c>
      <c r="L71" s="3">
        <v>46</v>
      </c>
      <c r="M71" s="3">
        <v>241.2</v>
      </c>
      <c r="N71" s="3">
        <v>175</v>
      </c>
      <c r="O71" s="3">
        <v>175</v>
      </c>
      <c r="P71" s="10"/>
      <c r="Q71" s="3">
        <f>SUM(OSRRefD21_11_0x)+IFERROR(SUM(OSRRefE21_11_0x),0)</f>
        <v>1521.6000000000001</v>
      </c>
    </row>
    <row r="72" spans="1:17" s="40" customFormat="1" ht="15" customHeight="1" x14ac:dyDescent="0.3">
      <c r="A72" s="22"/>
      <c r="B72" s="22"/>
      <c r="C72" s="2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Q72" s="2"/>
    </row>
    <row r="73" spans="1:17" s="39" customFormat="1" ht="15" customHeight="1" x14ac:dyDescent="0.3">
      <c r="A73" s="24"/>
      <c r="B73" s="17" t="s">
        <v>287</v>
      </c>
      <c r="C73" s="23"/>
      <c r="D73" s="4">
        <f>0</f>
        <v>0</v>
      </c>
      <c r="E73" s="4">
        <f>0</f>
        <v>0</v>
      </c>
      <c r="F73" s="4">
        <f>--14899</f>
        <v>14899</v>
      </c>
      <c r="G73" s="4">
        <f>0</f>
        <v>0</v>
      </c>
      <c r="H73" s="4">
        <f>0</f>
        <v>0</v>
      </c>
      <c r="I73" s="4">
        <f>0</f>
        <v>0</v>
      </c>
      <c r="J73" s="4">
        <f>--236.44</f>
        <v>236.44</v>
      </c>
      <c r="K73" s="4">
        <f>0</f>
        <v>0</v>
      </c>
      <c r="L73" s="4">
        <f>0</f>
        <v>0</v>
      </c>
      <c r="M73" s="4">
        <f>--3060.54</f>
        <v>3060.54</v>
      </c>
      <c r="N73" s="4"/>
      <c r="O73" s="4"/>
      <c r="Q73" s="3">
        <f>SUM(OSRRefD23_0x)+IFERROR(SUM(OSRRefE23_0x),0)</f>
        <v>18195.98</v>
      </c>
    </row>
    <row r="74" spans="1:17" ht="15" customHeight="1" x14ac:dyDescent="0.3">
      <c r="A74" s="6"/>
      <c r="B74" s="7"/>
      <c r="C74" s="7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Q74" s="4"/>
    </row>
    <row r="75" spans="1:17" s="37" customFormat="1" ht="15" customHeight="1" x14ac:dyDescent="0.3">
      <c r="A75" s="7"/>
      <c r="B75" s="18" t="s">
        <v>288</v>
      </c>
      <c r="C75" s="18"/>
      <c r="D75" s="9">
        <f t="shared" ref="D75:O75" si="2">IFERROR(+D21-D24+D73,0)</f>
        <v>-35127.08</v>
      </c>
      <c r="E75" s="9">
        <f t="shared" si="2"/>
        <v>38105.460000000006</v>
      </c>
      <c r="F75" s="9">
        <f t="shared" si="2"/>
        <v>-3127.9000000000051</v>
      </c>
      <c r="G75" s="9">
        <f t="shared" si="2"/>
        <v>-13895.08</v>
      </c>
      <c r="H75" s="9">
        <f t="shared" si="2"/>
        <v>-5228.7299999999987</v>
      </c>
      <c r="I75" s="9">
        <f t="shared" si="2"/>
        <v>-9875.0600000000013</v>
      </c>
      <c r="J75" s="9">
        <f t="shared" si="2"/>
        <v>4467.3599999999979</v>
      </c>
      <c r="K75" s="9">
        <f t="shared" si="2"/>
        <v>3238.2300000000032</v>
      </c>
      <c r="L75" s="9">
        <f t="shared" si="2"/>
        <v>-15683.050000000007</v>
      </c>
      <c r="M75" s="9">
        <f t="shared" si="2"/>
        <v>5044.1500000000005</v>
      </c>
      <c r="N75" s="9">
        <f t="shared" si="2"/>
        <v>15963.395024384608</v>
      </c>
      <c r="O75" s="9">
        <f t="shared" si="2"/>
        <v>-18689.503919615392</v>
      </c>
      <c r="Q75" s="9">
        <f>IFERROR(+Q21-Q24+Q73,0)</f>
        <v>-34807.808895230715</v>
      </c>
    </row>
    <row r="76" spans="1:17" s="38" customFormat="1" ht="15" customHeight="1" x14ac:dyDescent="0.3">
      <c r="B76" s="17"/>
      <c r="C76" s="17"/>
      <c r="D76" s="5">
        <f t="shared" ref="D76:O76" si="3">IFERROR(D75/D10,0)</f>
        <v>-13.874350264633859</v>
      </c>
      <c r="E76" s="5">
        <f t="shared" si="3"/>
        <v>0.68113736143030512</v>
      </c>
      <c r="F76" s="5">
        <f t="shared" si="3"/>
        <v>-0.18914658179792992</v>
      </c>
      <c r="G76" s="5">
        <f t="shared" si="3"/>
        <v>-1.4768975020965553</v>
      </c>
      <c r="H76" s="5">
        <f t="shared" si="3"/>
        <v>-0.77027546614457865</v>
      </c>
      <c r="I76" s="5">
        <f t="shared" si="3"/>
        <v>-1.2742489718970131</v>
      </c>
      <c r="J76" s="5">
        <f t="shared" si="3"/>
        <v>0.19187432407010507</v>
      </c>
      <c r="K76" s="5">
        <f t="shared" si="3"/>
        <v>0.13395213888336208</v>
      </c>
      <c r="L76" s="5">
        <f t="shared" si="3"/>
        <v>-0.86082440840809249</v>
      </c>
      <c r="M76" s="5">
        <f t="shared" si="3"/>
        <v>0.16610175965816459</v>
      </c>
      <c r="N76" s="5">
        <f t="shared" si="3"/>
        <v>0.339646702646481</v>
      </c>
      <c r="O76" s="5">
        <f t="shared" si="3"/>
        <v>-3.3374114142170344</v>
      </c>
      <c r="P76" s="19"/>
      <c r="Q76" s="5">
        <f>IFERROR(Q75/Q10,0)</f>
        <v>-0.1405794203378469</v>
      </c>
    </row>
    <row r="77" spans="1:17" ht="15" customHeight="1" x14ac:dyDescent="0.3">
      <c r="A77" s="6"/>
      <c r="B77" s="7"/>
      <c r="C77" s="6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Q77" s="4"/>
    </row>
    <row r="78" spans="1:17" s="37" customFormat="1" ht="15" customHeight="1" x14ac:dyDescent="0.3">
      <c r="A78" s="26"/>
      <c r="B78" s="7" t="s">
        <v>289</v>
      </c>
      <c r="C78" s="7"/>
      <c r="D78" s="4">
        <v>1169.68</v>
      </c>
      <c r="E78" s="4">
        <v>7568.52</v>
      </c>
      <c r="F78" s="4">
        <v>546.53</v>
      </c>
      <c r="G78" s="4">
        <v>473.63</v>
      </c>
      <c r="H78" s="4">
        <v>1105.7</v>
      </c>
      <c r="I78" s="4">
        <v>1047.68</v>
      </c>
      <c r="J78" s="4">
        <v>4269.04</v>
      </c>
      <c r="K78" s="4">
        <v>2095.2600000000002</v>
      </c>
      <c r="L78" s="4">
        <v>1372.7</v>
      </c>
      <c r="M78" s="4">
        <v>2441.89</v>
      </c>
      <c r="N78" s="4">
        <v>6161</v>
      </c>
      <c r="O78" s="4">
        <v>-3596</v>
      </c>
      <c r="Q78" s="3">
        <f>SUM(OSRRefD28_0x)+IFERROR(SUM(OSRRefE28_0x),0)</f>
        <v>24655.63</v>
      </c>
    </row>
    <row r="79" spans="1:17" ht="15" customHeight="1" x14ac:dyDescent="0.3">
      <c r="A79" s="6"/>
      <c r="B79" s="7"/>
      <c r="C79" s="7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Q79" s="4"/>
    </row>
    <row r="80" spans="1:17" s="37" customFormat="1" ht="15.75" customHeight="1" x14ac:dyDescent="0.3">
      <c r="A80" s="7"/>
      <c r="B80" s="18" t="s">
        <v>290</v>
      </c>
      <c r="C80" s="18"/>
      <c r="D80" s="8">
        <f t="shared" ref="D80:O80" si="4">IFERROR(+D75-D78,0)</f>
        <v>-36296.76</v>
      </c>
      <c r="E80" s="8">
        <f t="shared" si="4"/>
        <v>30536.940000000006</v>
      </c>
      <c r="F80" s="8">
        <f t="shared" si="4"/>
        <v>-3674.4300000000048</v>
      </c>
      <c r="G80" s="8">
        <f t="shared" si="4"/>
        <v>-14368.71</v>
      </c>
      <c r="H80" s="8">
        <f t="shared" si="4"/>
        <v>-6334.4299999999985</v>
      </c>
      <c r="I80" s="8">
        <f t="shared" si="4"/>
        <v>-10922.740000000002</v>
      </c>
      <c r="J80" s="8">
        <f t="shared" si="4"/>
        <v>198.31999999999789</v>
      </c>
      <c r="K80" s="8">
        <f t="shared" si="4"/>
        <v>1142.970000000003</v>
      </c>
      <c r="L80" s="8">
        <f t="shared" si="4"/>
        <v>-17055.750000000007</v>
      </c>
      <c r="M80" s="8">
        <f t="shared" si="4"/>
        <v>2602.2600000000007</v>
      </c>
      <c r="N80" s="8">
        <f t="shared" si="4"/>
        <v>9802.3950243846084</v>
      </c>
      <c r="O80" s="8">
        <f t="shared" si="4"/>
        <v>-15093.503919615392</v>
      </c>
      <c r="Q80" s="8">
        <f>IFERROR(+Q75-Q78,0)</f>
        <v>-59463.43889523072</v>
      </c>
    </row>
    <row r="81" spans="1:17" ht="15.75" customHeight="1" x14ac:dyDescent="0.3">
      <c r="A81" s="6"/>
      <c r="B81" s="6"/>
      <c r="C81" s="6"/>
      <c r="D81" s="5">
        <f t="shared" ref="D81:O81" si="5">IFERROR(D80/D10,0)</f>
        <v>-14.336345682913345</v>
      </c>
      <c r="E81" s="5">
        <f t="shared" si="5"/>
        <v>0.54584961676766386</v>
      </c>
      <c r="F81" s="5">
        <f t="shared" si="5"/>
        <v>-0.22219568226470393</v>
      </c>
      <c r="G81" s="5">
        <f t="shared" si="5"/>
        <v>-1.5272392751498944</v>
      </c>
      <c r="H81" s="5">
        <f t="shared" si="5"/>
        <v>-0.9331627414324708</v>
      </c>
      <c r="I81" s="5">
        <f t="shared" si="5"/>
        <v>-1.4094385467327168</v>
      </c>
      <c r="J81" s="5">
        <f t="shared" si="5"/>
        <v>8.5178978075603606E-3</v>
      </c>
      <c r="K81" s="5">
        <f t="shared" si="5"/>
        <v>4.7279926434971142E-2</v>
      </c>
      <c r="L81" s="5">
        <f t="shared" si="5"/>
        <v>-0.93617031787224569</v>
      </c>
      <c r="M81" s="5">
        <f t="shared" si="5"/>
        <v>8.5691338498667849E-2</v>
      </c>
      <c r="N81" s="5">
        <f t="shared" si="5"/>
        <v>0.20856159626350232</v>
      </c>
      <c r="O81" s="5">
        <f t="shared" si="5"/>
        <v>-2.695268557074177</v>
      </c>
      <c r="P81" s="19"/>
      <c r="Q81" s="5">
        <f>IFERROR(Q80/Q10,0)</f>
        <v>-0.24015690836351064</v>
      </c>
    </row>
    <row r="82" spans="1:17" ht="15" customHeight="1" x14ac:dyDescent="0.3">
      <c r="A82" s="6"/>
      <c r="B82" s="6"/>
      <c r="C82" s="6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Q82" s="4"/>
    </row>
    <row r="83" spans="1:17" ht="15" customHeight="1" x14ac:dyDescent="0.3">
      <c r="A83" s="6"/>
      <c r="B83" s="6"/>
      <c r="C83" s="6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Q83" s="4"/>
    </row>
    <row r="84" spans="1:17" s="37" customFormat="1" ht="15.75" customHeight="1" x14ac:dyDescent="0.3">
      <c r="A84" s="7"/>
      <c r="B84" s="18" t="s">
        <v>293</v>
      </c>
      <c r="C84" s="18"/>
      <c r="D84" s="8">
        <f t="shared" ref="D84:O84" si="6">IFERROR(SUM(D80:D83),0)</f>
        <v>-36311.096345682912</v>
      </c>
      <c r="E84" s="8">
        <f t="shared" si="6"/>
        <v>30537.485849616773</v>
      </c>
      <c r="F84" s="8">
        <f t="shared" si="6"/>
        <v>-3674.6521956822694</v>
      </c>
      <c r="G84" s="8">
        <f t="shared" si="6"/>
        <v>-14370.237239275149</v>
      </c>
      <c r="H84" s="8">
        <f t="shared" si="6"/>
        <v>-6335.3631627414306</v>
      </c>
      <c r="I84" s="8">
        <f t="shared" si="6"/>
        <v>-10924.149438546734</v>
      </c>
      <c r="J84" s="8">
        <f t="shared" si="6"/>
        <v>198.32851789780545</v>
      </c>
      <c r="K84" s="8">
        <f t="shared" si="6"/>
        <v>1143.0172799264381</v>
      </c>
      <c r="L84" s="8">
        <f t="shared" si="6"/>
        <v>-17056.68617031788</v>
      </c>
      <c r="M84" s="8">
        <f t="shared" si="6"/>
        <v>2602.3456913384994</v>
      </c>
      <c r="N84" s="8">
        <f t="shared" si="6"/>
        <v>9802.6035859808726</v>
      </c>
      <c r="O84" s="8">
        <f t="shared" si="6"/>
        <v>-15096.199188172466</v>
      </c>
      <c r="Q84" s="8">
        <f>IFERROR(SUM(Q80:Q83),0)</f>
        <v>-59463.679052139087</v>
      </c>
    </row>
    <row r="85" spans="1:17" ht="15.75" customHeight="1" x14ac:dyDescent="0.3">
      <c r="A85" s="6"/>
      <c r="C85" s="6"/>
      <c r="D85" s="5">
        <f t="shared" ref="D85:O85" si="7">IFERROR(D84/D10,0)</f>
        <v>-14.342008194044915</v>
      </c>
      <c r="E85" s="5">
        <f t="shared" si="7"/>
        <v>0.54585937386199368</v>
      </c>
      <c r="F85" s="5">
        <f t="shared" si="7"/>
        <v>-0.2222091186129857</v>
      </c>
      <c r="G85" s="5">
        <f t="shared" si="7"/>
        <v>-1.527401604252755</v>
      </c>
      <c r="H85" s="5">
        <f t="shared" si="7"/>
        <v>-0.93330021121301898</v>
      </c>
      <c r="I85" s="5">
        <f t="shared" si="7"/>
        <v>-1.409620416576457</v>
      </c>
      <c r="J85" s="5">
        <f t="shared" si="7"/>
        <v>8.5182636535822455E-3</v>
      </c>
      <c r="K85" s="5">
        <f t="shared" si="7"/>
        <v>4.7281882209351658E-2</v>
      </c>
      <c r="L85" s="5">
        <f t="shared" si="7"/>
        <v>-0.93622170317421516</v>
      </c>
      <c r="M85" s="5">
        <f t="shared" si="7"/>
        <v>8.5694160278771955E-2</v>
      </c>
      <c r="N85" s="5">
        <f t="shared" si="7"/>
        <v>0.20856603374427388</v>
      </c>
      <c r="O85" s="5">
        <f t="shared" si="7"/>
        <v>-2.6957498550307974</v>
      </c>
      <c r="P85" s="19"/>
      <c r="Q85" s="5">
        <f>IFERROR(Q84/Q10,0)</f>
        <v>-0.24015787829296154</v>
      </c>
    </row>
    <row r="86" spans="1:17" ht="15" customHeight="1" x14ac:dyDescent="0.3">
      <c r="A86" s="6"/>
      <c r="B86" s="33">
        <v>44694.892891863426</v>
      </c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</row>
    <row r="87" spans="1:17" ht="15" customHeight="1" x14ac:dyDescent="0.3">
      <c r="A87" s="6"/>
      <c r="B87" s="31" t="s">
        <v>294</v>
      </c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Q87" s="14"/>
    </row>
    <row r="88" spans="1:17" ht="15" customHeight="1" x14ac:dyDescent="0.3">
      <c r="A88" s="6"/>
      <c r="B88" s="27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Q88" s="14"/>
    </row>
    <row r="89" spans="1:17" ht="15" customHeight="1" x14ac:dyDescent="0.3"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Q89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17F9A-6BC9-AF23-087A-7123DF294B16}">
  <sheetPr>
    <tabColor rgb="FFFFC000"/>
    <outlinePr summaryBelow="0" summaryRight="0"/>
    <pageSetUpPr fitToPage="1"/>
  </sheetPr>
  <dimension ref="A2:R9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">
        <v>314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95306.299999999988</v>
      </c>
      <c r="E10" s="4">
        <f>SUM(OSRRefD11x_1)</f>
        <v>343373.57</v>
      </c>
      <c r="F10" s="4">
        <f>SUM(OSRRefD11x_2)</f>
        <v>174860.00999999998</v>
      </c>
      <c r="G10" s="4">
        <f>SUM(OSRRefD11x_3)</f>
        <v>127039.83</v>
      </c>
      <c r="H10" s="4">
        <f>SUM(OSRRefD11x_4)</f>
        <v>92527.76</v>
      </c>
      <c r="I10" s="4">
        <f>SUM(OSRRefD11x_5)</f>
        <v>133542.32999999999</v>
      </c>
      <c r="J10" s="4">
        <f>SUM(OSRRefD11x_6)</f>
        <v>155777.30000000002</v>
      </c>
      <c r="K10" s="4">
        <f>SUM(OSRRefD11x_7)</f>
        <v>171349.23</v>
      </c>
      <c r="L10" s="4">
        <f>SUM(OSRRefD11x_8)</f>
        <v>456695.52</v>
      </c>
      <c r="M10" s="4">
        <f>SUM(OSRRefD11x_9)</f>
        <v>320045.63000000006</v>
      </c>
      <c r="N10" s="4">
        <f>SUM(OSRRefE11x_0)</f>
        <v>387930</v>
      </c>
      <c r="O10" s="4">
        <f>SUM(OSRRefE11x_1)</f>
        <v>106336</v>
      </c>
      <c r="P10" s="25"/>
      <c r="Q10" s="4">
        <f>SUM(OSRRefG11x)</f>
        <v>2564783.4799999995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--81956.26</f>
        <v>81956.259999999995</v>
      </c>
      <c r="E11" s="3">
        <f>--300209.47</f>
        <v>300209.46999999997</v>
      </c>
      <c r="F11" s="3">
        <f>--115763.59</f>
        <v>115763.59</v>
      </c>
      <c r="G11" s="3">
        <f>--84581.19</f>
        <v>84581.19</v>
      </c>
      <c r="H11" s="3">
        <f>--101601.44</f>
        <v>101601.44</v>
      </c>
      <c r="I11" s="3">
        <f>--134314.8</f>
        <v>134314.79999999999</v>
      </c>
      <c r="J11" s="3">
        <f>--88232.58</f>
        <v>88232.58</v>
      </c>
      <c r="K11" s="3">
        <f>--119951.35</f>
        <v>119951.35</v>
      </c>
      <c r="L11" s="3">
        <f>--432065</f>
        <v>432065</v>
      </c>
      <c r="M11" s="3">
        <f>--489932.51</f>
        <v>489932.51</v>
      </c>
      <c r="N11" s="3">
        <v>371978</v>
      </c>
      <c r="O11" s="3">
        <v>103131</v>
      </c>
      <c r="Q11" s="3">
        <f>SUM(OSRRefD11_0x)+IFERROR(SUM(OSRRefE11_0x),0)</f>
        <v>2423717.19</v>
      </c>
    </row>
    <row r="12" spans="1:18" s="39" customFormat="1" ht="15" hidden="1" customHeight="1" outlineLevel="1" x14ac:dyDescent="0.3">
      <c r="A12" s="24"/>
      <c r="B12" s="11" t="str">
        <f>CONCATENATE("          ","4100"," - ","NON-TAXABLE SALES")</f>
        <v xml:space="preserve">          4100 - NON-TAXABLE SALES</v>
      </c>
      <c r="C12" s="23"/>
      <c r="D12" s="3">
        <f>--40967.98</f>
        <v>40967.980000000003</v>
      </c>
      <c r="E12" s="3">
        <f>--75809.9</f>
        <v>75809.899999999994</v>
      </c>
      <c r="F12" s="3">
        <f>--79696.64</f>
        <v>79696.639999999999</v>
      </c>
      <c r="G12" s="3">
        <f>--70707.37</f>
        <v>70707.37</v>
      </c>
      <c r="H12" s="3">
        <f>--34580</f>
        <v>34580</v>
      </c>
      <c r="I12" s="3">
        <f>--38625.69</f>
        <v>38625.69</v>
      </c>
      <c r="J12" s="3">
        <f>--75295.63</f>
        <v>75295.63</v>
      </c>
      <c r="K12" s="3">
        <f>--77573.66</f>
        <v>77573.66</v>
      </c>
      <c r="L12" s="3">
        <f>--80322.45</f>
        <v>80322.45</v>
      </c>
      <c r="M12" s="3">
        <f>--52054.68</f>
        <v>52054.68</v>
      </c>
      <c r="N12" s="3">
        <v>15952</v>
      </c>
      <c r="O12" s="3">
        <v>3205</v>
      </c>
      <c r="Q12" s="3">
        <f>SUM(OSRRefD11_1x)+IFERROR(SUM(OSRRefE11_1x),0)</f>
        <v>644791</v>
      </c>
    </row>
    <row r="13" spans="1:18" s="39" customFormat="1" ht="15" hidden="1" customHeight="1" outlineLevel="1" x14ac:dyDescent="0.3">
      <c r="A13" s="24"/>
      <c r="B13" s="11" t="str">
        <f>CONCATENATE("          ","4200"," - ","TAXABLE RETURNS")</f>
        <v xml:space="preserve">          4200 - TAXABLE RETURNS</v>
      </c>
      <c r="C13" s="23"/>
      <c r="D13" s="3">
        <f>-27218.94</f>
        <v>-27218.94</v>
      </c>
      <c r="E13" s="3">
        <f>-32397.97</f>
        <v>-32397.97</v>
      </c>
      <c r="F13" s="3">
        <f>-20557.25</f>
        <v>-20557.25</v>
      </c>
      <c r="G13" s="3">
        <f>-28193.19</f>
        <v>-28193.19</v>
      </c>
      <c r="H13" s="3">
        <f>-43602.29</f>
        <v>-43602.29</v>
      </c>
      <c r="I13" s="3">
        <f>-39012.77</f>
        <v>-39012.769999999997</v>
      </c>
      <c r="J13" s="3">
        <f>-7468.03</f>
        <v>-7468.03</v>
      </c>
      <c r="K13" s="3">
        <f>-25608.66</f>
        <v>-25608.66</v>
      </c>
      <c r="L13" s="3">
        <f>-55451.11</f>
        <v>-55451.11</v>
      </c>
      <c r="M13" s="3">
        <f>-221809.74</f>
        <v>-221809.74</v>
      </c>
      <c r="N13" s="3"/>
      <c r="O13" s="3"/>
      <c r="Q13" s="3">
        <f>SUM(OSRRefD11_2x)+IFERROR(SUM(OSRRefE11_2x),0)</f>
        <v>-501319.95</v>
      </c>
    </row>
    <row r="14" spans="1:18" s="39" customFormat="1" ht="15" hidden="1" customHeight="1" outlineLevel="1" x14ac:dyDescent="0.3">
      <c r="A14" s="24"/>
      <c r="B14" s="11" t="str">
        <f>CONCATENATE("          ","4300"," - ","NON-TAX RETURNS")</f>
        <v xml:space="preserve">          4300 - NON-TAX RETURNS</v>
      </c>
      <c r="C14" s="23"/>
      <c r="D14" s="3">
        <f>-399</f>
        <v>-399</v>
      </c>
      <c r="E14" s="3">
        <f>-247.83</f>
        <v>-247.83</v>
      </c>
      <c r="F14" s="3">
        <f>-42.97</f>
        <v>-42.97</v>
      </c>
      <c r="G14" s="3">
        <f>0</f>
        <v>0</v>
      </c>
      <c r="H14" s="3">
        <f>-14.99</f>
        <v>-14.99</v>
      </c>
      <c r="I14" s="3">
        <f>0</f>
        <v>0</v>
      </c>
      <c r="J14" s="3">
        <f>-19.99</f>
        <v>-19.989999999999998</v>
      </c>
      <c r="K14" s="3">
        <f>-389.74</f>
        <v>-389.74</v>
      </c>
      <c r="L14" s="3">
        <f>0</f>
        <v>0</v>
      </c>
      <c r="M14" s="3">
        <f>0</f>
        <v>0</v>
      </c>
      <c r="N14" s="3"/>
      <c r="O14" s="3"/>
      <c r="Q14" s="3">
        <f>SUM(OSRRefD11_3x)+IFERROR(SUM(OSRRefE11_3x),0)</f>
        <v>-1114.52</v>
      </c>
    </row>
    <row r="15" spans="1:18" s="39" customFormat="1" ht="15" hidden="1" customHeight="1" outlineLevel="1" x14ac:dyDescent="0.3">
      <c r="A15" s="24"/>
      <c r="B15" s="11" t="str">
        <f>CONCATENATE("          ","4500"," - ","SALES DISCOUNT")</f>
        <v xml:space="preserve">          4500 - SALES DISCOUNT</v>
      </c>
      <c r="C15" s="23"/>
      <c r="D15" s="3">
        <f>0</f>
        <v>0</v>
      </c>
      <c r="E15" s="3">
        <f>0</f>
        <v>0</v>
      </c>
      <c r="F15" s="3">
        <f>0</f>
        <v>0</v>
      </c>
      <c r="G15" s="3">
        <f>-55.54</f>
        <v>-55.54</v>
      </c>
      <c r="H15" s="3">
        <f>-36.4</f>
        <v>-36.4</v>
      </c>
      <c r="I15" s="3">
        <f>-385.39</f>
        <v>-385.39</v>
      </c>
      <c r="J15" s="3">
        <f>-262.89</f>
        <v>-262.89</v>
      </c>
      <c r="K15" s="3">
        <f>-177.38</f>
        <v>-177.38</v>
      </c>
      <c r="L15" s="3">
        <f>-240.82</f>
        <v>-240.82</v>
      </c>
      <c r="M15" s="3">
        <f>-131.82</f>
        <v>-131.82</v>
      </c>
      <c r="N15" s="3"/>
      <c r="O15" s="3"/>
      <c r="Q15" s="3">
        <f>SUM(OSRRefD11_4x)+IFERROR(SUM(OSRRefE11_4x),0)</f>
        <v>-1290.24</v>
      </c>
    </row>
    <row r="16" spans="1:18" ht="15" customHeight="1" x14ac:dyDescent="0.3">
      <c r="A16" s="6"/>
      <c r="B16" s="7"/>
      <c r="C16" s="6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Q16" s="4"/>
    </row>
    <row r="17" spans="1:17" s="39" customFormat="1" ht="15" customHeight="1" collapsed="1" x14ac:dyDescent="0.3">
      <c r="A17" s="24"/>
      <c r="B17" s="17" t="s">
        <v>284</v>
      </c>
      <c r="C17" s="23"/>
      <c r="D17" s="4">
        <f>SUM(OSRRefD14x_0)</f>
        <v>82371.47</v>
      </c>
      <c r="E17" s="4">
        <f>SUM(OSRRefD14x_1)</f>
        <v>291793.13</v>
      </c>
      <c r="F17" s="4">
        <f>SUM(OSRRefD14x_2)</f>
        <v>117257.95000000001</v>
      </c>
      <c r="G17" s="4">
        <f>SUM(OSRRefD14x_3)</f>
        <v>128311.79</v>
      </c>
      <c r="H17" s="4">
        <f>SUM(OSRRefD14x_4)</f>
        <v>82925.39</v>
      </c>
      <c r="I17" s="4">
        <f>SUM(OSRRefD14x_5)</f>
        <v>119832.5</v>
      </c>
      <c r="J17" s="4">
        <f>SUM(OSRRefD14x_6)</f>
        <v>131815.53</v>
      </c>
      <c r="K17" s="4">
        <f>SUM(OSRRefD14x_7)</f>
        <v>151731.15</v>
      </c>
      <c r="L17" s="4">
        <f>SUM(OSRRefD14x_8)</f>
        <v>370733.42</v>
      </c>
      <c r="M17" s="4">
        <f>SUM(OSRRefD14x_9)</f>
        <v>291821.21000000002</v>
      </c>
      <c r="N17" s="4">
        <f>SUM(OSRRefE14x_0)</f>
        <v>347197</v>
      </c>
      <c r="O17" s="4">
        <f>SUM(OSRRefE14x_1)</f>
        <v>95171</v>
      </c>
      <c r="Q17" s="4">
        <f>SUM(OSRRefG14x)</f>
        <v>2210961.54</v>
      </c>
    </row>
    <row r="18" spans="1:17" s="39" customFormat="1" ht="15" hidden="1" customHeight="1" outlineLevel="1" x14ac:dyDescent="0.3">
      <c r="A18" s="24"/>
      <c r="B18" s="11" t="str">
        <f>CONCATENATE("          ","5000"," - ","PURCHASES @ COST")</f>
        <v xml:space="preserve">          5000 - PURCHASES @ COST</v>
      </c>
      <c r="C18" s="23"/>
      <c r="D18" s="3">
        <v>97362.54</v>
      </c>
      <c r="E18" s="3">
        <v>285773.33</v>
      </c>
      <c r="F18" s="3">
        <v>169066.36</v>
      </c>
      <c r="G18" s="3">
        <v>134649.96</v>
      </c>
      <c r="H18" s="3">
        <v>56710.32</v>
      </c>
      <c r="I18" s="3">
        <v>183675.67</v>
      </c>
      <c r="J18" s="3">
        <v>98491.18</v>
      </c>
      <c r="K18" s="3">
        <v>148585.57</v>
      </c>
      <c r="L18" s="3">
        <v>375710.61</v>
      </c>
      <c r="M18" s="3">
        <v>208073.68</v>
      </c>
      <c r="N18" s="3">
        <v>347197</v>
      </c>
      <c r="O18" s="3">
        <v>95171</v>
      </c>
      <c r="Q18" s="3">
        <f>SUM(OSRRefD14_0x)+IFERROR(SUM(OSRRefE14_0x),0)</f>
        <v>2200467.2199999997</v>
      </c>
    </row>
    <row r="19" spans="1:17" s="39" customFormat="1" ht="15" hidden="1" customHeight="1" outlineLevel="1" x14ac:dyDescent="0.3">
      <c r="A19" s="24"/>
      <c r="B19" s="11" t="str">
        <f>CONCATENATE("          ","5081"," - ","PURCHASES @ COST-ELECTRONICS")</f>
        <v xml:space="preserve">          5081 - PURCHASES @ COST-ELECTRONICS</v>
      </c>
      <c r="C19" s="23"/>
      <c r="D19" s="3">
        <v>0</v>
      </c>
      <c r="E19" s="3">
        <v>0</v>
      </c>
      <c r="F19" s="3">
        <v>0</v>
      </c>
      <c r="G19" s="3"/>
      <c r="H19" s="3"/>
      <c r="I19" s="3"/>
      <c r="J19" s="3"/>
      <c r="K19" s="3"/>
      <c r="L19" s="3"/>
      <c r="M19" s="3"/>
      <c r="N19" s="3"/>
      <c r="O19" s="3"/>
      <c r="Q19" s="3">
        <f>SUM(OSRRefD14_1x)+IFERROR(SUM(OSRRefE14_1x),0)</f>
        <v>0</v>
      </c>
    </row>
    <row r="20" spans="1:17" s="39" customFormat="1" ht="15" hidden="1" customHeight="1" outlineLevel="1" x14ac:dyDescent="0.3">
      <c r="A20" s="24"/>
      <c r="B20" s="11" t="str">
        <f>CONCATENATE("          ","5082"," - ","PURCHASES @ COST-COMPUTER HARD")</f>
        <v xml:space="preserve">          5082 - PURCHASES @ COST-COMPUTER HARD</v>
      </c>
      <c r="C20" s="23"/>
      <c r="D20" s="3">
        <v>-10902.62</v>
      </c>
      <c r="E20" s="3">
        <v>-23501.200000000001</v>
      </c>
      <c r="F20" s="3">
        <v>-22380.03</v>
      </c>
      <c r="G20" s="3">
        <v>-20540.88</v>
      </c>
      <c r="H20" s="3">
        <v>-3384.72</v>
      </c>
      <c r="I20" s="3">
        <v>-6160.03</v>
      </c>
      <c r="J20" s="3">
        <v>-6938.92</v>
      </c>
      <c r="K20" s="3"/>
      <c r="L20" s="3">
        <v>-16384.86</v>
      </c>
      <c r="M20" s="3"/>
      <c r="N20" s="3"/>
      <c r="O20" s="3"/>
      <c r="Q20" s="3">
        <f>SUM(OSRRefD14_2x)+IFERROR(SUM(OSRRefE14_2x),0)</f>
        <v>-110193.26</v>
      </c>
    </row>
    <row r="21" spans="1:17" s="39" customFormat="1" ht="15" hidden="1" customHeight="1" outlineLevel="1" x14ac:dyDescent="0.3">
      <c r="A21" s="24"/>
      <c r="B21" s="11" t="str">
        <f>CONCATENATE("          ","5083"," - ","PURCHASES @ COST-COMPUTER EQUI")</f>
        <v xml:space="preserve">          5083 - PURCHASES @ COST-COMPUTER EQUI</v>
      </c>
      <c r="C21" s="23"/>
      <c r="D21" s="3">
        <v>0</v>
      </c>
      <c r="E21" s="3">
        <v>0</v>
      </c>
      <c r="F21" s="3">
        <v>0</v>
      </c>
      <c r="G21" s="3"/>
      <c r="H21" s="3"/>
      <c r="I21" s="3"/>
      <c r="J21" s="3"/>
      <c r="K21" s="3"/>
      <c r="L21" s="3"/>
      <c r="M21" s="3"/>
      <c r="N21" s="3"/>
      <c r="O21" s="3"/>
      <c r="Q21" s="3">
        <f>SUM(OSRRefD14_3x)+IFERROR(SUM(OSRRefE14_3x),0)</f>
        <v>0</v>
      </c>
    </row>
    <row r="22" spans="1:17" s="39" customFormat="1" ht="15" hidden="1" customHeight="1" outlineLevel="1" x14ac:dyDescent="0.3">
      <c r="A22" s="24"/>
      <c r="B22" s="11" t="str">
        <f>CONCATENATE("          ","5085"," - ","PURCHASES @ COST-SOFTWARE")</f>
        <v xml:space="preserve">          5085 - PURCHASES @ COST-SOFTWARE</v>
      </c>
      <c r="C22" s="23"/>
      <c r="D22" s="3">
        <v>0</v>
      </c>
      <c r="E22" s="3">
        <v>0</v>
      </c>
      <c r="F22" s="3">
        <v>0</v>
      </c>
      <c r="G22" s="3"/>
      <c r="H22" s="3"/>
      <c r="I22" s="3"/>
      <c r="J22" s="3"/>
      <c r="K22" s="3"/>
      <c r="L22" s="3"/>
      <c r="M22" s="3"/>
      <c r="N22" s="3"/>
      <c r="O22" s="3"/>
      <c r="Q22" s="3">
        <f>SUM(OSRRefD14_4x)+IFERROR(SUM(OSRRefE14_4x),0)</f>
        <v>0</v>
      </c>
    </row>
    <row r="23" spans="1:17" s="39" customFormat="1" ht="15" hidden="1" customHeight="1" outlineLevel="1" x14ac:dyDescent="0.3">
      <c r="A23" s="24"/>
      <c r="B23" s="11" t="str">
        <f>CONCATENATE("          ","5086"," - ","PURCHASES @ COST-COMPUTER SUPP")</f>
        <v xml:space="preserve">          5086 - PURCHASES @ COST-COMPUTER SUPP</v>
      </c>
      <c r="C23" s="23"/>
      <c r="D23" s="3">
        <v>0</v>
      </c>
      <c r="E23" s="3">
        <v>0</v>
      </c>
      <c r="F23" s="3">
        <v>0</v>
      </c>
      <c r="G23" s="3"/>
      <c r="H23" s="3"/>
      <c r="I23" s="3"/>
      <c r="J23" s="3"/>
      <c r="K23" s="3"/>
      <c r="L23" s="3"/>
      <c r="M23" s="3"/>
      <c r="N23" s="3"/>
      <c r="O23" s="3"/>
      <c r="Q23" s="3">
        <f>SUM(OSRRefD14_5x)+IFERROR(SUM(OSRRefE14_5x),0)</f>
        <v>0</v>
      </c>
    </row>
    <row r="24" spans="1:17" s="39" customFormat="1" ht="15" hidden="1" customHeight="1" outlineLevel="1" x14ac:dyDescent="0.3">
      <c r="A24" s="24"/>
      <c r="B24" s="11" t="str">
        <f>CONCATENATE("          ","5200"," - ","PURCHASES OFFSET")</f>
        <v xml:space="preserve">          5200 - PURCHASES OFFSET</v>
      </c>
      <c r="C24" s="23"/>
      <c r="D24" s="3">
        <v>-97382.65</v>
      </c>
      <c r="E24" s="3">
        <v>-285788.87</v>
      </c>
      <c r="F24" s="3">
        <v>-169066.36</v>
      </c>
      <c r="G24" s="3">
        <v>-134658.5</v>
      </c>
      <c r="H24" s="3">
        <v>-56710.32</v>
      </c>
      <c r="I24" s="3">
        <v>-183675.67</v>
      </c>
      <c r="J24" s="3">
        <v>-98515.33</v>
      </c>
      <c r="K24" s="3">
        <v>-148609.87</v>
      </c>
      <c r="L24" s="3">
        <v>-375789.52</v>
      </c>
      <c r="M24" s="3">
        <v>-208105.25</v>
      </c>
      <c r="N24" s="3"/>
      <c r="O24" s="3"/>
      <c r="Q24" s="3">
        <f>SUM(OSRRefD14_6x)+IFERROR(SUM(OSRRefE14_6x),0)</f>
        <v>-1758302.3399999999</v>
      </c>
    </row>
    <row r="25" spans="1:17" s="39" customFormat="1" ht="15" hidden="1" customHeight="1" outlineLevel="1" x14ac:dyDescent="0.3">
      <c r="A25" s="24"/>
      <c r="B25" s="11" t="str">
        <f>CONCATENATE("          ","5300"," - ","COG$ OFFSET")</f>
        <v xml:space="preserve">          5300 - COG$ OFFSET</v>
      </c>
      <c r="C25" s="23"/>
      <c r="D25" s="3">
        <v>93274.09</v>
      </c>
      <c r="E25" s="3">
        <v>315294.33</v>
      </c>
      <c r="F25" s="3">
        <v>139637.98000000001</v>
      </c>
      <c r="G25" s="3">
        <v>148852.67000000001</v>
      </c>
      <c r="H25" s="3">
        <v>86310.11</v>
      </c>
      <c r="I25" s="3">
        <v>125992.53</v>
      </c>
      <c r="J25" s="3">
        <v>138754.45000000001</v>
      </c>
      <c r="K25" s="3">
        <v>151731.15</v>
      </c>
      <c r="L25" s="3">
        <v>387118.28</v>
      </c>
      <c r="M25" s="3">
        <v>291821.21000000002</v>
      </c>
      <c r="N25" s="3"/>
      <c r="O25" s="3"/>
      <c r="Q25" s="3">
        <f>SUM(OSRRefD14_7x)+IFERROR(SUM(OSRRefE14_7x),0)</f>
        <v>1878786.8</v>
      </c>
    </row>
    <row r="26" spans="1:17" s="39" customFormat="1" ht="15" hidden="1" customHeight="1" outlineLevel="1" x14ac:dyDescent="0.3">
      <c r="A26" s="24"/>
      <c r="B26" s="11" t="str">
        <f>CONCATENATE("          ","5500"," - ","FREIGHT-IN")</f>
        <v xml:space="preserve">          5500 - FREIGHT-IN</v>
      </c>
      <c r="C26" s="23"/>
      <c r="D26" s="3">
        <v>20.11</v>
      </c>
      <c r="E26" s="3">
        <v>15.54</v>
      </c>
      <c r="F26" s="3"/>
      <c r="G26" s="3">
        <v>8.5399999999999991</v>
      </c>
      <c r="H26" s="3"/>
      <c r="I26" s="3"/>
      <c r="J26" s="3">
        <v>24.15</v>
      </c>
      <c r="K26" s="3">
        <v>24.3</v>
      </c>
      <c r="L26" s="3">
        <v>78.91</v>
      </c>
      <c r="M26" s="3">
        <v>31.57</v>
      </c>
      <c r="N26" s="3"/>
      <c r="O26" s="3"/>
      <c r="Q26" s="3">
        <f>SUM(OSRRefD14_8x)+IFERROR(SUM(OSRRefE14_8x),0)</f>
        <v>203.12</v>
      </c>
    </row>
    <row r="27" spans="1:17" s="39" customFormat="1" ht="15" hidden="1" customHeight="1" outlineLevel="1" x14ac:dyDescent="0.3">
      <c r="A27" s="24"/>
      <c r="B27" s="11" t="str">
        <f>CONCATENATE("          ","5583"," - ","FREIGHT-IN-COMPUTER EQUIPMENT")</f>
        <v xml:space="preserve">          5583 - FREIGHT-IN-COMPUTER EQUIPMENT</v>
      </c>
      <c r="C27" s="23"/>
      <c r="D27" s="3">
        <v>0</v>
      </c>
      <c r="E27" s="3">
        <v>0</v>
      </c>
      <c r="F27" s="3"/>
      <c r="G27" s="3"/>
      <c r="H27" s="3"/>
      <c r="I27" s="3"/>
      <c r="J27" s="3"/>
      <c r="K27" s="3"/>
      <c r="L27" s="3"/>
      <c r="M27" s="3"/>
      <c r="N27" s="3"/>
      <c r="O27" s="3"/>
      <c r="Q27" s="3">
        <f>SUM(OSRRefD14_9x)+IFERROR(SUM(OSRRefE14_9x),0)</f>
        <v>0</v>
      </c>
    </row>
    <row r="28" spans="1:17" ht="15" customHeight="1" x14ac:dyDescent="0.3">
      <c r="A28" s="6"/>
      <c r="B28" s="7"/>
      <c r="C28" s="7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Q28" s="4"/>
    </row>
    <row r="29" spans="1:17" s="37" customFormat="1" ht="15" customHeight="1" x14ac:dyDescent="0.3">
      <c r="A29" s="7"/>
      <c r="B29" s="18" t="s">
        <v>285</v>
      </c>
      <c r="C29" s="18"/>
      <c r="D29" s="9">
        <f t="shared" ref="D29:O29" si="0">IFERROR(+D10-D17,0)</f>
        <v>12934.829999999987</v>
      </c>
      <c r="E29" s="9">
        <f t="shared" si="0"/>
        <v>51580.44</v>
      </c>
      <c r="F29" s="9">
        <f t="shared" si="0"/>
        <v>57602.059999999969</v>
      </c>
      <c r="G29" s="9">
        <f t="shared" si="0"/>
        <v>-1271.9599999999919</v>
      </c>
      <c r="H29" s="9">
        <f t="shared" si="0"/>
        <v>9602.3699999999953</v>
      </c>
      <c r="I29" s="9">
        <f t="shared" si="0"/>
        <v>13709.829999999987</v>
      </c>
      <c r="J29" s="9">
        <f t="shared" si="0"/>
        <v>23961.770000000019</v>
      </c>
      <c r="K29" s="9">
        <f t="shared" si="0"/>
        <v>19618.080000000016</v>
      </c>
      <c r="L29" s="9">
        <f t="shared" si="0"/>
        <v>85962.100000000035</v>
      </c>
      <c r="M29" s="9">
        <f t="shared" si="0"/>
        <v>28224.420000000042</v>
      </c>
      <c r="N29" s="9">
        <f t="shared" si="0"/>
        <v>40733</v>
      </c>
      <c r="O29" s="9">
        <f t="shared" si="0"/>
        <v>11165</v>
      </c>
      <c r="Q29" s="9">
        <f>IFERROR(+Q10-Q17,0)</f>
        <v>353821.93999999948</v>
      </c>
    </row>
    <row r="30" spans="1:17" s="38" customFormat="1" ht="15" customHeight="1" x14ac:dyDescent="0.3">
      <c r="B30" s="17"/>
      <c r="C30" s="17"/>
      <c r="D30" s="5">
        <f t="shared" ref="D30:O30" si="1">IFERROR(D29/D10,0)</f>
        <v>0.13571852018177172</v>
      </c>
      <c r="E30" s="5">
        <f t="shared" si="1"/>
        <v>0.15021668674149849</v>
      </c>
      <c r="F30" s="5">
        <f t="shared" si="1"/>
        <v>0.3294181442629448</v>
      </c>
      <c r="G30" s="5">
        <f t="shared" si="1"/>
        <v>-1.0012292995039366E-2</v>
      </c>
      <c r="H30" s="5">
        <f t="shared" si="1"/>
        <v>0.10377826070792155</v>
      </c>
      <c r="I30" s="5">
        <f t="shared" si="1"/>
        <v>0.10266280362189269</v>
      </c>
      <c r="J30" s="5">
        <f t="shared" si="1"/>
        <v>0.15382067862262355</v>
      </c>
      <c r="K30" s="5">
        <f t="shared" si="1"/>
        <v>0.11449178966255066</v>
      </c>
      <c r="L30" s="5">
        <f t="shared" si="1"/>
        <v>0.18822628257881757</v>
      </c>
      <c r="M30" s="5">
        <f t="shared" si="1"/>
        <v>8.8188737337235437E-2</v>
      </c>
      <c r="N30" s="5">
        <f t="shared" si="1"/>
        <v>0.10500090222462816</v>
      </c>
      <c r="O30" s="5">
        <f t="shared" si="1"/>
        <v>0.10499736683719531</v>
      </c>
      <c r="P30" s="19"/>
      <c r="Q30" s="5">
        <f>IFERROR(Q29/Q10,0)</f>
        <v>0.13795392194275968</v>
      </c>
    </row>
    <row r="31" spans="1:17" ht="15" customHeight="1" x14ac:dyDescent="0.3">
      <c r="A31" s="6"/>
      <c r="B31" s="7"/>
      <c r="C31" s="6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Q31" s="2"/>
    </row>
    <row r="32" spans="1:17" s="37" customFormat="1" ht="15" customHeight="1" x14ac:dyDescent="0.3">
      <c r="A32" s="7"/>
      <c r="B32" s="17" t="s">
        <v>286</v>
      </c>
      <c r="C32" s="7"/>
      <c r="D32" s="12" cm="1">
        <f t="array" ref="D32">SUM(OSRRefD20x_0)</f>
        <v>16884.670000000002</v>
      </c>
      <c r="E32" s="12" cm="1">
        <f t="array" ref="E32">SUM(OSRRefD20x_1)</f>
        <v>14040.32</v>
      </c>
      <c r="F32" s="12" cm="1">
        <f t="array" ref="F32">SUM(OSRRefD20x_2)</f>
        <v>12211.060000000001</v>
      </c>
      <c r="G32" s="12" cm="1">
        <f t="array" ref="G32">SUM(OSRRefD20x_3)</f>
        <v>15889.100000000002</v>
      </c>
      <c r="H32" s="12" cm="1">
        <f t="array" ref="H32">SUM(OSRRefD20x_4)</f>
        <v>12756.370000000003</v>
      </c>
      <c r="I32" s="12" cm="1">
        <f t="array" ref="I32">SUM(OSRRefD20x_5)</f>
        <v>12627.03</v>
      </c>
      <c r="J32" s="12" cm="1">
        <f t="array" ref="J32">SUM(OSRRefD20x_6)</f>
        <v>15488.850000000002</v>
      </c>
      <c r="K32" s="12" cm="1">
        <f t="array" ref="K32">SUM(OSRRefD20x_7)</f>
        <v>15917.66</v>
      </c>
      <c r="L32" s="12" cm="1">
        <f t="array" ref="L32">SUM(OSRRefD20x_8)</f>
        <v>16839.86</v>
      </c>
      <c r="M32" s="12" cm="1">
        <f t="array" ref="M32">SUM(OSRRefD20x_9)</f>
        <v>20773.600000000002</v>
      </c>
      <c r="N32" s="12" cm="1">
        <f t="array" ref="N32">SUM(OSRRefE20x_0)</f>
        <v>15550.733476869998</v>
      </c>
      <c r="O32" s="12" cm="1">
        <f t="array" ref="O32">SUM(OSRRefE20x_1)</f>
        <v>13656.93609967</v>
      </c>
      <c r="Q32" s="12" cm="1">
        <f t="array" ref="Q32">SUM(OSRRefG20x)</f>
        <v>182636.18957654</v>
      </c>
    </row>
    <row r="33" spans="1:17" s="42" customFormat="1" ht="15" customHeight="1" collapsed="1" x14ac:dyDescent="0.3">
      <c r="A33" s="34"/>
      <c r="B33" s="15" t="str">
        <f>CONCATENATE("     ","*Benefits                                         ")</f>
        <v xml:space="preserve">     *Benefits                                         </v>
      </c>
      <c r="C33" s="15"/>
      <c r="D33" s="2">
        <f>SUM(OSRRefD21_0x_0)</f>
        <v>2159.6000000000004</v>
      </c>
      <c r="E33" s="2">
        <f>SUM(OSRRefD21_0x_1)</f>
        <v>999.63</v>
      </c>
      <c r="F33" s="2">
        <f>SUM(OSRRefD21_0x_2)</f>
        <v>1500.14</v>
      </c>
      <c r="G33" s="2">
        <f>SUM(OSRRefD21_0x_3)</f>
        <v>1906.2399999999998</v>
      </c>
      <c r="H33" s="2">
        <f>SUM(OSRRefD21_0x_4)</f>
        <v>2357.9199999999996</v>
      </c>
      <c r="I33" s="2">
        <f>SUM(OSRRefD21_0x_5)</f>
        <v>2379.6800000000003</v>
      </c>
      <c r="J33" s="2">
        <f>SUM(OSRRefD21_0x_6)</f>
        <v>3506.3399999999997</v>
      </c>
      <c r="K33" s="2">
        <f>SUM(OSRRefD21_0x_7)</f>
        <v>5158.8</v>
      </c>
      <c r="L33" s="2">
        <f>SUM(OSRRefD21_0x_8)</f>
        <v>3279.8099999999995</v>
      </c>
      <c r="M33" s="2">
        <f>SUM(OSRRefD21_0x_9)</f>
        <v>3918.19</v>
      </c>
      <c r="N33" s="2">
        <f>SUM(OSRRefE21_0x_0)</f>
        <v>2563.2229268699998</v>
      </c>
      <c r="O33" s="2">
        <f>SUM(OSRRefE21_0x_1)</f>
        <v>2818.6255496700001</v>
      </c>
      <c r="Q33" s="3">
        <f>SUM(OSRRefD20_0x)+IFERROR(SUM(OSRRefE20_0x),0)</f>
        <v>32548.198476540001</v>
      </c>
    </row>
    <row r="34" spans="1:17" s="42" customFormat="1" ht="15" hidden="1" customHeight="1" outlineLevel="1" x14ac:dyDescent="0.3">
      <c r="A34" s="34"/>
      <c r="B34" s="11" t="str">
        <f>CONCATENATE("          ","6111"," - ","F.I.C.A.")</f>
        <v xml:space="preserve">          6111 - F.I.C.A.</v>
      </c>
      <c r="C34" s="15"/>
      <c r="D34" s="3">
        <v>653.55999999999995</v>
      </c>
      <c r="E34" s="3">
        <v>406.68</v>
      </c>
      <c r="F34" s="3">
        <v>548.86</v>
      </c>
      <c r="G34" s="3">
        <v>724.92</v>
      </c>
      <c r="H34" s="3">
        <v>475.62</v>
      </c>
      <c r="I34" s="3">
        <v>494.27</v>
      </c>
      <c r="J34" s="3">
        <v>460.4</v>
      </c>
      <c r="K34" s="3">
        <v>523.23</v>
      </c>
      <c r="L34" s="3">
        <v>606.14</v>
      </c>
      <c r="M34" s="3">
        <v>860.47</v>
      </c>
      <c r="N34" s="3">
        <v>457.37151956999998</v>
      </c>
      <c r="O34" s="3">
        <v>741.35598236999999</v>
      </c>
      <c r="P34" s="10"/>
      <c r="Q34" s="3">
        <f>SUM(OSRRefD21_0_0x)+IFERROR(SUM(OSRRefE21_0_0x),0)</f>
        <v>6952.87750194</v>
      </c>
    </row>
    <row r="35" spans="1:17" s="42" customFormat="1" ht="15" hidden="1" customHeight="1" outlineLevel="1" x14ac:dyDescent="0.3">
      <c r="A35" s="34"/>
      <c r="B35" s="11" t="str">
        <f>CONCATENATE("          ","6112"," - ","COMPENSATION INSURANCE")</f>
        <v xml:space="preserve">          6112 - COMPENSATION INSURANCE</v>
      </c>
      <c r="C35" s="15"/>
      <c r="D35" s="3">
        <v>177.36</v>
      </c>
      <c r="E35" s="3">
        <v>112.83</v>
      </c>
      <c r="F35" s="3">
        <v>135.76</v>
      </c>
      <c r="G35" s="3">
        <v>184.01</v>
      </c>
      <c r="H35" s="3">
        <v>124.44</v>
      </c>
      <c r="I35" s="3">
        <v>142.52000000000001</v>
      </c>
      <c r="J35" s="3">
        <v>122.11</v>
      </c>
      <c r="K35" s="3">
        <v>150.32</v>
      </c>
      <c r="L35" s="3">
        <v>149.75</v>
      </c>
      <c r="M35" s="3">
        <v>147.80000000000001</v>
      </c>
      <c r="N35" s="3">
        <v>160.46673240000001</v>
      </c>
      <c r="O35" s="3">
        <v>151.11921240000001</v>
      </c>
      <c r="P35" s="10"/>
      <c r="Q35" s="3">
        <f>SUM(OSRRefD21_0_1x)+IFERROR(SUM(OSRRefE21_0_1x),0)</f>
        <v>1758.4859448000002</v>
      </c>
    </row>
    <row r="36" spans="1:17" s="42" customFormat="1" ht="15" hidden="1" customHeight="1" outlineLevel="1" x14ac:dyDescent="0.3">
      <c r="A36" s="34"/>
      <c r="B36" s="11" t="str">
        <f>CONCATENATE("          ","6113"," - ","GROUP INSURANCE")</f>
        <v xml:space="preserve">          6113 - GROUP INSURANCE</v>
      </c>
      <c r="C36" s="15"/>
      <c r="D36" s="3">
        <v>828.27</v>
      </c>
      <c r="E36" s="3">
        <v>165.65</v>
      </c>
      <c r="F36" s="3">
        <v>194.97</v>
      </c>
      <c r="G36" s="3">
        <v>853.84</v>
      </c>
      <c r="H36" s="3">
        <v>853.84</v>
      </c>
      <c r="I36" s="3">
        <v>853.84</v>
      </c>
      <c r="J36" s="3">
        <v>1539.12</v>
      </c>
      <c r="K36" s="3">
        <v>1539.12</v>
      </c>
      <c r="L36" s="3">
        <v>1539.12</v>
      </c>
      <c r="M36" s="3">
        <v>1539.12</v>
      </c>
      <c r="N36" s="3">
        <v>943.5</v>
      </c>
      <c r="O36" s="3">
        <v>943.5</v>
      </c>
      <c r="P36" s="10"/>
      <c r="Q36" s="3">
        <f>SUM(OSRRefD21_0_2x)+IFERROR(SUM(OSRRefE21_0_2x),0)</f>
        <v>11793.89</v>
      </c>
    </row>
    <row r="37" spans="1:17" s="42" customFormat="1" ht="15" hidden="1" customHeight="1" outlineLevel="1" x14ac:dyDescent="0.3">
      <c r="A37" s="34"/>
      <c r="B37" s="11" t="str">
        <f>CONCATENATE("          ","6114"," - ","STATE UNEMPLOYMENT INSURANCE")</f>
        <v xml:space="preserve">          6114 - STATE UNEMPLOYMENT INSURANCE</v>
      </c>
      <c r="C37" s="15"/>
      <c r="D37" s="3">
        <v>31.16</v>
      </c>
      <c r="E37" s="3">
        <v>19.82</v>
      </c>
      <c r="F37" s="3">
        <v>23.85</v>
      </c>
      <c r="G37" s="3">
        <v>32.33</v>
      </c>
      <c r="H37" s="3">
        <v>21.86</v>
      </c>
      <c r="I37" s="3">
        <v>25.04</v>
      </c>
      <c r="J37" s="3">
        <v>21.45</v>
      </c>
      <c r="K37" s="3">
        <v>26.41</v>
      </c>
      <c r="L37" s="3">
        <v>26.31</v>
      </c>
      <c r="M37" s="3">
        <v>26.64</v>
      </c>
      <c r="N37" s="3">
        <v>21.601290899999999</v>
      </c>
      <c r="O37" s="3">
        <v>20.342970900000001</v>
      </c>
      <c r="P37" s="10"/>
      <c r="Q37" s="3">
        <f>SUM(OSRRefD21_0_3x)+IFERROR(SUM(OSRRefE21_0_3x),0)</f>
        <v>296.8142618</v>
      </c>
    </row>
    <row r="38" spans="1:17" s="42" customFormat="1" ht="15" hidden="1" customHeight="1" outlineLevel="1" x14ac:dyDescent="0.3">
      <c r="A38" s="34"/>
      <c r="B38" s="11" t="str">
        <f>CONCATENATE("          ","6115"," - ","P.E.R.S.")</f>
        <v xml:space="preserve">          6115 - P.E.R.S.</v>
      </c>
      <c r="C38" s="15"/>
      <c r="D38" s="3">
        <v>133.9</v>
      </c>
      <c r="E38" s="3">
        <v>99.25</v>
      </c>
      <c r="F38" s="3">
        <v>99.25</v>
      </c>
      <c r="G38" s="3">
        <v>148.88</v>
      </c>
      <c r="H38" s="3">
        <v>103.22</v>
      </c>
      <c r="I38" s="3">
        <v>103.22</v>
      </c>
      <c r="J38" s="3">
        <v>103.22</v>
      </c>
      <c r="K38" s="3">
        <v>123.87</v>
      </c>
      <c r="L38" s="3">
        <v>123.87</v>
      </c>
      <c r="M38" s="3">
        <v>179.61</v>
      </c>
      <c r="N38" s="3">
        <v>202.166134</v>
      </c>
      <c r="O38" s="3">
        <v>202.166134</v>
      </c>
      <c r="P38" s="10"/>
      <c r="Q38" s="3">
        <f>SUM(OSRRefD21_0_4x)+IFERROR(SUM(OSRRefE21_0_4x),0)</f>
        <v>1622.6222680000001</v>
      </c>
    </row>
    <row r="39" spans="1:17" s="42" customFormat="1" ht="15" hidden="1" customHeight="1" outlineLevel="1" x14ac:dyDescent="0.3">
      <c r="A39" s="34"/>
      <c r="B39" s="11" t="str">
        <f>CONCATENATE("          ","6116"," - ","EDUCATIONAL BENEFITS")</f>
        <v xml:space="preserve">          6116 - EDUCATIONAL BENEFITS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/>
      <c r="N39" s="3">
        <v>0</v>
      </c>
      <c r="O39" s="3">
        <v>0</v>
      </c>
      <c r="P39" s="10"/>
      <c r="Q39" s="3">
        <f>SUM(OSRRefD21_0_5x)+IFERROR(SUM(OSRRefE21_0_5x),0)</f>
        <v>0</v>
      </c>
    </row>
    <row r="40" spans="1:17" s="42" customFormat="1" ht="15" hidden="1" customHeight="1" outlineLevel="1" x14ac:dyDescent="0.3">
      <c r="A40" s="34"/>
      <c r="B40" s="11" t="str">
        <f>CONCATENATE("          ","6117"," - ","RETIREMENT STAFF HOURLY")</f>
        <v xml:space="preserve">          6117 - RETIREMENT STAFF HOURLY</v>
      </c>
      <c r="C40" s="15"/>
      <c r="D40" s="3">
        <v>162.69999999999999</v>
      </c>
      <c r="E40" s="3">
        <v>60</v>
      </c>
      <c r="F40" s="3">
        <v>60</v>
      </c>
      <c r="G40" s="3">
        <v>-940.04</v>
      </c>
      <c r="H40" s="3">
        <v>120</v>
      </c>
      <c r="I40" s="3">
        <v>120</v>
      </c>
      <c r="J40" s="3">
        <v>180</v>
      </c>
      <c r="K40" s="3">
        <v>120</v>
      </c>
      <c r="L40" s="3">
        <v>120</v>
      </c>
      <c r="M40" s="3">
        <v>157.46</v>
      </c>
      <c r="N40" s="3"/>
      <c r="O40" s="3"/>
      <c r="P40" s="10"/>
      <c r="Q40" s="3">
        <f>SUM(OSRRefD21_0_6x)+IFERROR(SUM(OSRRefE21_0_6x),0)</f>
        <v>160.12000000000009</v>
      </c>
    </row>
    <row r="41" spans="1:17" s="42" customFormat="1" ht="15" hidden="1" customHeight="1" outlineLevel="1" x14ac:dyDescent="0.3">
      <c r="A41" s="34"/>
      <c r="B41" s="11" t="str">
        <f>CONCATENATE("          ","6118"," - ","VACATION")</f>
        <v xml:space="preserve">          6118 - VACATION</v>
      </c>
      <c r="C41" s="15"/>
      <c r="D41" s="3">
        <v>67.760000000000005</v>
      </c>
      <c r="E41" s="3">
        <v>61.6</v>
      </c>
      <c r="F41" s="3">
        <v>123.2</v>
      </c>
      <c r="G41" s="3">
        <v>313.04000000000002</v>
      </c>
      <c r="H41" s="3">
        <v>222.3</v>
      </c>
      <c r="I41" s="3">
        <v>227.57</v>
      </c>
      <c r="J41" s="3">
        <v>359.95</v>
      </c>
      <c r="K41" s="3">
        <v>917.55</v>
      </c>
      <c r="L41" s="3">
        <v>247.46</v>
      </c>
      <c r="M41" s="3">
        <v>390.91</v>
      </c>
      <c r="N41" s="3">
        <v>179.29106999999999</v>
      </c>
      <c r="O41" s="3">
        <v>179.29106999999999</v>
      </c>
      <c r="P41" s="10"/>
      <c r="Q41" s="3">
        <f>SUM(OSRRefD21_0_7x)+IFERROR(SUM(OSRRefE21_0_7x),0)</f>
        <v>3289.9221400000001</v>
      </c>
    </row>
    <row r="42" spans="1:17" s="42" customFormat="1" ht="15" hidden="1" customHeight="1" outlineLevel="1" x14ac:dyDescent="0.3">
      <c r="A42" s="34"/>
      <c r="B42" s="11" t="str">
        <f>CONCATENATE("          ","6119"," - ","SICK LEAVE")</f>
        <v xml:space="preserve">          6119 - SICK LEAVE</v>
      </c>
      <c r="C42" s="15"/>
      <c r="D42" s="3">
        <v>81.180000000000007</v>
      </c>
      <c r="E42" s="3">
        <v>73.8</v>
      </c>
      <c r="F42" s="3">
        <v>147.6</v>
      </c>
      <c r="G42" s="3">
        <v>311.87</v>
      </c>
      <c r="H42" s="3">
        <v>216.23</v>
      </c>
      <c r="I42" s="3">
        <v>216.23</v>
      </c>
      <c r="J42" s="3">
        <v>494.25</v>
      </c>
      <c r="K42" s="3">
        <v>1533.28</v>
      </c>
      <c r="L42" s="3">
        <v>228.77</v>
      </c>
      <c r="M42" s="3">
        <v>366.78</v>
      </c>
      <c r="N42" s="3">
        <v>248.82617999999999</v>
      </c>
      <c r="O42" s="3">
        <v>230.85017999999999</v>
      </c>
      <c r="P42" s="10"/>
      <c r="Q42" s="3">
        <f>SUM(OSRRefD21_0_8x)+IFERROR(SUM(OSRRefE21_0_8x),0)</f>
        <v>4149.6663600000002</v>
      </c>
    </row>
    <row r="43" spans="1:17" s="42" customFormat="1" ht="15" hidden="1" customHeight="1" outlineLevel="1" x14ac:dyDescent="0.3">
      <c r="A43" s="34"/>
      <c r="B43" s="11" t="str">
        <f>CONCATENATE("          ","6156"," - ","EMPLOYEE MEALS")</f>
        <v xml:space="preserve">          6156 - EMPLOYEE MEALS</v>
      </c>
      <c r="C43" s="15"/>
      <c r="D43" s="3">
        <v>23.71</v>
      </c>
      <c r="E43" s="3"/>
      <c r="F43" s="3">
        <v>166.65</v>
      </c>
      <c r="G43" s="3">
        <v>277.39</v>
      </c>
      <c r="H43" s="3">
        <v>220.41</v>
      </c>
      <c r="I43" s="3">
        <v>196.99</v>
      </c>
      <c r="J43" s="3">
        <v>225.84</v>
      </c>
      <c r="K43" s="3">
        <v>225.02</v>
      </c>
      <c r="L43" s="3">
        <v>238.39</v>
      </c>
      <c r="M43" s="3">
        <v>249.4</v>
      </c>
      <c r="N43" s="3">
        <v>350</v>
      </c>
      <c r="O43" s="3">
        <v>350</v>
      </c>
      <c r="P43" s="10"/>
      <c r="Q43" s="3">
        <f>SUM(OSRRefD21_0_9x)+IFERROR(SUM(OSRRefE21_0_9x),0)</f>
        <v>2523.8000000000002</v>
      </c>
    </row>
    <row r="44" spans="1:17" s="42" customFormat="1" ht="15" customHeight="1" collapsed="1" x14ac:dyDescent="0.3">
      <c r="A44" s="34"/>
      <c r="B44" s="15" t="str">
        <f>CONCATENATE("     ","*Payroll                                          ")</f>
        <v xml:space="preserve">     *Payroll                                          </v>
      </c>
      <c r="C44" s="15"/>
      <c r="D44" s="2">
        <f>SUM(OSRRefD21_1x_0)</f>
        <v>10510.92</v>
      </c>
      <c r="E44" s="2">
        <f>SUM(OSRRefD21_1x_1)</f>
        <v>9364.9499999999989</v>
      </c>
      <c r="F44" s="2">
        <f>SUM(OSRRefD21_1x_2)</f>
        <v>9752.59</v>
      </c>
      <c r="G44" s="2">
        <f>SUM(OSRRefD21_1x_3)</f>
        <v>12737.43</v>
      </c>
      <c r="H44" s="2">
        <f>SUM(OSRRefD21_1x_4)</f>
        <v>9218.130000000001</v>
      </c>
      <c r="I44" s="2">
        <f>SUM(OSRRefD21_1x_5)</f>
        <v>9388.6099999999988</v>
      </c>
      <c r="J44" s="2">
        <f>SUM(OSRRefD21_1x_6)</f>
        <v>10489.11</v>
      </c>
      <c r="K44" s="2">
        <f>SUM(OSRRefD21_1x_7)</f>
        <v>9615.25</v>
      </c>
      <c r="L44" s="2">
        <f>SUM(OSRRefD21_1x_8)</f>
        <v>11228.220000000001</v>
      </c>
      <c r="M44" s="2">
        <f>SUM(OSRRefD21_1x_9)</f>
        <v>13530.35</v>
      </c>
      <c r="N44" s="2">
        <f>SUM(OSRRefE21_1x_0)</f>
        <v>9987.5105499999991</v>
      </c>
      <c r="O44" s="2">
        <f>SUM(OSRRefE21_1x_1)</f>
        <v>9388.3105500000001</v>
      </c>
      <c r="Q44" s="3">
        <f>SUM(OSRRefD20_1x)+IFERROR(SUM(OSRRefE20_1x),0)</f>
        <v>125211.38110000001</v>
      </c>
    </row>
    <row r="45" spans="1:17" s="42" customFormat="1" ht="15" hidden="1" customHeight="1" outlineLevel="1" x14ac:dyDescent="0.3">
      <c r="A45" s="34"/>
      <c r="B45" s="11" t="str">
        <f>CONCATENATE("          ","6001"," - ","ADMINISTRATIVE SALARIES")</f>
        <v xml:space="preserve">          6001 - ADMINISTRATIVE SALARIES</v>
      </c>
      <c r="C45" s="15"/>
      <c r="D45" s="3"/>
      <c r="E45" s="3"/>
      <c r="F45" s="3"/>
      <c r="G45" s="3"/>
      <c r="H45" s="3"/>
      <c r="I45" s="3"/>
      <c r="J45" s="3"/>
      <c r="K45" s="3"/>
      <c r="L45" s="3"/>
      <c r="M45" s="3"/>
      <c r="N45" s="3">
        <v>0</v>
      </c>
      <c r="O45" s="3">
        <v>0</v>
      </c>
      <c r="P45" s="10"/>
      <c r="Q45" s="3">
        <f>SUM(OSRRefD21_1_0x)+IFERROR(SUM(OSRRefE21_1_0x),0)</f>
        <v>0</v>
      </c>
    </row>
    <row r="46" spans="1:17" s="42" customFormat="1" ht="15" hidden="1" customHeight="1" outlineLevel="1" x14ac:dyDescent="0.3">
      <c r="A46" s="34"/>
      <c r="B46" s="11" t="str">
        <f>CONCATENATE("          ","6002"," - ","STAFF SALARIES")</f>
        <v xml:space="preserve">          6002 - STAFF SALARIES</v>
      </c>
      <c r="C46" s="15"/>
      <c r="D46" s="3">
        <v>5113.92</v>
      </c>
      <c r="E46" s="3">
        <v>980.7</v>
      </c>
      <c r="F46" s="3">
        <v>1307.7</v>
      </c>
      <c r="G46" s="3">
        <v>1634.62</v>
      </c>
      <c r="H46" s="3">
        <v>1156</v>
      </c>
      <c r="I46" s="3">
        <v>1360</v>
      </c>
      <c r="J46" s="3">
        <v>1700</v>
      </c>
      <c r="K46" s="3">
        <v>1700</v>
      </c>
      <c r="L46" s="3">
        <v>1632</v>
      </c>
      <c r="M46" s="3">
        <v>2040</v>
      </c>
      <c r="N46" s="3">
        <v>2233.2305500000002</v>
      </c>
      <c r="O46" s="3">
        <v>2233.2305500000002</v>
      </c>
      <c r="P46" s="10"/>
      <c r="Q46" s="3">
        <f>SUM(OSRRefD21_1_1x)+IFERROR(SUM(OSRRefE21_1_1x),0)</f>
        <v>23091.401099999999</v>
      </c>
    </row>
    <row r="47" spans="1:17" s="42" customFormat="1" ht="15" hidden="1" customHeight="1" outlineLevel="1" x14ac:dyDescent="0.3">
      <c r="A47" s="34"/>
      <c r="B47" s="11" t="str">
        <f>CONCATENATE("          ","6003"," - ","STAFF HOURLY-9 MONTH")</f>
        <v xml:space="preserve">          6003 - STAFF HOURLY-9 MONTH</v>
      </c>
      <c r="C47" s="15"/>
      <c r="D47" s="3"/>
      <c r="E47" s="3"/>
      <c r="F47" s="3"/>
      <c r="G47" s="3"/>
      <c r="H47" s="3"/>
      <c r="I47" s="3"/>
      <c r="J47" s="3"/>
      <c r="K47" s="3"/>
      <c r="L47" s="3"/>
      <c r="M47" s="3"/>
      <c r="N47" s="3">
        <v>0</v>
      </c>
      <c r="O47" s="3">
        <v>0</v>
      </c>
      <c r="P47" s="10"/>
      <c r="Q47" s="3">
        <f>SUM(OSRRefD21_1_2x)+IFERROR(SUM(OSRRefE21_1_2x),0)</f>
        <v>0</v>
      </c>
    </row>
    <row r="48" spans="1:17" s="42" customFormat="1" ht="15" hidden="1" customHeight="1" outlineLevel="1" x14ac:dyDescent="0.3">
      <c r="A48" s="34"/>
      <c r="B48" s="11" t="str">
        <f>CONCATENATE("          ","6004"," - ","STAFF HOURLY")</f>
        <v xml:space="preserve">          6004 - STAFF HOURLY</v>
      </c>
      <c r="C48" s="15"/>
      <c r="D48" s="3">
        <v>610.5</v>
      </c>
      <c r="E48" s="3">
        <v>1109.33</v>
      </c>
      <c r="F48" s="3">
        <v>3890.2</v>
      </c>
      <c r="G48" s="3">
        <v>5152.08</v>
      </c>
      <c r="H48" s="3">
        <v>3988.37</v>
      </c>
      <c r="I48" s="3">
        <v>2991.75</v>
      </c>
      <c r="J48" s="3">
        <v>3151.23</v>
      </c>
      <c r="K48" s="3">
        <v>4089.69</v>
      </c>
      <c r="L48" s="3">
        <v>3489.49</v>
      </c>
      <c r="M48" s="3">
        <v>5423.45</v>
      </c>
      <c r="N48" s="3">
        <v>3444.32</v>
      </c>
      <c r="O48" s="3">
        <v>3444.32</v>
      </c>
      <c r="P48" s="10"/>
      <c r="Q48" s="3">
        <f>SUM(OSRRefD21_1_3x)+IFERROR(SUM(OSRRefE21_1_3x),0)</f>
        <v>40784.729999999996</v>
      </c>
    </row>
    <row r="49" spans="1:17" s="42" customFormat="1" ht="15" hidden="1" customHeight="1" outlineLevel="1" x14ac:dyDescent="0.3">
      <c r="A49" s="34"/>
      <c r="B49" s="11" t="str">
        <f>CONCATENATE("          ","6005"," - ","TEMPORARY WAGES-HOURLY")</f>
        <v xml:space="preserve">          6005 - TEMPORARY WAGES-HOURLY</v>
      </c>
      <c r="C49" s="15"/>
      <c r="D49" s="3"/>
      <c r="E49" s="3"/>
      <c r="F49" s="3">
        <v>1425.28</v>
      </c>
      <c r="G49" s="3">
        <v>2493.6</v>
      </c>
      <c r="H49" s="3">
        <v>1088.5899999999999</v>
      </c>
      <c r="I49" s="3">
        <v>1871.67</v>
      </c>
      <c r="J49" s="3">
        <v>1354.67</v>
      </c>
      <c r="K49" s="3">
        <v>2308.37</v>
      </c>
      <c r="L49" s="3">
        <v>1412.76</v>
      </c>
      <c r="M49" s="3">
        <v>2758.09</v>
      </c>
      <c r="N49" s="3">
        <v>0</v>
      </c>
      <c r="O49" s="3">
        <v>0</v>
      </c>
      <c r="P49" s="10"/>
      <c r="Q49" s="3">
        <f>SUM(OSRRefD21_1_4x)+IFERROR(SUM(OSRRefE21_1_4x),0)</f>
        <v>14713.03</v>
      </c>
    </row>
    <row r="50" spans="1:17" s="42" customFormat="1" ht="15" hidden="1" customHeight="1" outlineLevel="1" x14ac:dyDescent="0.3">
      <c r="A50" s="34"/>
      <c r="B50" s="11" t="str">
        <f>CONCATENATE("          ","6006"," - ","TEMPORARY PART TIME")</f>
        <v xml:space="preserve">          6006 - TEMPORARY PART TIME</v>
      </c>
      <c r="C50" s="15"/>
      <c r="D50" s="3"/>
      <c r="E50" s="3"/>
      <c r="F50" s="3"/>
      <c r="G50" s="3"/>
      <c r="H50" s="3"/>
      <c r="I50" s="3"/>
      <c r="J50" s="3"/>
      <c r="K50" s="3"/>
      <c r="L50" s="3"/>
      <c r="M50" s="3"/>
      <c r="N50" s="3">
        <v>0</v>
      </c>
      <c r="O50" s="3">
        <v>0</v>
      </c>
      <c r="P50" s="10"/>
      <c r="Q50" s="3">
        <f>SUM(OSRRefD21_1_5x)+IFERROR(SUM(OSRRefE21_1_5x),0)</f>
        <v>0</v>
      </c>
    </row>
    <row r="51" spans="1:17" s="42" customFormat="1" ht="15" hidden="1" customHeight="1" outlineLevel="1" x14ac:dyDescent="0.3">
      <c r="A51" s="34"/>
      <c r="B51" s="11" t="str">
        <f>CONCATENATE("          ","6007"," - ","STUDENT HOURLY")</f>
        <v xml:space="preserve">          6007 - STUDENT HOURLY</v>
      </c>
      <c r="C51" s="15"/>
      <c r="D51" s="3">
        <v>4786.5</v>
      </c>
      <c r="E51" s="3">
        <v>6117.37</v>
      </c>
      <c r="F51" s="3">
        <v>1992.89</v>
      </c>
      <c r="G51" s="3">
        <v>1733.5</v>
      </c>
      <c r="H51" s="3">
        <v>1970.89</v>
      </c>
      <c r="I51" s="3">
        <v>2051.54</v>
      </c>
      <c r="J51" s="3">
        <v>4283.21</v>
      </c>
      <c r="K51" s="3">
        <v>1517.19</v>
      </c>
      <c r="L51" s="3">
        <v>4693.97</v>
      </c>
      <c r="M51" s="3">
        <v>3308.81</v>
      </c>
      <c r="N51" s="3">
        <v>0</v>
      </c>
      <c r="O51" s="3">
        <v>3710.76</v>
      </c>
      <c r="P51" s="10"/>
      <c r="Q51" s="3">
        <f>SUM(OSRRefD21_1_6x)+IFERROR(SUM(OSRRefE21_1_6x),0)</f>
        <v>36166.629999999997</v>
      </c>
    </row>
    <row r="52" spans="1:17" s="42" customFormat="1" ht="15" hidden="1" customHeight="1" outlineLevel="1" x14ac:dyDescent="0.3">
      <c r="A52" s="34"/>
      <c r="B52" s="11" t="str">
        <f>CONCATENATE("          ","6008"," - ","STUDENT HOURLY-FICA EXEMPT")</f>
        <v xml:space="preserve">          6008 - STUDENT HOURLY-FICA EXEMPT</v>
      </c>
      <c r="C52" s="15"/>
      <c r="D52" s="3"/>
      <c r="E52" s="3">
        <v>1157.55</v>
      </c>
      <c r="F52" s="3">
        <v>1136.52</v>
      </c>
      <c r="G52" s="3">
        <v>1723.63</v>
      </c>
      <c r="H52" s="3">
        <v>1014.28</v>
      </c>
      <c r="I52" s="3">
        <v>1113.6500000000001</v>
      </c>
      <c r="J52" s="3"/>
      <c r="K52" s="3"/>
      <c r="L52" s="3"/>
      <c r="M52" s="3"/>
      <c r="N52" s="3">
        <v>4309.96</v>
      </c>
      <c r="O52" s="3">
        <v>0</v>
      </c>
      <c r="P52" s="10"/>
      <c r="Q52" s="3">
        <f>SUM(OSRRefD21_1_7x)+IFERROR(SUM(OSRRefE21_1_7x),0)</f>
        <v>10455.59</v>
      </c>
    </row>
    <row r="53" spans="1:17" s="42" customFormat="1" ht="15" hidden="1" customHeight="1" outlineLevel="1" x14ac:dyDescent="0.3">
      <c r="A53" s="34"/>
      <c r="B53" s="11" t="str">
        <f>CONCATENATE("          ","6009"," - ","TEMPORARY-SEASONAL")</f>
        <v xml:space="preserve">          6009 - TEMPORARY-SEASONAL</v>
      </c>
      <c r="C53" s="15"/>
      <c r="D53" s="3"/>
      <c r="E53" s="3"/>
      <c r="F53" s="3"/>
      <c r="G53" s="3"/>
      <c r="H53" s="3"/>
      <c r="I53" s="3"/>
      <c r="J53" s="3"/>
      <c r="K53" s="3"/>
      <c r="L53" s="3"/>
      <c r="M53" s="3"/>
      <c r="N53" s="3">
        <v>0</v>
      </c>
      <c r="O53" s="3">
        <v>0</v>
      </c>
      <c r="P53" s="10"/>
      <c r="Q53" s="3">
        <f>SUM(OSRRefD21_1_8x)+IFERROR(SUM(OSRRefE21_1_8x),0)</f>
        <v>0</v>
      </c>
    </row>
    <row r="54" spans="1:17" s="42" customFormat="1" ht="15" hidden="1" customHeight="1" outlineLevel="1" x14ac:dyDescent="0.3">
      <c r="A54" s="34"/>
      <c r="B54" s="11" t="str">
        <f>CONCATENATE("          ","6010"," - ","GRATUITY")</f>
        <v xml:space="preserve">          6010 - GRATUITY</v>
      </c>
      <c r="C54" s="15"/>
      <c r="D54" s="3"/>
      <c r="E54" s="3"/>
      <c r="F54" s="3"/>
      <c r="G54" s="3"/>
      <c r="H54" s="3"/>
      <c r="I54" s="3"/>
      <c r="J54" s="3"/>
      <c r="K54" s="3"/>
      <c r="L54" s="3"/>
      <c r="M54" s="3"/>
      <c r="N54" s="3">
        <v>0</v>
      </c>
      <c r="O54" s="3">
        <v>0</v>
      </c>
      <c r="P54" s="10"/>
      <c r="Q54" s="3">
        <f>SUM(OSRRefD21_1_9x)+IFERROR(SUM(OSRRefE21_1_9x),0)</f>
        <v>0</v>
      </c>
    </row>
    <row r="55" spans="1:17" s="42" customFormat="1" ht="15" customHeight="1" collapsed="1" x14ac:dyDescent="0.3">
      <c r="A55" s="34"/>
      <c r="B55" s="15" t="str">
        <f>CONCATENATE("     ","Advertising/Promo                                 ")</f>
        <v xml:space="preserve">     Advertising/Promo                                 </v>
      </c>
      <c r="C55" s="15"/>
      <c r="D55" s="2">
        <f>SUM(OSRRefD21_2x_0)</f>
        <v>45.42</v>
      </c>
      <c r="E55" s="2">
        <f>SUM(OSRRefD21_2x_1)</f>
        <v>39.619999999999997</v>
      </c>
      <c r="F55" s="2">
        <f>SUM(OSRRefD21_2x_2)</f>
        <v>19.850000000000001</v>
      </c>
      <c r="G55" s="2">
        <f>SUM(OSRRefD21_2x_3)</f>
        <v>6.62</v>
      </c>
      <c r="H55" s="2">
        <f>SUM(OSRRefD21_2x_4)</f>
        <v>6.62</v>
      </c>
      <c r="I55" s="2">
        <f>SUM(OSRRefD21_2x_5)</f>
        <v>0</v>
      </c>
      <c r="J55" s="2">
        <f>SUM(OSRRefD21_2x_6)</f>
        <v>28.67</v>
      </c>
      <c r="K55" s="2">
        <f>SUM(OSRRefD21_2x_7)</f>
        <v>30.19</v>
      </c>
      <c r="L55" s="2">
        <f>SUM(OSRRefD21_2x_8)</f>
        <v>1.98</v>
      </c>
      <c r="M55" s="2">
        <f>SUM(OSRRefD21_2x_9)</f>
        <v>0</v>
      </c>
      <c r="N55" s="2">
        <f>SUM(OSRRefE21_2x_0)</f>
        <v>200</v>
      </c>
      <c r="O55" s="2">
        <f>SUM(OSRRefE21_2x_1)</f>
        <v>200</v>
      </c>
      <c r="Q55" s="3">
        <f>SUM(OSRRefD20_2x)+IFERROR(SUM(OSRRefE20_2x),0)</f>
        <v>578.97</v>
      </c>
    </row>
    <row r="56" spans="1:17" s="42" customFormat="1" ht="15" hidden="1" customHeight="1" outlineLevel="1" x14ac:dyDescent="0.3">
      <c r="A56" s="34"/>
      <c r="B56" s="11" t="str">
        <f>CONCATENATE("          ","6362"," - ","ADVERTISING EXPENSE")</f>
        <v xml:space="preserve">          6362 - ADVERTISING EXPENSE</v>
      </c>
      <c r="C56" s="15"/>
      <c r="D56" s="3">
        <v>45.42</v>
      </c>
      <c r="E56" s="3">
        <v>39.619999999999997</v>
      </c>
      <c r="F56" s="3">
        <v>19.850000000000001</v>
      </c>
      <c r="G56" s="3">
        <v>6.62</v>
      </c>
      <c r="H56" s="3">
        <v>6.62</v>
      </c>
      <c r="I56" s="3"/>
      <c r="J56" s="3">
        <v>28.67</v>
      </c>
      <c r="K56" s="3">
        <v>30.19</v>
      </c>
      <c r="L56" s="3">
        <v>1.98</v>
      </c>
      <c r="M56" s="3"/>
      <c r="N56" s="3">
        <v>200</v>
      </c>
      <c r="O56" s="3">
        <v>200</v>
      </c>
      <c r="P56" s="10"/>
      <c r="Q56" s="3">
        <f>SUM(OSRRefD21_2_0x)+IFERROR(SUM(OSRRefE21_2_0x),0)</f>
        <v>578.97</v>
      </c>
    </row>
    <row r="57" spans="1:17" s="42" customFormat="1" ht="15" customHeight="1" collapsed="1" x14ac:dyDescent="0.3">
      <c r="A57" s="34"/>
      <c r="B57" s="15" t="str">
        <f>CONCATENATE("     ","Depreciation                                      ")</f>
        <v xml:space="preserve">     Depreciation                                      </v>
      </c>
      <c r="C57" s="15"/>
      <c r="D57" s="2">
        <f>SUM(OSRRefD21_3x_0)</f>
        <v>280.44</v>
      </c>
      <c r="E57" s="2">
        <f>SUM(OSRRefD21_3x_1)</f>
        <v>280.44</v>
      </c>
      <c r="F57" s="2">
        <f>SUM(OSRRefD21_3x_2)</f>
        <v>280.44</v>
      </c>
      <c r="G57" s="2">
        <f>SUM(OSRRefD21_3x_3)</f>
        <v>280.44</v>
      </c>
      <c r="H57" s="2">
        <f>SUM(OSRRefD21_3x_4)</f>
        <v>280.44</v>
      </c>
      <c r="I57" s="2">
        <f>SUM(OSRRefD21_3x_5)</f>
        <v>280.44</v>
      </c>
      <c r="J57" s="2">
        <f>SUM(OSRRefD21_3x_6)</f>
        <v>280.44</v>
      </c>
      <c r="K57" s="2">
        <f>SUM(OSRRefD21_3x_7)</f>
        <v>280.44</v>
      </c>
      <c r="L57" s="2">
        <f>SUM(OSRRefD21_3x_8)</f>
        <v>280.44</v>
      </c>
      <c r="M57" s="2">
        <f>SUM(OSRRefD21_3x_9)</f>
        <v>280.44</v>
      </c>
      <c r="N57" s="2">
        <f>SUM(OSRRefE21_3x_0)</f>
        <v>0</v>
      </c>
      <c r="O57" s="2">
        <f>SUM(OSRRefE21_3x_1)</f>
        <v>0</v>
      </c>
      <c r="Q57" s="3">
        <f>SUM(OSRRefD20_3x)+IFERROR(SUM(OSRRefE20_3x),0)</f>
        <v>2804.4</v>
      </c>
    </row>
    <row r="58" spans="1:17" s="42" customFormat="1" ht="15" hidden="1" customHeight="1" outlineLevel="1" x14ac:dyDescent="0.3">
      <c r="A58" s="34"/>
      <c r="B58" s="11" t="str">
        <f>CONCATENATE("          ","6322"," - ","EQUIPMENT DEPRECIATION EXPENSE")</f>
        <v xml:space="preserve">          6322 - EQUIPMENT DEPRECIATION EXPENSE</v>
      </c>
      <c r="C58" s="15"/>
      <c r="D58" s="3">
        <v>280.44</v>
      </c>
      <c r="E58" s="3">
        <v>280.44</v>
      </c>
      <c r="F58" s="3">
        <v>280.44</v>
      </c>
      <c r="G58" s="3">
        <v>280.44</v>
      </c>
      <c r="H58" s="3">
        <v>280.44</v>
      </c>
      <c r="I58" s="3">
        <v>280.44</v>
      </c>
      <c r="J58" s="3">
        <v>280.44</v>
      </c>
      <c r="K58" s="3">
        <v>280.44</v>
      </c>
      <c r="L58" s="3">
        <v>280.44</v>
      </c>
      <c r="M58" s="3">
        <v>280.44</v>
      </c>
      <c r="N58" s="3"/>
      <c r="O58" s="3"/>
      <c r="P58" s="10"/>
      <c r="Q58" s="3">
        <f>SUM(OSRRefD21_3_0x)+IFERROR(SUM(OSRRefE21_3_0x),0)</f>
        <v>2804.4</v>
      </c>
    </row>
    <row r="59" spans="1:17" s="42" customFormat="1" ht="15" customHeight="1" collapsed="1" x14ac:dyDescent="0.3">
      <c r="A59" s="34"/>
      <c r="B59" s="15" t="str">
        <f>CONCATENATE("     ","Employees' Appreciation                           ")</f>
        <v xml:space="preserve">     Employees' Appreciation                           </v>
      </c>
      <c r="C59" s="15"/>
      <c r="D59" s="2">
        <f>SUM(OSRRefD21_4x_0)</f>
        <v>0</v>
      </c>
      <c r="E59" s="2">
        <f>SUM(OSRRefD21_4x_1)</f>
        <v>0</v>
      </c>
      <c r="F59" s="2">
        <f>SUM(OSRRefD21_4x_2)</f>
        <v>0</v>
      </c>
      <c r="G59" s="2">
        <f>SUM(OSRRefD21_4x_3)</f>
        <v>0</v>
      </c>
      <c r="H59" s="2">
        <f>SUM(OSRRefD21_4x_4)</f>
        <v>0</v>
      </c>
      <c r="I59" s="2">
        <f>SUM(OSRRefD21_4x_5)</f>
        <v>0</v>
      </c>
      <c r="J59" s="2">
        <f>SUM(OSRRefD21_4x_6)</f>
        <v>0</v>
      </c>
      <c r="K59" s="2">
        <f>SUM(OSRRefD21_4x_7)</f>
        <v>0</v>
      </c>
      <c r="L59" s="2">
        <f>SUM(OSRRefD21_4x_8)</f>
        <v>0</v>
      </c>
      <c r="M59" s="2">
        <f>SUM(OSRRefD21_4x_9)</f>
        <v>0</v>
      </c>
      <c r="N59" s="2">
        <f>SUM(OSRRefE21_4x_0)</f>
        <v>20</v>
      </c>
      <c r="O59" s="2">
        <f>SUM(OSRRefE21_4x_1)</f>
        <v>20</v>
      </c>
      <c r="Q59" s="3">
        <f>SUM(OSRRefD20_4x)+IFERROR(SUM(OSRRefE20_4x),0)</f>
        <v>40</v>
      </c>
    </row>
    <row r="60" spans="1:17" s="42" customFormat="1" ht="15" hidden="1" customHeight="1" outlineLevel="1" x14ac:dyDescent="0.3">
      <c r="A60" s="34"/>
      <c r="B60" s="11" t="str">
        <f>CONCATENATE("          ","6277"," - ","EMPLOYEE APPRECIATION")</f>
        <v xml:space="preserve">          6277 - EMPLOYEE APPRECIATION</v>
      </c>
      <c r="C60" s="15"/>
      <c r="D60" s="3"/>
      <c r="E60" s="3"/>
      <c r="F60" s="3"/>
      <c r="G60" s="3"/>
      <c r="H60" s="3"/>
      <c r="I60" s="3"/>
      <c r="J60" s="3"/>
      <c r="K60" s="3"/>
      <c r="L60" s="3"/>
      <c r="M60" s="3"/>
      <c r="N60" s="3">
        <v>20</v>
      </c>
      <c r="O60" s="3">
        <v>20</v>
      </c>
      <c r="P60" s="10"/>
      <c r="Q60" s="3">
        <f>SUM(OSRRefD21_4_0x)+IFERROR(SUM(OSRRefE21_4_0x),0)</f>
        <v>40</v>
      </c>
    </row>
    <row r="61" spans="1:17" s="42" customFormat="1" ht="15" customHeight="1" collapsed="1" x14ac:dyDescent="0.3">
      <c r="A61" s="34"/>
      <c r="B61" s="15" t="str">
        <f>CONCATENATE("     ","Freight out/Postage                               ")</f>
        <v xml:space="preserve">     Freight out/Postage                               </v>
      </c>
      <c r="C61" s="15"/>
      <c r="D61" s="2">
        <f>SUM(OSRRefD21_5x_0)</f>
        <v>93.19</v>
      </c>
      <c r="E61" s="2">
        <f>SUM(OSRRefD21_5x_1)</f>
        <v>0</v>
      </c>
      <c r="F61" s="2">
        <f>SUM(OSRRefD21_5x_2)</f>
        <v>23.18</v>
      </c>
      <c r="G61" s="2">
        <f>SUM(OSRRefD21_5x_3)</f>
        <v>5.42</v>
      </c>
      <c r="H61" s="2">
        <f>SUM(OSRRefD21_5x_4)</f>
        <v>0.34</v>
      </c>
      <c r="I61" s="2">
        <f>SUM(OSRRefD21_5x_5)</f>
        <v>0</v>
      </c>
      <c r="J61" s="2">
        <f>SUM(OSRRefD21_5x_6)</f>
        <v>0</v>
      </c>
      <c r="K61" s="2">
        <f>SUM(OSRRefD21_5x_7)</f>
        <v>0</v>
      </c>
      <c r="L61" s="2">
        <f>SUM(OSRRefD21_5x_8)</f>
        <v>0</v>
      </c>
      <c r="M61" s="2">
        <f>SUM(OSRRefD21_5x_9)</f>
        <v>0</v>
      </c>
      <c r="N61" s="2">
        <f>SUM(OSRRefE21_5x_0)</f>
        <v>15</v>
      </c>
      <c r="O61" s="2">
        <f>SUM(OSRRefE21_5x_1)</f>
        <v>15</v>
      </c>
      <c r="Q61" s="3">
        <f>SUM(OSRRefD20_5x)+IFERROR(SUM(OSRRefE20_5x),0)</f>
        <v>152.13</v>
      </c>
    </row>
    <row r="62" spans="1:17" s="42" customFormat="1" ht="15" hidden="1" customHeight="1" outlineLevel="1" x14ac:dyDescent="0.3">
      <c r="A62" s="34"/>
      <c r="B62" s="11" t="str">
        <f>CONCATENATE("          ","6305"," - ","FREIGHT OUT")</f>
        <v xml:space="preserve">          6305 - FREIGHT OUT</v>
      </c>
      <c r="C62" s="15"/>
      <c r="D62" s="3">
        <v>93.19</v>
      </c>
      <c r="E62" s="3"/>
      <c r="F62" s="3">
        <v>23.18</v>
      </c>
      <c r="G62" s="3">
        <v>5.42</v>
      </c>
      <c r="H62" s="3">
        <v>0.34</v>
      </c>
      <c r="I62" s="3"/>
      <c r="J62" s="3"/>
      <c r="K62" s="3"/>
      <c r="L62" s="3"/>
      <c r="M62" s="3"/>
      <c r="N62" s="3">
        <v>15</v>
      </c>
      <c r="O62" s="3">
        <v>15</v>
      </c>
      <c r="P62" s="10"/>
      <c r="Q62" s="3">
        <f>SUM(OSRRefD21_5_0x)+IFERROR(SUM(OSRRefE21_5_0x),0)</f>
        <v>152.13</v>
      </c>
    </row>
    <row r="63" spans="1:17" s="42" customFormat="1" ht="15" customHeight="1" collapsed="1" x14ac:dyDescent="0.3">
      <c r="A63" s="34"/>
      <c r="B63" s="15" t="str">
        <f>CONCATENATE("     ","General                                           ")</f>
        <v xml:space="preserve">     General                                           </v>
      </c>
      <c r="C63" s="15"/>
      <c r="D63" s="2">
        <f>SUM(OSRRefD21_6x_0)</f>
        <v>0</v>
      </c>
      <c r="E63" s="2">
        <f>SUM(OSRRefD21_6x_1)</f>
        <v>0</v>
      </c>
      <c r="F63" s="2">
        <f>SUM(OSRRefD21_6x_2)</f>
        <v>0</v>
      </c>
      <c r="G63" s="2">
        <f>SUM(OSRRefD21_6x_3)</f>
        <v>0</v>
      </c>
      <c r="H63" s="2">
        <f>SUM(OSRRefD21_6x_4)</f>
        <v>0</v>
      </c>
      <c r="I63" s="2">
        <f>SUM(OSRRefD21_6x_5)</f>
        <v>0</v>
      </c>
      <c r="J63" s="2">
        <f>SUM(OSRRefD21_6x_6)</f>
        <v>0</v>
      </c>
      <c r="K63" s="2">
        <f>SUM(OSRRefD21_6x_7)</f>
        <v>0</v>
      </c>
      <c r="L63" s="2">
        <f>SUM(OSRRefD21_6x_8)</f>
        <v>0</v>
      </c>
      <c r="M63" s="2">
        <f>SUM(OSRRefD21_6x_9)</f>
        <v>285</v>
      </c>
      <c r="N63" s="2">
        <f>SUM(OSRRefE21_6x_0)</f>
        <v>30</v>
      </c>
      <c r="O63" s="2">
        <f>SUM(OSRRefE21_6x_1)</f>
        <v>30</v>
      </c>
      <c r="Q63" s="3">
        <f>SUM(OSRRefD20_6x)+IFERROR(SUM(OSRRefE20_6x),0)</f>
        <v>345</v>
      </c>
    </row>
    <row r="64" spans="1:17" s="42" customFormat="1" ht="15" hidden="1" customHeight="1" outlineLevel="1" x14ac:dyDescent="0.3">
      <c r="A64" s="34"/>
      <c r="B64" s="11" t="str">
        <f>CONCATENATE("          ","6279"," - ","GENERAL EXPENSE")</f>
        <v xml:space="preserve">          6279 - GENERAL EXPENSE</v>
      </c>
      <c r="C64" s="15"/>
      <c r="D64" s="3"/>
      <c r="E64" s="3"/>
      <c r="F64" s="3"/>
      <c r="G64" s="3"/>
      <c r="H64" s="3"/>
      <c r="I64" s="3"/>
      <c r="J64" s="3"/>
      <c r="K64" s="3"/>
      <c r="L64" s="3"/>
      <c r="M64" s="3">
        <v>285</v>
      </c>
      <c r="N64" s="3">
        <v>30</v>
      </c>
      <c r="O64" s="3">
        <v>30</v>
      </c>
      <c r="P64" s="10"/>
      <c r="Q64" s="3">
        <f>SUM(OSRRefD21_6_0x)+IFERROR(SUM(OSRRefE21_6_0x),0)</f>
        <v>345</v>
      </c>
    </row>
    <row r="65" spans="1:17" s="42" customFormat="1" ht="15" customHeight="1" collapsed="1" x14ac:dyDescent="0.3">
      <c r="A65" s="34"/>
      <c r="B65" s="15" t="str">
        <f>CONCATENATE("     ","Inventory Adjustment                              ")</f>
        <v xml:space="preserve">     Inventory Adjustment                              </v>
      </c>
      <c r="C65" s="15"/>
      <c r="D65" s="2">
        <f>SUM(OSRRefD21_7x_0)</f>
        <v>1470</v>
      </c>
      <c r="E65" s="2">
        <f>SUM(OSRRefD21_7x_1)</f>
        <v>2020</v>
      </c>
      <c r="F65" s="2">
        <f>SUM(OSRRefD21_7x_2)</f>
        <v>590</v>
      </c>
      <c r="G65" s="2">
        <f>SUM(OSRRefD21_7x_3)</f>
        <v>590</v>
      </c>
      <c r="H65" s="2">
        <f>SUM(OSRRefD21_7x_4)</f>
        <v>630</v>
      </c>
      <c r="I65" s="2">
        <f>SUM(OSRRefD21_7x_5)</f>
        <v>340</v>
      </c>
      <c r="J65" s="2">
        <f>SUM(OSRRefD21_7x_6)</f>
        <v>970</v>
      </c>
      <c r="K65" s="2">
        <f>SUM(OSRRefD21_7x_7)</f>
        <v>590</v>
      </c>
      <c r="L65" s="2">
        <f>SUM(OSRRefD21_7x_8)</f>
        <v>340</v>
      </c>
      <c r="M65" s="2">
        <f>SUM(OSRRefD21_7x_9)</f>
        <v>1100</v>
      </c>
      <c r="N65" s="2">
        <f>SUM(OSRRefE21_7x_0)</f>
        <v>2100</v>
      </c>
      <c r="O65" s="2">
        <f>SUM(OSRRefE21_7x_1)</f>
        <v>550</v>
      </c>
      <c r="Q65" s="3">
        <f>SUM(OSRRefD20_7x)+IFERROR(SUM(OSRRefE20_7x),0)</f>
        <v>11290</v>
      </c>
    </row>
    <row r="66" spans="1:17" s="42" customFormat="1" ht="15" hidden="1" customHeight="1" outlineLevel="1" x14ac:dyDescent="0.3">
      <c r="A66" s="34"/>
      <c r="B66" s="11" t="str">
        <f>CONCATENATE("          ","6408"," - ","INVENTORY ADJUSTMENT")</f>
        <v xml:space="preserve">          6408 - INVENTORY ADJUSTMENT</v>
      </c>
      <c r="C66" s="15"/>
      <c r="D66" s="3">
        <v>1470</v>
      </c>
      <c r="E66" s="3">
        <v>2020</v>
      </c>
      <c r="F66" s="3">
        <v>590</v>
      </c>
      <c r="G66" s="3">
        <v>590</v>
      </c>
      <c r="H66" s="3">
        <v>630</v>
      </c>
      <c r="I66" s="3">
        <v>340</v>
      </c>
      <c r="J66" s="3">
        <v>970</v>
      </c>
      <c r="K66" s="3">
        <v>590</v>
      </c>
      <c r="L66" s="3">
        <v>340</v>
      </c>
      <c r="M66" s="3">
        <v>1100</v>
      </c>
      <c r="N66" s="3">
        <v>2100</v>
      </c>
      <c r="O66" s="3">
        <v>550</v>
      </c>
      <c r="P66" s="10"/>
      <c r="Q66" s="3">
        <f>SUM(OSRRefD21_7_0x)+IFERROR(SUM(OSRRefE21_7_0x),0)</f>
        <v>11290</v>
      </c>
    </row>
    <row r="67" spans="1:17" s="42" customFormat="1" ht="15" customHeight="1" collapsed="1" x14ac:dyDescent="0.3">
      <c r="A67" s="34"/>
      <c r="B67" s="15" t="str">
        <f>CONCATENATE("     ","Repair and Maintenance                            ")</f>
        <v xml:space="preserve">     Repair and Maintenance                            </v>
      </c>
      <c r="C67" s="15"/>
      <c r="D67" s="2">
        <f>SUM(OSRRefD21_8x_0)</f>
        <v>0</v>
      </c>
      <c r="E67" s="2">
        <f>SUM(OSRRefD21_8x_1)</f>
        <v>0</v>
      </c>
      <c r="F67" s="2">
        <f>SUM(OSRRefD21_8x_2)</f>
        <v>0</v>
      </c>
      <c r="G67" s="2">
        <f>SUM(OSRRefD21_8x_3)</f>
        <v>0</v>
      </c>
      <c r="H67" s="2">
        <f>SUM(OSRRefD21_8x_4)</f>
        <v>0</v>
      </c>
      <c r="I67" s="2">
        <f>SUM(OSRRefD21_8x_5)</f>
        <v>0</v>
      </c>
      <c r="J67" s="2">
        <f>SUM(OSRRefD21_8x_6)</f>
        <v>0</v>
      </c>
      <c r="K67" s="2">
        <f>SUM(OSRRefD21_8x_7)</f>
        <v>0</v>
      </c>
      <c r="L67" s="2">
        <f>SUM(OSRRefD21_8x_8)</f>
        <v>1550</v>
      </c>
      <c r="M67" s="2">
        <f>SUM(OSRRefD21_8x_9)</f>
        <v>0</v>
      </c>
      <c r="N67" s="2">
        <f>SUM(OSRRefE21_8x_0)</f>
        <v>0</v>
      </c>
      <c r="O67" s="2">
        <f>SUM(OSRRefE21_8x_1)</f>
        <v>0</v>
      </c>
      <c r="Q67" s="3">
        <f>SUM(OSRRefD20_8x)+IFERROR(SUM(OSRRefE20_8x),0)</f>
        <v>1550</v>
      </c>
    </row>
    <row r="68" spans="1:17" s="42" customFormat="1" ht="15" hidden="1" customHeight="1" outlineLevel="1" x14ac:dyDescent="0.3">
      <c r="A68" s="34"/>
      <c r="B68" s="11" t="str">
        <f>CONCATENATE("          ","6371"," - ","COMPUTER SOFTWARE MAINTENANCE")</f>
        <v xml:space="preserve">          6371 - COMPUTER SOFTWARE MAINTENANCE</v>
      </c>
      <c r="C68" s="15"/>
      <c r="D68" s="3"/>
      <c r="E68" s="3"/>
      <c r="F68" s="3"/>
      <c r="G68" s="3"/>
      <c r="H68" s="3"/>
      <c r="I68" s="3"/>
      <c r="J68" s="3"/>
      <c r="K68" s="3"/>
      <c r="L68" s="3">
        <v>1550</v>
      </c>
      <c r="M68" s="3"/>
      <c r="N68" s="3"/>
      <c r="O68" s="3"/>
      <c r="P68" s="10"/>
      <c r="Q68" s="3">
        <f>SUM(OSRRefD21_8_0x)+IFERROR(SUM(OSRRefE21_8_0x),0)</f>
        <v>1550</v>
      </c>
    </row>
    <row r="69" spans="1:17" s="42" customFormat="1" ht="15" customHeight="1" collapsed="1" x14ac:dyDescent="0.3">
      <c r="A69" s="34"/>
      <c r="B69" s="15" t="str">
        <f>CONCATENATE("     ","Supplies                                          ")</f>
        <v xml:space="preserve">     Supplies                                          </v>
      </c>
      <c r="C69" s="15"/>
      <c r="D69" s="2">
        <f>SUM(OSRRefD21_9x_0)</f>
        <v>2041.8</v>
      </c>
      <c r="E69" s="2">
        <f>SUM(OSRRefD21_9x_1)</f>
        <v>1167.48</v>
      </c>
      <c r="F69" s="2">
        <f>SUM(OSRRefD21_9x_2)</f>
        <v>-150.09</v>
      </c>
      <c r="G69" s="2">
        <f>SUM(OSRRefD21_9x_3)</f>
        <v>159.5</v>
      </c>
      <c r="H69" s="2">
        <f>SUM(OSRRefD21_9x_4)</f>
        <v>57.42</v>
      </c>
      <c r="I69" s="2">
        <f>SUM(OSRRefD21_9x_5)</f>
        <v>31.35</v>
      </c>
      <c r="J69" s="2">
        <f>SUM(OSRRefD21_9x_6)</f>
        <v>11.04</v>
      </c>
      <c r="K69" s="2">
        <f>SUM(OSRRefD21_9x_7)</f>
        <v>63.25</v>
      </c>
      <c r="L69" s="2">
        <f>SUM(OSRRefD21_9x_8)</f>
        <v>0</v>
      </c>
      <c r="M69" s="2">
        <f>SUM(OSRRefD21_9x_9)</f>
        <v>1549.15</v>
      </c>
      <c r="N69" s="2">
        <f>SUM(OSRRefE21_9x_0)</f>
        <v>310</v>
      </c>
      <c r="O69" s="2">
        <f>SUM(OSRRefE21_9x_1)</f>
        <v>310</v>
      </c>
      <c r="Q69" s="3">
        <f>SUM(OSRRefD20_9x)+IFERROR(SUM(OSRRefE20_9x),0)</f>
        <v>5550.9</v>
      </c>
    </row>
    <row r="70" spans="1:17" s="42" customFormat="1" ht="15" hidden="1" customHeight="1" outlineLevel="1" x14ac:dyDescent="0.3">
      <c r="A70" s="34"/>
      <c r="B70" s="11" t="str">
        <f>CONCATENATE("          ","6241"," - ","OFFICE EXPENSE")</f>
        <v xml:space="preserve">          6241 - OFFICE EXPENSE</v>
      </c>
      <c r="C70" s="15"/>
      <c r="D70" s="3">
        <v>8.8000000000000007</v>
      </c>
      <c r="E70" s="3">
        <v>288.48</v>
      </c>
      <c r="F70" s="3">
        <v>-150.09</v>
      </c>
      <c r="G70" s="3">
        <v>159.5</v>
      </c>
      <c r="H70" s="3">
        <v>57.42</v>
      </c>
      <c r="I70" s="3">
        <v>31.35</v>
      </c>
      <c r="J70" s="3">
        <v>11.04</v>
      </c>
      <c r="K70" s="3">
        <v>63.25</v>
      </c>
      <c r="L70" s="3"/>
      <c r="M70" s="3">
        <v>1549.15</v>
      </c>
      <c r="N70" s="3">
        <v>110</v>
      </c>
      <c r="O70" s="3">
        <v>110</v>
      </c>
      <c r="P70" s="10"/>
      <c r="Q70" s="3">
        <f>SUM(OSRRefD21_9_0x)+IFERROR(SUM(OSRRefE21_9_0x),0)</f>
        <v>2238.9</v>
      </c>
    </row>
    <row r="71" spans="1:17" s="42" customFormat="1" ht="15" hidden="1" customHeight="1" outlineLevel="1" x14ac:dyDescent="0.3">
      <c r="A71" s="34"/>
      <c r="B71" s="11" t="str">
        <f>CONCATENATE("          ","6247"," - ","STORE SUPPLIES")</f>
        <v xml:space="preserve">          6247 - STORE SUPPLIES</v>
      </c>
      <c r="C71" s="15"/>
      <c r="D71" s="3">
        <v>2033</v>
      </c>
      <c r="E71" s="3">
        <v>879</v>
      </c>
      <c r="F71" s="3"/>
      <c r="G71" s="3"/>
      <c r="H71" s="3"/>
      <c r="I71" s="3"/>
      <c r="J71" s="3"/>
      <c r="K71" s="3"/>
      <c r="L71" s="3"/>
      <c r="M71" s="3"/>
      <c r="N71" s="3">
        <v>200</v>
      </c>
      <c r="O71" s="3">
        <v>200</v>
      </c>
      <c r="P71" s="10"/>
      <c r="Q71" s="3">
        <f>SUM(OSRRefD21_9_1x)+IFERROR(SUM(OSRRefE21_9_1x),0)</f>
        <v>3312</v>
      </c>
    </row>
    <row r="72" spans="1:17" s="42" customFormat="1" ht="15" customHeight="1" collapsed="1" x14ac:dyDescent="0.3">
      <c r="A72" s="34"/>
      <c r="B72" s="15" t="str">
        <f>CONCATENATE("     ","Telephone/Data Lines                              ")</f>
        <v xml:space="preserve">     Telephone/Data Lines                              </v>
      </c>
      <c r="C72" s="15"/>
      <c r="D72" s="2">
        <f>SUM(OSRRefD21_10x_0)</f>
        <v>283.3</v>
      </c>
      <c r="E72" s="2">
        <f>SUM(OSRRefD21_10x_1)</f>
        <v>168.2</v>
      </c>
      <c r="F72" s="2">
        <f>SUM(OSRRefD21_10x_2)</f>
        <v>194.95</v>
      </c>
      <c r="G72" s="2">
        <f>SUM(OSRRefD21_10x_3)</f>
        <v>203.45</v>
      </c>
      <c r="H72" s="2">
        <f>SUM(OSRRefD21_10x_4)</f>
        <v>205.5</v>
      </c>
      <c r="I72" s="2">
        <f>SUM(OSRRefD21_10x_5)</f>
        <v>206.95</v>
      </c>
      <c r="J72" s="2">
        <f>SUM(OSRRefD21_10x_6)</f>
        <v>203.25</v>
      </c>
      <c r="K72" s="2">
        <f>SUM(OSRRefD21_10x_7)</f>
        <v>179.73</v>
      </c>
      <c r="L72" s="2">
        <f>SUM(OSRRefD21_10x_8)</f>
        <v>159.41</v>
      </c>
      <c r="M72" s="2">
        <f>SUM(OSRRefD21_10x_9)</f>
        <v>110.47</v>
      </c>
      <c r="N72" s="2">
        <f>SUM(OSRRefE21_10x_0)</f>
        <v>325</v>
      </c>
      <c r="O72" s="2">
        <f>SUM(OSRRefE21_10x_1)</f>
        <v>325</v>
      </c>
      <c r="Q72" s="3">
        <f>SUM(OSRRefD20_10x)+IFERROR(SUM(OSRRefE20_10x),0)</f>
        <v>2565.21</v>
      </c>
    </row>
    <row r="73" spans="1:17" s="42" customFormat="1" ht="15" hidden="1" customHeight="1" outlineLevel="1" x14ac:dyDescent="0.3">
      <c r="A73" s="34"/>
      <c r="B73" s="11" t="str">
        <f>CONCATENATE("          ","6309"," - ","TELEPHONE")</f>
        <v xml:space="preserve">          6309 - TELEPHONE</v>
      </c>
      <c r="C73" s="15"/>
      <c r="D73" s="3">
        <v>283.3</v>
      </c>
      <c r="E73" s="3">
        <v>168.2</v>
      </c>
      <c r="F73" s="3">
        <v>194.95</v>
      </c>
      <c r="G73" s="3">
        <v>203.45</v>
      </c>
      <c r="H73" s="3">
        <v>205.5</v>
      </c>
      <c r="I73" s="3">
        <v>206.95</v>
      </c>
      <c r="J73" s="3">
        <v>203.25</v>
      </c>
      <c r="K73" s="3">
        <v>179.73</v>
      </c>
      <c r="L73" s="3">
        <v>159.41</v>
      </c>
      <c r="M73" s="3">
        <v>110.47</v>
      </c>
      <c r="N73" s="3">
        <v>325</v>
      </c>
      <c r="O73" s="3">
        <v>325</v>
      </c>
      <c r="P73" s="10"/>
      <c r="Q73" s="3">
        <f>SUM(OSRRefD21_10_0x)+IFERROR(SUM(OSRRefE21_10_0x),0)</f>
        <v>2565.21</v>
      </c>
    </row>
    <row r="74" spans="1:17" s="40" customFormat="1" ht="15" customHeight="1" x14ac:dyDescent="0.3">
      <c r="A74" s="22"/>
      <c r="B74" s="22"/>
      <c r="C74" s="2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Q74" s="2"/>
    </row>
    <row r="75" spans="1:17" s="39" customFormat="1" ht="15" customHeight="1" x14ac:dyDescent="0.3">
      <c r="A75" s="24"/>
      <c r="B75" s="17" t="s">
        <v>287</v>
      </c>
      <c r="C75" s="23"/>
      <c r="D75" s="4">
        <f>--193.38</f>
        <v>193.38</v>
      </c>
      <c r="E75" s="4">
        <f>--2187.95</f>
        <v>2187.9499999999998</v>
      </c>
      <c r="F75" s="4">
        <f>--390.11</f>
        <v>390.11</v>
      </c>
      <c r="G75" s="4">
        <f>-964.19</f>
        <v>-964.19</v>
      </c>
      <c r="H75" s="4">
        <f>-88.84</f>
        <v>-88.84</v>
      </c>
      <c r="I75" s="4">
        <f>--879.62</f>
        <v>879.62</v>
      </c>
      <c r="J75" s="4">
        <f>--1242.72</f>
        <v>1242.72</v>
      </c>
      <c r="K75" s="4">
        <f>--613.26</f>
        <v>613.26</v>
      </c>
      <c r="L75" s="4">
        <f>-1113.07</f>
        <v>-1113.07</v>
      </c>
      <c r="M75" s="4">
        <f>--1497.14</f>
        <v>1497.14</v>
      </c>
      <c r="N75" s="4">
        <v>829</v>
      </c>
      <c r="O75" s="4">
        <v>2424</v>
      </c>
      <c r="Q75" s="3">
        <f>SUM(OSRRefD23_0x)+IFERROR(SUM(OSRRefE23_0x),0)</f>
        <v>8091.0800000000008</v>
      </c>
    </row>
    <row r="76" spans="1:17" ht="15" customHeight="1" x14ac:dyDescent="0.3">
      <c r="A76" s="6"/>
      <c r="B76" s="7"/>
      <c r="C76" s="7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Q76" s="4"/>
    </row>
    <row r="77" spans="1:17" s="37" customFormat="1" ht="15" customHeight="1" x14ac:dyDescent="0.3">
      <c r="A77" s="7"/>
      <c r="B77" s="18" t="s">
        <v>288</v>
      </c>
      <c r="C77" s="18"/>
      <c r="D77" s="9">
        <f t="shared" ref="D77:O77" si="2">IFERROR(+D29-D32+D75,0)</f>
        <v>-3756.4600000000146</v>
      </c>
      <c r="E77" s="9">
        <f t="shared" si="2"/>
        <v>39728.07</v>
      </c>
      <c r="F77" s="9">
        <f t="shared" si="2"/>
        <v>45781.109999999971</v>
      </c>
      <c r="G77" s="9">
        <f t="shared" si="2"/>
        <v>-18125.249999999993</v>
      </c>
      <c r="H77" s="9">
        <f t="shared" si="2"/>
        <v>-3242.8400000000074</v>
      </c>
      <c r="I77" s="9">
        <f t="shared" si="2"/>
        <v>1962.4199999999864</v>
      </c>
      <c r="J77" s="9">
        <f t="shared" si="2"/>
        <v>9715.6400000000158</v>
      </c>
      <c r="K77" s="9">
        <f t="shared" si="2"/>
        <v>4313.6800000000167</v>
      </c>
      <c r="L77" s="9">
        <f t="shared" si="2"/>
        <v>68009.170000000027</v>
      </c>
      <c r="M77" s="9">
        <f t="shared" si="2"/>
        <v>8947.9600000000391</v>
      </c>
      <c r="N77" s="9">
        <f t="shared" si="2"/>
        <v>26011.266523130002</v>
      </c>
      <c r="O77" s="9">
        <f t="shared" si="2"/>
        <v>-67.936099669999749</v>
      </c>
      <c r="Q77" s="9">
        <f>IFERROR(+Q29-Q32+Q75,0)</f>
        <v>179276.83042345947</v>
      </c>
    </row>
    <row r="78" spans="1:17" s="38" customFormat="1" ht="15" customHeight="1" x14ac:dyDescent="0.3">
      <c r="B78" s="17"/>
      <c r="C78" s="17"/>
      <c r="D78" s="5">
        <f t="shared" ref="D78:O78" si="3">IFERROR(D77/D10,0)</f>
        <v>-3.9414603231895634E-2</v>
      </c>
      <c r="E78" s="5">
        <f t="shared" si="3"/>
        <v>0.11569926596272392</v>
      </c>
      <c r="F78" s="5">
        <f t="shared" si="3"/>
        <v>0.26181578052065752</v>
      </c>
      <c r="G78" s="5">
        <f t="shared" si="3"/>
        <v>-0.1426737583008415</v>
      </c>
      <c r="H78" s="5">
        <f t="shared" si="3"/>
        <v>-3.5047211777308858E-2</v>
      </c>
      <c r="I78" s="5">
        <f t="shared" si="3"/>
        <v>1.4695115773402984E-2</v>
      </c>
      <c r="J78" s="5">
        <f t="shared" si="3"/>
        <v>6.2368779019793097E-2</v>
      </c>
      <c r="K78" s="5">
        <f t="shared" si="3"/>
        <v>2.517478485313308E-2</v>
      </c>
      <c r="L78" s="5">
        <f t="shared" si="3"/>
        <v>0.14891578091241189</v>
      </c>
      <c r="M78" s="5">
        <f t="shared" si="3"/>
        <v>2.7958388308567242E-2</v>
      </c>
      <c r="N78" s="5">
        <f t="shared" si="3"/>
        <v>6.7051443619029205E-2</v>
      </c>
      <c r="O78" s="5">
        <f t="shared" si="3"/>
        <v>-6.388814669538044E-4</v>
      </c>
      <c r="P78" s="19"/>
      <c r="Q78" s="5">
        <f>IFERROR(Q77/Q10,0)</f>
        <v>6.9899401575785058E-2</v>
      </c>
    </row>
    <row r="79" spans="1:17" ht="15" customHeight="1" x14ac:dyDescent="0.3">
      <c r="A79" s="6"/>
      <c r="B79" s="7"/>
      <c r="C79" s="6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Q79" s="4"/>
    </row>
    <row r="80" spans="1:17" s="37" customFormat="1" ht="15" customHeight="1" x14ac:dyDescent="0.3">
      <c r="A80" s="26"/>
      <c r="B80" s="7" t="s">
        <v>289</v>
      </c>
      <c r="C80" s="7"/>
      <c r="D80" s="4">
        <v>44031.12</v>
      </c>
      <c r="E80" s="4">
        <v>21522.15</v>
      </c>
      <c r="F80" s="4">
        <v>10388.01</v>
      </c>
      <c r="G80" s="4">
        <v>9663.6200000000008</v>
      </c>
      <c r="H80" s="4">
        <v>13627.98</v>
      </c>
      <c r="I80" s="4">
        <v>17123.53</v>
      </c>
      <c r="J80" s="4">
        <v>32216.33</v>
      </c>
      <c r="K80" s="4">
        <v>12919.92</v>
      </c>
      <c r="L80" s="4">
        <v>47421.86</v>
      </c>
      <c r="M80" s="4">
        <v>25641.73</v>
      </c>
      <c r="N80" s="4">
        <v>49787</v>
      </c>
      <c r="O80" s="4">
        <v>-10979</v>
      </c>
      <c r="Q80" s="3">
        <f>SUM(OSRRefD28_0x)+IFERROR(SUM(OSRRefE28_0x),0)</f>
        <v>273364.25</v>
      </c>
    </row>
    <row r="81" spans="1:17" ht="15" customHeight="1" x14ac:dyDescent="0.3">
      <c r="A81" s="6"/>
      <c r="B81" s="7"/>
      <c r="C81" s="7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Q81" s="4"/>
    </row>
    <row r="82" spans="1:17" s="37" customFormat="1" ht="15.75" customHeight="1" x14ac:dyDescent="0.3">
      <c r="A82" s="7"/>
      <c r="B82" s="18" t="s">
        <v>290</v>
      </c>
      <c r="C82" s="18"/>
      <c r="D82" s="8">
        <f t="shared" ref="D82:O82" si="4">IFERROR(+D77-D80,0)</f>
        <v>-47787.580000000016</v>
      </c>
      <c r="E82" s="8">
        <f t="shared" si="4"/>
        <v>18205.919999999998</v>
      </c>
      <c r="F82" s="8">
        <f t="shared" si="4"/>
        <v>35393.099999999969</v>
      </c>
      <c r="G82" s="8">
        <f t="shared" si="4"/>
        <v>-27788.869999999995</v>
      </c>
      <c r="H82" s="8">
        <f t="shared" si="4"/>
        <v>-16870.820000000007</v>
      </c>
      <c r="I82" s="8">
        <f t="shared" si="4"/>
        <v>-15161.110000000011</v>
      </c>
      <c r="J82" s="8">
        <f t="shared" si="4"/>
        <v>-22500.689999999988</v>
      </c>
      <c r="K82" s="8">
        <f t="shared" si="4"/>
        <v>-8606.2399999999834</v>
      </c>
      <c r="L82" s="8">
        <f t="shared" si="4"/>
        <v>20587.310000000027</v>
      </c>
      <c r="M82" s="8">
        <f t="shared" si="4"/>
        <v>-16693.76999999996</v>
      </c>
      <c r="N82" s="8">
        <f t="shared" si="4"/>
        <v>-23775.733476869998</v>
      </c>
      <c r="O82" s="8">
        <f t="shared" si="4"/>
        <v>10911.06390033</v>
      </c>
      <c r="Q82" s="8">
        <f>IFERROR(+Q77-Q80,0)</f>
        <v>-94087.419576540531</v>
      </c>
    </row>
    <row r="83" spans="1:17" ht="15.75" customHeight="1" x14ac:dyDescent="0.3">
      <c r="A83" s="6"/>
      <c r="B83" s="6"/>
      <c r="C83" s="6"/>
      <c r="D83" s="5">
        <f t="shared" ref="D83:O83" si="5">IFERROR(D82/D10,0)</f>
        <v>-0.50141050486693972</v>
      </c>
      <c r="E83" s="5">
        <f t="shared" si="5"/>
        <v>5.3020737734706835E-2</v>
      </c>
      <c r="F83" s="5">
        <f t="shared" si="5"/>
        <v>0.20240820070866961</v>
      </c>
      <c r="G83" s="5">
        <f t="shared" si="5"/>
        <v>-0.21874139787498137</v>
      </c>
      <c r="H83" s="5">
        <f t="shared" si="5"/>
        <v>-0.1823325237744868</v>
      </c>
      <c r="I83" s="5">
        <f t="shared" si="5"/>
        <v>-0.11353036898487553</v>
      </c>
      <c r="J83" s="5">
        <f t="shared" si="5"/>
        <v>-0.14444139165334091</v>
      </c>
      <c r="K83" s="5">
        <f t="shared" si="5"/>
        <v>-5.0226312659823351E-2</v>
      </c>
      <c r="L83" s="5">
        <f t="shared" si="5"/>
        <v>4.5078852536149308E-2</v>
      </c>
      <c r="M83" s="5">
        <f t="shared" si="5"/>
        <v>-5.2160593475373988E-2</v>
      </c>
      <c r="N83" s="5">
        <f t="shared" si="5"/>
        <v>-6.1288720843631579E-2</v>
      </c>
      <c r="O83" s="5">
        <f t="shared" si="5"/>
        <v>0.10260931293569441</v>
      </c>
      <c r="P83" s="19"/>
      <c r="Q83" s="5">
        <f>IFERROR(Q82/Q10,0)</f>
        <v>-3.6684351841092082E-2</v>
      </c>
    </row>
    <row r="84" spans="1:17" ht="15" customHeight="1" x14ac:dyDescent="0.3">
      <c r="A84" s="6"/>
      <c r="B84" s="6"/>
      <c r="C84" s="6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Q84" s="4"/>
    </row>
    <row r="85" spans="1:17" ht="15" customHeight="1" x14ac:dyDescent="0.3">
      <c r="A85" s="6"/>
      <c r="B85" s="6"/>
      <c r="C85" s="6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Q85" s="4"/>
    </row>
    <row r="86" spans="1:17" s="37" customFormat="1" ht="15.75" customHeight="1" x14ac:dyDescent="0.3">
      <c r="A86" s="7"/>
      <c r="B86" s="18" t="s">
        <v>293</v>
      </c>
      <c r="C86" s="18"/>
      <c r="D86" s="8">
        <f t="shared" ref="D86:O86" si="6">IFERROR(SUM(D82:D85),0)</f>
        <v>-47788.081410504885</v>
      </c>
      <c r="E86" s="8">
        <f t="shared" si="6"/>
        <v>18205.973020737732</v>
      </c>
      <c r="F86" s="8">
        <f t="shared" si="6"/>
        <v>35393.302408200681</v>
      </c>
      <c r="G86" s="8">
        <f t="shared" si="6"/>
        <v>-27789.088741397871</v>
      </c>
      <c r="H86" s="8">
        <f t="shared" si="6"/>
        <v>-16871.002332523782</v>
      </c>
      <c r="I86" s="8">
        <f t="shared" si="6"/>
        <v>-15161.223530368996</v>
      </c>
      <c r="J86" s="8">
        <f t="shared" si="6"/>
        <v>-22500.834441391642</v>
      </c>
      <c r="K86" s="8">
        <f t="shared" si="6"/>
        <v>-8606.2902263126434</v>
      </c>
      <c r="L86" s="8">
        <f t="shared" si="6"/>
        <v>20587.355078852564</v>
      </c>
      <c r="M86" s="8">
        <f t="shared" si="6"/>
        <v>-16693.822160593434</v>
      </c>
      <c r="N86" s="8">
        <f t="shared" si="6"/>
        <v>-23775.794765590843</v>
      </c>
      <c r="O86" s="8">
        <f t="shared" si="6"/>
        <v>10911.166509642935</v>
      </c>
      <c r="Q86" s="8">
        <f>IFERROR(SUM(Q82:Q85),0)</f>
        <v>-94087.456260892373</v>
      </c>
    </row>
    <row r="87" spans="1:17" ht="15.75" customHeight="1" x14ac:dyDescent="0.3">
      <c r="A87" s="6"/>
      <c r="C87" s="6"/>
      <c r="D87" s="5">
        <f t="shared" ref="D87:O87" si="7">IFERROR(D86/D10,0)</f>
        <v>-0.50141576590954529</v>
      </c>
      <c r="E87" s="5">
        <f t="shared" si="7"/>
        <v>5.3020892145943944E-2</v>
      </c>
      <c r="F87" s="5">
        <f t="shared" si="7"/>
        <v>0.20240935825292863</v>
      </c>
      <c r="G87" s="5">
        <f t="shared" si="7"/>
        <v>-0.21874311970818813</v>
      </c>
      <c r="H87" s="5">
        <f t="shared" si="7"/>
        <v>-0.18233449434552162</v>
      </c>
      <c r="I87" s="5">
        <f t="shared" si="7"/>
        <v>-0.11353121913006159</v>
      </c>
      <c r="J87" s="5">
        <f t="shared" si="7"/>
        <v>-0.144442318883378</v>
      </c>
      <c r="K87" s="5">
        <f t="shared" si="7"/>
        <v>-5.0226605782311612E-2</v>
      </c>
      <c r="L87" s="5">
        <f t="shared" si="7"/>
        <v>4.5078951242728552E-2</v>
      </c>
      <c r="M87" s="5">
        <f t="shared" si="7"/>
        <v>-5.2160756453988863E-2</v>
      </c>
      <c r="N87" s="5">
        <f t="shared" si="7"/>
        <v>-6.1288878832755501E-2</v>
      </c>
      <c r="O87" s="5">
        <f t="shared" si="7"/>
        <v>0.10261027788935953</v>
      </c>
      <c r="P87" s="19"/>
      <c r="Q87" s="5">
        <f>IFERROR(Q86/Q10,0)</f>
        <v>-3.6684366144191009E-2</v>
      </c>
    </row>
    <row r="88" spans="1:17" ht="15" customHeight="1" x14ac:dyDescent="0.3">
      <c r="A88" s="6"/>
      <c r="B88" s="33">
        <v>44694.89286994213</v>
      </c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Q88" s="14"/>
    </row>
    <row r="89" spans="1:17" ht="15" customHeight="1" x14ac:dyDescent="0.3">
      <c r="A89" s="6"/>
      <c r="B89" s="31" t="s">
        <v>294</v>
      </c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Q89" s="14"/>
    </row>
    <row r="90" spans="1:17" ht="15" customHeight="1" x14ac:dyDescent="0.3">
      <c r="A90" s="6"/>
      <c r="B90" s="27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Q90" s="14"/>
    </row>
    <row r="91" spans="1:17" ht="15" customHeight="1" x14ac:dyDescent="0.3"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Q9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B01A2-90E6-8BFD-B5BF-A6CEE8013778}">
  <sheetPr>
    <tabColor rgb="FF92D050"/>
    <outlinePr summaryBelow="0" summaryRight="0"/>
    <pageSetUpPr fitToPage="1"/>
  </sheetPr>
  <dimension ref="A2:R9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","317"," - ","Computer Store")</f>
        <v>Department 317 - Computer Store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95306.299999999988</v>
      </c>
      <c r="E10" s="4">
        <f>SUM(OSRRefD11x_1)</f>
        <v>343373.57</v>
      </c>
      <c r="F10" s="4">
        <f>SUM(OSRRefD11x_2)</f>
        <v>174860.00999999998</v>
      </c>
      <c r="G10" s="4">
        <f>SUM(OSRRefD11x_3)</f>
        <v>127039.83</v>
      </c>
      <c r="H10" s="4">
        <f>SUM(OSRRefD11x_4)</f>
        <v>92527.76</v>
      </c>
      <c r="I10" s="4">
        <f>SUM(OSRRefD11x_5)</f>
        <v>133542.32999999999</v>
      </c>
      <c r="J10" s="4">
        <f>SUM(OSRRefD11x_6)</f>
        <v>155777.30000000002</v>
      </c>
      <c r="K10" s="4">
        <f>SUM(OSRRefD11x_7)</f>
        <v>171349.23</v>
      </c>
      <c r="L10" s="4">
        <f>SUM(OSRRefD11x_8)</f>
        <v>456695.52</v>
      </c>
      <c r="M10" s="4">
        <f>SUM(OSRRefD11x_9)</f>
        <v>320045.63000000006</v>
      </c>
      <c r="N10" s="4">
        <f>SUM(OSRRefE11x_0)</f>
        <v>387930</v>
      </c>
      <c r="O10" s="4">
        <f>SUM(OSRRefE11x_1)</f>
        <v>106336</v>
      </c>
      <c r="P10" s="25"/>
      <c r="Q10" s="4">
        <f>SUM(OSRRefG11x)</f>
        <v>2564783.4799999995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--81956.26</f>
        <v>81956.259999999995</v>
      </c>
      <c r="E11" s="3">
        <f>--300209.47</f>
        <v>300209.46999999997</v>
      </c>
      <c r="F11" s="3">
        <f>--115763.59</f>
        <v>115763.59</v>
      </c>
      <c r="G11" s="3">
        <f>--84581.19</f>
        <v>84581.19</v>
      </c>
      <c r="H11" s="3">
        <f>--101601.44</f>
        <v>101601.44</v>
      </c>
      <c r="I11" s="3">
        <f>--134314.8</f>
        <v>134314.79999999999</v>
      </c>
      <c r="J11" s="3">
        <f>--88232.58</f>
        <v>88232.58</v>
      </c>
      <c r="K11" s="3">
        <f>--119951.35</f>
        <v>119951.35</v>
      </c>
      <c r="L11" s="3">
        <f>--432065</f>
        <v>432065</v>
      </c>
      <c r="M11" s="3">
        <f>--489932.51</f>
        <v>489932.51</v>
      </c>
      <c r="N11" s="3">
        <v>371978</v>
      </c>
      <c r="O11" s="3">
        <v>103131</v>
      </c>
      <c r="Q11" s="3">
        <f>SUM(OSRRefD11_0x)+IFERROR(SUM(OSRRefE11_0x),0)</f>
        <v>2423717.19</v>
      </c>
    </row>
    <row r="12" spans="1:18" s="39" customFormat="1" ht="15" hidden="1" customHeight="1" outlineLevel="1" x14ac:dyDescent="0.3">
      <c r="A12" s="24"/>
      <c r="B12" s="11" t="str">
        <f>CONCATENATE("          ","4100"," - ","NON-TAXABLE SALES")</f>
        <v xml:space="preserve">          4100 - NON-TAXABLE SALES</v>
      </c>
      <c r="C12" s="23"/>
      <c r="D12" s="3">
        <f>--40967.98</f>
        <v>40967.980000000003</v>
      </c>
      <c r="E12" s="3">
        <f>--75809.9</f>
        <v>75809.899999999994</v>
      </c>
      <c r="F12" s="3">
        <f>--79696.64</f>
        <v>79696.639999999999</v>
      </c>
      <c r="G12" s="3">
        <f>--70707.37</f>
        <v>70707.37</v>
      </c>
      <c r="H12" s="3">
        <f>--34580</f>
        <v>34580</v>
      </c>
      <c r="I12" s="3">
        <f>--38625.69</f>
        <v>38625.69</v>
      </c>
      <c r="J12" s="3">
        <f>--75295.63</f>
        <v>75295.63</v>
      </c>
      <c r="K12" s="3">
        <f>--77573.66</f>
        <v>77573.66</v>
      </c>
      <c r="L12" s="3">
        <f>--80322.45</f>
        <v>80322.45</v>
      </c>
      <c r="M12" s="3">
        <f>--52054.68</f>
        <v>52054.68</v>
      </c>
      <c r="N12" s="3">
        <v>15952</v>
      </c>
      <c r="O12" s="3">
        <v>3205</v>
      </c>
      <c r="Q12" s="3">
        <f>SUM(OSRRefD11_1x)+IFERROR(SUM(OSRRefE11_1x),0)</f>
        <v>644791</v>
      </c>
    </row>
    <row r="13" spans="1:18" s="39" customFormat="1" ht="15" hidden="1" customHeight="1" outlineLevel="1" x14ac:dyDescent="0.3">
      <c r="A13" s="24"/>
      <c r="B13" s="11" t="str">
        <f>CONCATENATE("          ","4200"," - ","TAXABLE RETURNS")</f>
        <v xml:space="preserve">          4200 - TAXABLE RETURNS</v>
      </c>
      <c r="C13" s="23"/>
      <c r="D13" s="3">
        <f>-27218.94</f>
        <v>-27218.94</v>
      </c>
      <c r="E13" s="3">
        <f>-32397.97</f>
        <v>-32397.97</v>
      </c>
      <c r="F13" s="3">
        <f>-20557.25</f>
        <v>-20557.25</v>
      </c>
      <c r="G13" s="3">
        <f>-28193.19</f>
        <v>-28193.19</v>
      </c>
      <c r="H13" s="3">
        <f>-43602.29</f>
        <v>-43602.29</v>
      </c>
      <c r="I13" s="3">
        <f>-39012.77</f>
        <v>-39012.769999999997</v>
      </c>
      <c r="J13" s="3">
        <f>-7468.03</f>
        <v>-7468.03</v>
      </c>
      <c r="K13" s="3">
        <f>-25608.66</f>
        <v>-25608.66</v>
      </c>
      <c r="L13" s="3">
        <f>-55451.11</f>
        <v>-55451.11</v>
      </c>
      <c r="M13" s="3">
        <f>-221809.74</f>
        <v>-221809.74</v>
      </c>
      <c r="N13" s="3"/>
      <c r="O13" s="3"/>
      <c r="Q13" s="3">
        <f>SUM(OSRRefD11_2x)+IFERROR(SUM(OSRRefE11_2x),0)</f>
        <v>-501319.95</v>
      </c>
    </row>
    <row r="14" spans="1:18" s="39" customFormat="1" ht="15" hidden="1" customHeight="1" outlineLevel="1" x14ac:dyDescent="0.3">
      <c r="A14" s="24"/>
      <c r="B14" s="11" t="str">
        <f>CONCATENATE("          ","4300"," - ","NON-TAX RETURNS")</f>
        <v xml:space="preserve">          4300 - NON-TAX RETURNS</v>
      </c>
      <c r="C14" s="23"/>
      <c r="D14" s="3">
        <f>-399</f>
        <v>-399</v>
      </c>
      <c r="E14" s="3">
        <f>-247.83</f>
        <v>-247.83</v>
      </c>
      <c r="F14" s="3">
        <f>-42.97</f>
        <v>-42.97</v>
      </c>
      <c r="G14" s="3">
        <f>0</f>
        <v>0</v>
      </c>
      <c r="H14" s="3">
        <f>-14.99</f>
        <v>-14.99</v>
      </c>
      <c r="I14" s="3">
        <f>0</f>
        <v>0</v>
      </c>
      <c r="J14" s="3">
        <f>-19.99</f>
        <v>-19.989999999999998</v>
      </c>
      <c r="K14" s="3">
        <f>-389.74</f>
        <v>-389.74</v>
      </c>
      <c r="L14" s="3">
        <f>0</f>
        <v>0</v>
      </c>
      <c r="M14" s="3">
        <f>0</f>
        <v>0</v>
      </c>
      <c r="N14" s="3"/>
      <c r="O14" s="3"/>
      <c r="Q14" s="3">
        <f>SUM(OSRRefD11_3x)+IFERROR(SUM(OSRRefE11_3x),0)</f>
        <v>-1114.52</v>
      </c>
    </row>
    <row r="15" spans="1:18" s="39" customFormat="1" ht="15" hidden="1" customHeight="1" outlineLevel="1" x14ac:dyDescent="0.3">
      <c r="A15" s="24"/>
      <c r="B15" s="11" t="str">
        <f>CONCATENATE("          ","4500"," - ","SALES DISCOUNT")</f>
        <v xml:space="preserve">          4500 - SALES DISCOUNT</v>
      </c>
      <c r="C15" s="23"/>
      <c r="D15" s="3">
        <f>0</f>
        <v>0</v>
      </c>
      <c r="E15" s="3">
        <f>0</f>
        <v>0</v>
      </c>
      <c r="F15" s="3">
        <f>0</f>
        <v>0</v>
      </c>
      <c r="G15" s="3">
        <f>-55.54</f>
        <v>-55.54</v>
      </c>
      <c r="H15" s="3">
        <f>-36.4</f>
        <v>-36.4</v>
      </c>
      <c r="I15" s="3">
        <f>-385.39</f>
        <v>-385.39</v>
      </c>
      <c r="J15" s="3">
        <f>-262.89</f>
        <v>-262.89</v>
      </c>
      <c r="K15" s="3">
        <f>-177.38</f>
        <v>-177.38</v>
      </c>
      <c r="L15" s="3">
        <f>-240.82</f>
        <v>-240.82</v>
      </c>
      <c r="M15" s="3">
        <f>-131.82</f>
        <v>-131.82</v>
      </c>
      <c r="N15" s="3"/>
      <c r="O15" s="3"/>
      <c r="Q15" s="3">
        <f>SUM(OSRRefD11_4x)+IFERROR(SUM(OSRRefE11_4x),0)</f>
        <v>-1290.24</v>
      </c>
    </row>
    <row r="16" spans="1:18" ht="15" customHeight="1" x14ac:dyDescent="0.3">
      <c r="A16" s="6"/>
      <c r="B16" s="7"/>
      <c r="C16" s="6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Q16" s="4"/>
    </row>
    <row r="17" spans="1:17" s="39" customFormat="1" ht="15" customHeight="1" collapsed="1" x14ac:dyDescent="0.3">
      <c r="A17" s="24"/>
      <c r="B17" s="17" t="s">
        <v>284</v>
      </c>
      <c r="C17" s="23"/>
      <c r="D17" s="4">
        <f>SUM(OSRRefD14x_0)</f>
        <v>82371.47</v>
      </c>
      <c r="E17" s="4">
        <f>SUM(OSRRefD14x_1)</f>
        <v>291793.13</v>
      </c>
      <c r="F17" s="4">
        <f>SUM(OSRRefD14x_2)</f>
        <v>117257.95000000001</v>
      </c>
      <c r="G17" s="4">
        <f>SUM(OSRRefD14x_3)</f>
        <v>128311.79</v>
      </c>
      <c r="H17" s="4">
        <f>SUM(OSRRefD14x_4)</f>
        <v>82925.39</v>
      </c>
      <c r="I17" s="4">
        <f>SUM(OSRRefD14x_5)</f>
        <v>119832.5</v>
      </c>
      <c r="J17" s="4">
        <f>SUM(OSRRefD14x_6)</f>
        <v>131815.53</v>
      </c>
      <c r="K17" s="4">
        <f>SUM(OSRRefD14x_7)</f>
        <v>151731.15</v>
      </c>
      <c r="L17" s="4">
        <f>SUM(OSRRefD14x_8)</f>
        <v>370733.42</v>
      </c>
      <c r="M17" s="4">
        <f>SUM(OSRRefD14x_9)</f>
        <v>291821.21000000002</v>
      </c>
      <c r="N17" s="4">
        <f>SUM(OSRRefE14x_0)</f>
        <v>347197</v>
      </c>
      <c r="O17" s="4">
        <f>SUM(OSRRefE14x_1)</f>
        <v>95171</v>
      </c>
      <c r="Q17" s="4">
        <f>SUM(OSRRefG14x)</f>
        <v>2210961.54</v>
      </c>
    </row>
    <row r="18" spans="1:17" s="39" customFormat="1" ht="15" hidden="1" customHeight="1" outlineLevel="1" x14ac:dyDescent="0.3">
      <c r="A18" s="24"/>
      <c r="B18" s="11" t="str">
        <f>CONCATENATE("          ","5000"," - ","PURCHASES @ COST")</f>
        <v xml:space="preserve">          5000 - PURCHASES @ COST</v>
      </c>
      <c r="C18" s="23"/>
      <c r="D18" s="3">
        <v>97362.54</v>
      </c>
      <c r="E18" s="3">
        <v>285773.33</v>
      </c>
      <c r="F18" s="3">
        <v>169066.36</v>
      </c>
      <c r="G18" s="3">
        <v>134649.96</v>
      </c>
      <c r="H18" s="3">
        <v>56710.32</v>
      </c>
      <c r="I18" s="3">
        <v>183675.67</v>
      </c>
      <c r="J18" s="3">
        <v>98491.18</v>
      </c>
      <c r="K18" s="3">
        <v>148585.57</v>
      </c>
      <c r="L18" s="3">
        <v>375710.61</v>
      </c>
      <c r="M18" s="3">
        <v>208073.68</v>
      </c>
      <c r="N18" s="3">
        <v>347197</v>
      </c>
      <c r="O18" s="3">
        <v>95171</v>
      </c>
      <c r="Q18" s="3">
        <f>SUM(OSRRefD14_0x)+IFERROR(SUM(OSRRefE14_0x),0)</f>
        <v>2200467.2199999997</v>
      </c>
    </row>
    <row r="19" spans="1:17" s="39" customFormat="1" ht="15" hidden="1" customHeight="1" outlineLevel="1" x14ac:dyDescent="0.3">
      <c r="A19" s="24"/>
      <c r="B19" s="11" t="str">
        <f>CONCATENATE("          ","5081"," - ","PURCHASES @ COST-ELECTRONICS")</f>
        <v xml:space="preserve">          5081 - PURCHASES @ COST-ELECTRONICS</v>
      </c>
      <c r="C19" s="23"/>
      <c r="D19" s="3">
        <v>0</v>
      </c>
      <c r="E19" s="3">
        <v>0</v>
      </c>
      <c r="F19" s="3">
        <v>0</v>
      </c>
      <c r="G19" s="3"/>
      <c r="H19" s="3"/>
      <c r="I19" s="3"/>
      <c r="J19" s="3"/>
      <c r="K19" s="3"/>
      <c r="L19" s="3"/>
      <c r="M19" s="3"/>
      <c r="N19" s="3"/>
      <c r="O19" s="3"/>
      <c r="Q19" s="3">
        <f>SUM(OSRRefD14_1x)+IFERROR(SUM(OSRRefE14_1x),0)</f>
        <v>0</v>
      </c>
    </row>
    <row r="20" spans="1:17" s="39" customFormat="1" ht="15" hidden="1" customHeight="1" outlineLevel="1" x14ac:dyDescent="0.3">
      <c r="A20" s="24"/>
      <c r="B20" s="11" t="str">
        <f>CONCATENATE("          ","5082"," - ","PURCHASES @ COST-COMPUTER HARD")</f>
        <v xml:space="preserve">          5082 - PURCHASES @ COST-COMPUTER HARD</v>
      </c>
      <c r="C20" s="23"/>
      <c r="D20" s="3">
        <v>-10902.62</v>
      </c>
      <c r="E20" s="3">
        <v>-23501.200000000001</v>
      </c>
      <c r="F20" s="3">
        <v>-22380.03</v>
      </c>
      <c r="G20" s="3">
        <v>-20540.88</v>
      </c>
      <c r="H20" s="3">
        <v>-3384.72</v>
      </c>
      <c r="I20" s="3">
        <v>-6160.03</v>
      </c>
      <c r="J20" s="3">
        <v>-6938.92</v>
      </c>
      <c r="K20" s="3"/>
      <c r="L20" s="3">
        <v>-16384.86</v>
      </c>
      <c r="M20" s="3"/>
      <c r="N20" s="3"/>
      <c r="O20" s="3"/>
      <c r="Q20" s="3">
        <f>SUM(OSRRefD14_2x)+IFERROR(SUM(OSRRefE14_2x),0)</f>
        <v>-110193.26</v>
      </c>
    </row>
    <row r="21" spans="1:17" s="39" customFormat="1" ht="15" hidden="1" customHeight="1" outlineLevel="1" x14ac:dyDescent="0.3">
      <c r="A21" s="24"/>
      <c r="B21" s="11" t="str">
        <f>CONCATENATE("          ","5083"," - ","PURCHASES @ COST-COMPUTER EQUI")</f>
        <v xml:space="preserve">          5083 - PURCHASES @ COST-COMPUTER EQUI</v>
      </c>
      <c r="C21" s="23"/>
      <c r="D21" s="3">
        <v>0</v>
      </c>
      <c r="E21" s="3">
        <v>0</v>
      </c>
      <c r="F21" s="3">
        <v>0</v>
      </c>
      <c r="G21" s="3"/>
      <c r="H21" s="3"/>
      <c r="I21" s="3"/>
      <c r="J21" s="3"/>
      <c r="K21" s="3"/>
      <c r="L21" s="3"/>
      <c r="M21" s="3"/>
      <c r="N21" s="3"/>
      <c r="O21" s="3"/>
      <c r="Q21" s="3">
        <f>SUM(OSRRefD14_3x)+IFERROR(SUM(OSRRefE14_3x),0)</f>
        <v>0</v>
      </c>
    </row>
    <row r="22" spans="1:17" s="39" customFormat="1" ht="15" hidden="1" customHeight="1" outlineLevel="1" x14ac:dyDescent="0.3">
      <c r="A22" s="24"/>
      <c r="B22" s="11" t="str">
        <f>CONCATENATE("          ","5085"," - ","PURCHASES @ COST-SOFTWARE")</f>
        <v xml:space="preserve">          5085 - PURCHASES @ COST-SOFTWARE</v>
      </c>
      <c r="C22" s="23"/>
      <c r="D22" s="3">
        <v>0</v>
      </c>
      <c r="E22" s="3">
        <v>0</v>
      </c>
      <c r="F22" s="3">
        <v>0</v>
      </c>
      <c r="G22" s="3"/>
      <c r="H22" s="3"/>
      <c r="I22" s="3"/>
      <c r="J22" s="3"/>
      <c r="K22" s="3"/>
      <c r="L22" s="3"/>
      <c r="M22" s="3"/>
      <c r="N22" s="3"/>
      <c r="O22" s="3"/>
      <c r="Q22" s="3">
        <f>SUM(OSRRefD14_4x)+IFERROR(SUM(OSRRefE14_4x),0)</f>
        <v>0</v>
      </c>
    </row>
    <row r="23" spans="1:17" s="39" customFormat="1" ht="15" hidden="1" customHeight="1" outlineLevel="1" x14ac:dyDescent="0.3">
      <c r="A23" s="24"/>
      <c r="B23" s="11" t="str">
        <f>CONCATENATE("          ","5086"," - ","PURCHASES @ COST-COMPUTER SUPP")</f>
        <v xml:space="preserve">          5086 - PURCHASES @ COST-COMPUTER SUPP</v>
      </c>
      <c r="C23" s="23"/>
      <c r="D23" s="3">
        <v>0</v>
      </c>
      <c r="E23" s="3">
        <v>0</v>
      </c>
      <c r="F23" s="3">
        <v>0</v>
      </c>
      <c r="G23" s="3"/>
      <c r="H23" s="3"/>
      <c r="I23" s="3"/>
      <c r="J23" s="3"/>
      <c r="K23" s="3"/>
      <c r="L23" s="3"/>
      <c r="M23" s="3"/>
      <c r="N23" s="3"/>
      <c r="O23" s="3"/>
      <c r="Q23" s="3">
        <f>SUM(OSRRefD14_5x)+IFERROR(SUM(OSRRefE14_5x),0)</f>
        <v>0</v>
      </c>
    </row>
    <row r="24" spans="1:17" s="39" customFormat="1" ht="15" hidden="1" customHeight="1" outlineLevel="1" x14ac:dyDescent="0.3">
      <c r="A24" s="24"/>
      <c r="B24" s="11" t="str">
        <f>CONCATENATE("          ","5200"," - ","PURCHASES OFFSET")</f>
        <v xml:space="preserve">          5200 - PURCHASES OFFSET</v>
      </c>
      <c r="C24" s="23"/>
      <c r="D24" s="3">
        <v>-97382.65</v>
      </c>
      <c r="E24" s="3">
        <v>-285788.87</v>
      </c>
      <c r="F24" s="3">
        <v>-169066.36</v>
      </c>
      <c r="G24" s="3">
        <v>-134658.5</v>
      </c>
      <c r="H24" s="3">
        <v>-56710.32</v>
      </c>
      <c r="I24" s="3">
        <v>-183675.67</v>
      </c>
      <c r="J24" s="3">
        <v>-98515.33</v>
      </c>
      <c r="K24" s="3">
        <v>-148609.87</v>
      </c>
      <c r="L24" s="3">
        <v>-375789.52</v>
      </c>
      <c r="M24" s="3">
        <v>-208105.25</v>
      </c>
      <c r="N24" s="3"/>
      <c r="O24" s="3"/>
      <c r="Q24" s="3">
        <f>SUM(OSRRefD14_6x)+IFERROR(SUM(OSRRefE14_6x),0)</f>
        <v>-1758302.3399999999</v>
      </c>
    </row>
    <row r="25" spans="1:17" s="39" customFormat="1" ht="15" hidden="1" customHeight="1" outlineLevel="1" x14ac:dyDescent="0.3">
      <c r="A25" s="24"/>
      <c r="B25" s="11" t="str">
        <f>CONCATENATE("          ","5300"," - ","COG$ OFFSET")</f>
        <v xml:space="preserve">          5300 - COG$ OFFSET</v>
      </c>
      <c r="C25" s="23"/>
      <c r="D25" s="3">
        <v>93274.09</v>
      </c>
      <c r="E25" s="3">
        <v>315294.33</v>
      </c>
      <c r="F25" s="3">
        <v>139637.98000000001</v>
      </c>
      <c r="G25" s="3">
        <v>148852.67000000001</v>
      </c>
      <c r="H25" s="3">
        <v>86310.11</v>
      </c>
      <c r="I25" s="3">
        <v>125992.53</v>
      </c>
      <c r="J25" s="3">
        <v>138754.45000000001</v>
      </c>
      <c r="K25" s="3">
        <v>151731.15</v>
      </c>
      <c r="L25" s="3">
        <v>387118.28</v>
      </c>
      <c r="M25" s="3">
        <v>291821.21000000002</v>
      </c>
      <c r="N25" s="3"/>
      <c r="O25" s="3"/>
      <c r="Q25" s="3">
        <f>SUM(OSRRefD14_7x)+IFERROR(SUM(OSRRefE14_7x),0)</f>
        <v>1878786.8</v>
      </c>
    </row>
    <row r="26" spans="1:17" s="39" customFormat="1" ht="15" hidden="1" customHeight="1" outlineLevel="1" x14ac:dyDescent="0.3">
      <c r="A26" s="24"/>
      <c r="B26" s="11" t="str">
        <f>CONCATENATE("          ","5500"," - ","FREIGHT-IN")</f>
        <v xml:space="preserve">          5500 - FREIGHT-IN</v>
      </c>
      <c r="C26" s="23"/>
      <c r="D26" s="3">
        <v>20.11</v>
      </c>
      <c r="E26" s="3">
        <v>15.54</v>
      </c>
      <c r="F26" s="3"/>
      <c r="G26" s="3">
        <v>8.5399999999999991</v>
      </c>
      <c r="H26" s="3"/>
      <c r="I26" s="3"/>
      <c r="J26" s="3">
        <v>24.15</v>
      </c>
      <c r="K26" s="3">
        <v>24.3</v>
      </c>
      <c r="L26" s="3">
        <v>78.91</v>
      </c>
      <c r="M26" s="3">
        <v>31.57</v>
      </c>
      <c r="N26" s="3"/>
      <c r="O26" s="3"/>
      <c r="Q26" s="3">
        <f>SUM(OSRRefD14_8x)+IFERROR(SUM(OSRRefE14_8x),0)</f>
        <v>203.12</v>
      </c>
    </row>
    <row r="27" spans="1:17" s="39" customFormat="1" ht="15" hidden="1" customHeight="1" outlineLevel="1" x14ac:dyDescent="0.3">
      <c r="A27" s="24"/>
      <c r="B27" s="11" t="str">
        <f>CONCATENATE("          ","5583"," - ","FREIGHT-IN-COMPUTER EQUIPMENT")</f>
        <v xml:space="preserve">          5583 - FREIGHT-IN-COMPUTER EQUIPMENT</v>
      </c>
      <c r="C27" s="23"/>
      <c r="D27" s="3">
        <v>0</v>
      </c>
      <c r="E27" s="3">
        <v>0</v>
      </c>
      <c r="F27" s="3"/>
      <c r="G27" s="3"/>
      <c r="H27" s="3"/>
      <c r="I27" s="3"/>
      <c r="J27" s="3"/>
      <c r="K27" s="3"/>
      <c r="L27" s="3"/>
      <c r="M27" s="3"/>
      <c r="N27" s="3"/>
      <c r="O27" s="3"/>
      <c r="Q27" s="3">
        <f>SUM(OSRRefD14_9x)+IFERROR(SUM(OSRRefE14_9x),0)</f>
        <v>0</v>
      </c>
    </row>
    <row r="28" spans="1:17" ht="15" customHeight="1" x14ac:dyDescent="0.3">
      <c r="A28" s="6"/>
      <c r="B28" s="7"/>
      <c r="C28" s="7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Q28" s="4"/>
    </row>
    <row r="29" spans="1:17" s="37" customFormat="1" ht="15" customHeight="1" x14ac:dyDescent="0.3">
      <c r="A29" s="7"/>
      <c r="B29" s="18" t="s">
        <v>285</v>
      </c>
      <c r="C29" s="18"/>
      <c r="D29" s="9">
        <f t="shared" ref="D29:O29" si="0">IFERROR(+D10-D17,0)</f>
        <v>12934.829999999987</v>
      </c>
      <c r="E29" s="9">
        <f t="shared" si="0"/>
        <v>51580.44</v>
      </c>
      <c r="F29" s="9">
        <f t="shared" si="0"/>
        <v>57602.059999999969</v>
      </c>
      <c r="G29" s="9">
        <f t="shared" si="0"/>
        <v>-1271.9599999999919</v>
      </c>
      <c r="H29" s="9">
        <f t="shared" si="0"/>
        <v>9602.3699999999953</v>
      </c>
      <c r="I29" s="9">
        <f t="shared" si="0"/>
        <v>13709.829999999987</v>
      </c>
      <c r="J29" s="9">
        <f t="shared" si="0"/>
        <v>23961.770000000019</v>
      </c>
      <c r="K29" s="9">
        <f t="shared" si="0"/>
        <v>19618.080000000016</v>
      </c>
      <c r="L29" s="9">
        <f t="shared" si="0"/>
        <v>85962.100000000035</v>
      </c>
      <c r="M29" s="9">
        <f t="shared" si="0"/>
        <v>28224.420000000042</v>
      </c>
      <c r="N29" s="9">
        <f t="shared" si="0"/>
        <v>40733</v>
      </c>
      <c r="O29" s="9">
        <f t="shared" si="0"/>
        <v>11165</v>
      </c>
      <c r="Q29" s="9">
        <f>IFERROR(+Q10-Q17,0)</f>
        <v>353821.93999999948</v>
      </c>
    </row>
    <row r="30" spans="1:17" s="38" customFormat="1" ht="15" customHeight="1" x14ac:dyDescent="0.3">
      <c r="B30" s="17"/>
      <c r="C30" s="17"/>
      <c r="D30" s="5">
        <f t="shared" ref="D30:O30" si="1">IFERROR(D29/D10,0)</f>
        <v>0.13571852018177172</v>
      </c>
      <c r="E30" s="5">
        <f t="shared" si="1"/>
        <v>0.15021668674149849</v>
      </c>
      <c r="F30" s="5">
        <f t="shared" si="1"/>
        <v>0.3294181442629448</v>
      </c>
      <c r="G30" s="5">
        <f t="shared" si="1"/>
        <v>-1.0012292995039366E-2</v>
      </c>
      <c r="H30" s="5">
        <f t="shared" si="1"/>
        <v>0.10377826070792155</v>
      </c>
      <c r="I30" s="5">
        <f t="shared" si="1"/>
        <v>0.10266280362189269</v>
      </c>
      <c r="J30" s="5">
        <f t="shared" si="1"/>
        <v>0.15382067862262355</v>
      </c>
      <c r="K30" s="5">
        <f t="shared" si="1"/>
        <v>0.11449178966255066</v>
      </c>
      <c r="L30" s="5">
        <f t="shared" si="1"/>
        <v>0.18822628257881757</v>
      </c>
      <c r="M30" s="5">
        <f t="shared" si="1"/>
        <v>8.8188737337235437E-2</v>
      </c>
      <c r="N30" s="5">
        <f t="shared" si="1"/>
        <v>0.10500090222462816</v>
      </c>
      <c r="O30" s="5">
        <f t="shared" si="1"/>
        <v>0.10499736683719531</v>
      </c>
      <c r="P30" s="19"/>
      <c r="Q30" s="5">
        <f>IFERROR(Q29/Q10,0)</f>
        <v>0.13795392194275968</v>
      </c>
    </row>
    <row r="31" spans="1:17" ht="15" customHeight="1" x14ac:dyDescent="0.3">
      <c r="A31" s="6"/>
      <c r="B31" s="7"/>
      <c r="C31" s="6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Q31" s="2"/>
    </row>
    <row r="32" spans="1:17" s="37" customFormat="1" ht="15" customHeight="1" x14ac:dyDescent="0.3">
      <c r="A32" s="7"/>
      <c r="B32" s="17" t="s">
        <v>286</v>
      </c>
      <c r="C32" s="7"/>
      <c r="D32" s="12" cm="1">
        <f t="array" ref="D32">SUM(OSRRefD20x_0)</f>
        <v>16884.670000000002</v>
      </c>
      <c r="E32" s="12" cm="1">
        <f t="array" ref="E32">SUM(OSRRefD20x_1)</f>
        <v>14040.32</v>
      </c>
      <c r="F32" s="12" cm="1">
        <f t="array" ref="F32">SUM(OSRRefD20x_2)</f>
        <v>12211.060000000001</v>
      </c>
      <c r="G32" s="12" cm="1">
        <f t="array" ref="G32">SUM(OSRRefD20x_3)</f>
        <v>15889.100000000002</v>
      </c>
      <c r="H32" s="12" cm="1">
        <f t="array" ref="H32">SUM(OSRRefD20x_4)</f>
        <v>12756.370000000003</v>
      </c>
      <c r="I32" s="12" cm="1">
        <f t="array" ref="I32">SUM(OSRRefD20x_5)</f>
        <v>12627.03</v>
      </c>
      <c r="J32" s="12" cm="1">
        <f t="array" ref="J32">SUM(OSRRefD20x_6)</f>
        <v>15488.850000000002</v>
      </c>
      <c r="K32" s="12" cm="1">
        <f t="array" ref="K32">SUM(OSRRefD20x_7)</f>
        <v>15917.66</v>
      </c>
      <c r="L32" s="12" cm="1">
        <f t="array" ref="L32">SUM(OSRRefD20x_8)</f>
        <v>16839.86</v>
      </c>
      <c r="M32" s="12" cm="1">
        <f t="array" ref="M32">SUM(OSRRefD20x_9)</f>
        <v>20773.600000000002</v>
      </c>
      <c r="N32" s="12" cm="1">
        <f t="array" ref="N32">SUM(OSRRefE20x_0)</f>
        <v>15550.733476869998</v>
      </c>
      <c r="O32" s="12" cm="1">
        <f t="array" ref="O32">SUM(OSRRefE20x_1)</f>
        <v>13656.93609967</v>
      </c>
      <c r="Q32" s="12" cm="1">
        <f t="array" ref="Q32">SUM(OSRRefG20x)</f>
        <v>182636.18957654</v>
      </c>
    </row>
    <row r="33" spans="1:17" s="42" customFormat="1" ht="15" customHeight="1" collapsed="1" x14ac:dyDescent="0.3">
      <c r="A33" s="34"/>
      <c r="B33" s="15" t="str">
        <f>CONCATENATE("     ","*Benefits                                         ")</f>
        <v xml:space="preserve">     *Benefits                                         </v>
      </c>
      <c r="C33" s="15"/>
      <c r="D33" s="2">
        <f>SUM(OSRRefD21_0x_0)</f>
        <v>2159.6000000000004</v>
      </c>
      <c r="E33" s="2">
        <f>SUM(OSRRefD21_0x_1)</f>
        <v>999.63</v>
      </c>
      <c r="F33" s="2">
        <f>SUM(OSRRefD21_0x_2)</f>
        <v>1500.14</v>
      </c>
      <c r="G33" s="2">
        <f>SUM(OSRRefD21_0x_3)</f>
        <v>1906.2399999999998</v>
      </c>
      <c r="H33" s="2">
        <f>SUM(OSRRefD21_0x_4)</f>
        <v>2357.9199999999996</v>
      </c>
      <c r="I33" s="2">
        <f>SUM(OSRRefD21_0x_5)</f>
        <v>2379.6800000000003</v>
      </c>
      <c r="J33" s="2">
        <f>SUM(OSRRefD21_0x_6)</f>
        <v>3506.3399999999997</v>
      </c>
      <c r="K33" s="2">
        <f>SUM(OSRRefD21_0x_7)</f>
        <v>5158.8</v>
      </c>
      <c r="L33" s="2">
        <f>SUM(OSRRefD21_0x_8)</f>
        <v>3279.8099999999995</v>
      </c>
      <c r="M33" s="2">
        <f>SUM(OSRRefD21_0x_9)</f>
        <v>3918.19</v>
      </c>
      <c r="N33" s="2">
        <f>SUM(OSRRefE21_0x_0)</f>
        <v>2563.2229268699998</v>
      </c>
      <c r="O33" s="2">
        <f>SUM(OSRRefE21_0x_1)</f>
        <v>2818.6255496700001</v>
      </c>
      <c r="Q33" s="3">
        <f>SUM(OSRRefD20_0x)+IFERROR(SUM(OSRRefE20_0x),0)</f>
        <v>32548.198476540001</v>
      </c>
    </row>
    <row r="34" spans="1:17" s="42" customFormat="1" ht="15" hidden="1" customHeight="1" outlineLevel="1" x14ac:dyDescent="0.3">
      <c r="A34" s="34"/>
      <c r="B34" s="11" t="str">
        <f>CONCATENATE("          ","6111"," - ","F.I.C.A.")</f>
        <v xml:space="preserve">          6111 - F.I.C.A.</v>
      </c>
      <c r="C34" s="15"/>
      <c r="D34" s="3">
        <v>653.55999999999995</v>
      </c>
      <c r="E34" s="3">
        <v>406.68</v>
      </c>
      <c r="F34" s="3">
        <v>548.86</v>
      </c>
      <c r="G34" s="3">
        <v>724.92</v>
      </c>
      <c r="H34" s="3">
        <v>475.62</v>
      </c>
      <c r="I34" s="3">
        <v>494.27</v>
      </c>
      <c r="J34" s="3">
        <v>460.4</v>
      </c>
      <c r="K34" s="3">
        <v>523.23</v>
      </c>
      <c r="L34" s="3">
        <v>606.14</v>
      </c>
      <c r="M34" s="3">
        <v>860.47</v>
      </c>
      <c r="N34" s="3">
        <v>457.37151956999998</v>
      </c>
      <c r="O34" s="3">
        <v>741.35598236999999</v>
      </c>
      <c r="P34" s="10"/>
      <c r="Q34" s="3">
        <f>SUM(OSRRefD21_0_0x)+IFERROR(SUM(OSRRefE21_0_0x),0)</f>
        <v>6952.87750194</v>
      </c>
    </row>
    <row r="35" spans="1:17" s="42" customFormat="1" ht="15" hidden="1" customHeight="1" outlineLevel="1" x14ac:dyDescent="0.3">
      <c r="A35" s="34"/>
      <c r="B35" s="11" t="str">
        <f>CONCATENATE("          ","6112"," - ","COMPENSATION INSURANCE")</f>
        <v xml:space="preserve">          6112 - COMPENSATION INSURANCE</v>
      </c>
      <c r="C35" s="15"/>
      <c r="D35" s="3">
        <v>177.36</v>
      </c>
      <c r="E35" s="3">
        <v>112.83</v>
      </c>
      <c r="F35" s="3">
        <v>135.76</v>
      </c>
      <c r="G35" s="3">
        <v>184.01</v>
      </c>
      <c r="H35" s="3">
        <v>124.44</v>
      </c>
      <c r="I35" s="3">
        <v>142.52000000000001</v>
      </c>
      <c r="J35" s="3">
        <v>122.11</v>
      </c>
      <c r="K35" s="3">
        <v>150.32</v>
      </c>
      <c r="L35" s="3">
        <v>149.75</v>
      </c>
      <c r="M35" s="3">
        <v>147.80000000000001</v>
      </c>
      <c r="N35" s="3">
        <v>160.46673240000001</v>
      </c>
      <c r="O35" s="3">
        <v>151.11921240000001</v>
      </c>
      <c r="P35" s="10"/>
      <c r="Q35" s="3">
        <f>SUM(OSRRefD21_0_1x)+IFERROR(SUM(OSRRefE21_0_1x),0)</f>
        <v>1758.4859448000002</v>
      </c>
    </row>
    <row r="36" spans="1:17" s="42" customFormat="1" ht="15" hidden="1" customHeight="1" outlineLevel="1" x14ac:dyDescent="0.3">
      <c r="A36" s="34"/>
      <c r="B36" s="11" t="str">
        <f>CONCATENATE("          ","6113"," - ","GROUP INSURANCE")</f>
        <v xml:space="preserve">          6113 - GROUP INSURANCE</v>
      </c>
      <c r="C36" s="15"/>
      <c r="D36" s="3">
        <v>828.27</v>
      </c>
      <c r="E36" s="3">
        <v>165.65</v>
      </c>
      <c r="F36" s="3">
        <v>194.97</v>
      </c>
      <c r="G36" s="3">
        <v>853.84</v>
      </c>
      <c r="H36" s="3">
        <v>853.84</v>
      </c>
      <c r="I36" s="3">
        <v>853.84</v>
      </c>
      <c r="J36" s="3">
        <v>1539.12</v>
      </c>
      <c r="K36" s="3">
        <v>1539.12</v>
      </c>
      <c r="L36" s="3">
        <v>1539.12</v>
      </c>
      <c r="M36" s="3">
        <v>1539.12</v>
      </c>
      <c r="N36" s="3">
        <v>943.5</v>
      </c>
      <c r="O36" s="3">
        <v>943.5</v>
      </c>
      <c r="P36" s="10"/>
      <c r="Q36" s="3">
        <f>SUM(OSRRefD21_0_2x)+IFERROR(SUM(OSRRefE21_0_2x),0)</f>
        <v>11793.89</v>
      </c>
    </row>
    <row r="37" spans="1:17" s="42" customFormat="1" ht="15" hidden="1" customHeight="1" outlineLevel="1" x14ac:dyDescent="0.3">
      <c r="A37" s="34"/>
      <c r="B37" s="11" t="str">
        <f>CONCATENATE("          ","6114"," - ","STATE UNEMPLOYMENT INSURANCE")</f>
        <v xml:space="preserve">          6114 - STATE UNEMPLOYMENT INSURANCE</v>
      </c>
      <c r="C37" s="15"/>
      <c r="D37" s="3">
        <v>31.16</v>
      </c>
      <c r="E37" s="3">
        <v>19.82</v>
      </c>
      <c r="F37" s="3">
        <v>23.85</v>
      </c>
      <c r="G37" s="3">
        <v>32.33</v>
      </c>
      <c r="H37" s="3">
        <v>21.86</v>
      </c>
      <c r="I37" s="3">
        <v>25.04</v>
      </c>
      <c r="J37" s="3">
        <v>21.45</v>
      </c>
      <c r="K37" s="3">
        <v>26.41</v>
      </c>
      <c r="L37" s="3">
        <v>26.31</v>
      </c>
      <c r="M37" s="3">
        <v>26.64</v>
      </c>
      <c r="N37" s="3">
        <v>21.601290899999999</v>
      </c>
      <c r="O37" s="3">
        <v>20.342970900000001</v>
      </c>
      <c r="P37" s="10"/>
      <c r="Q37" s="3">
        <f>SUM(OSRRefD21_0_3x)+IFERROR(SUM(OSRRefE21_0_3x),0)</f>
        <v>296.8142618</v>
      </c>
    </row>
    <row r="38" spans="1:17" s="42" customFormat="1" ht="15" hidden="1" customHeight="1" outlineLevel="1" x14ac:dyDescent="0.3">
      <c r="A38" s="34"/>
      <c r="B38" s="11" t="str">
        <f>CONCATENATE("          ","6115"," - ","P.E.R.S.")</f>
        <v xml:space="preserve">          6115 - P.E.R.S.</v>
      </c>
      <c r="C38" s="15"/>
      <c r="D38" s="3">
        <v>133.9</v>
      </c>
      <c r="E38" s="3">
        <v>99.25</v>
      </c>
      <c r="F38" s="3">
        <v>99.25</v>
      </c>
      <c r="G38" s="3">
        <v>148.88</v>
      </c>
      <c r="H38" s="3">
        <v>103.22</v>
      </c>
      <c r="I38" s="3">
        <v>103.22</v>
      </c>
      <c r="J38" s="3">
        <v>103.22</v>
      </c>
      <c r="K38" s="3">
        <v>123.87</v>
      </c>
      <c r="L38" s="3">
        <v>123.87</v>
      </c>
      <c r="M38" s="3">
        <v>179.61</v>
      </c>
      <c r="N38" s="3">
        <v>202.166134</v>
      </c>
      <c r="O38" s="3">
        <v>202.166134</v>
      </c>
      <c r="P38" s="10"/>
      <c r="Q38" s="3">
        <f>SUM(OSRRefD21_0_4x)+IFERROR(SUM(OSRRefE21_0_4x),0)</f>
        <v>1622.6222680000001</v>
      </c>
    </row>
    <row r="39" spans="1:17" s="42" customFormat="1" ht="15" hidden="1" customHeight="1" outlineLevel="1" x14ac:dyDescent="0.3">
      <c r="A39" s="34"/>
      <c r="B39" s="11" t="str">
        <f>CONCATENATE("          ","6116"," - ","EDUCATIONAL BENEFITS")</f>
        <v xml:space="preserve">          6116 - EDUCATIONAL BENEFITS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/>
      <c r="N39" s="3">
        <v>0</v>
      </c>
      <c r="O39" s="3">
        <v>0</v>
      </c>
      <c r="P39" s="10"/>
      <c r="Q39" s="3">
        <f>SUM(OSRRefD21_0_5x)+IFERROR(SUM(OSRRefE21_0_5x),0)</f>
        <v>0</v>
      </c>
    </row>
    <row r="40" spans="1:17" s="42" customFormat="1" ht="15" hidden="1" customHeight="1" outlineLevel="1" x14ac:dyDescent="0.3">
      <c r="A40" s="34"/>
      <c r="B40" s="11" t="str">
        <f>CONCATENATE("          ","6117"," - ","RETIREMENT STAFF HOURLY")</f>
        <v xml:space="preserve">          6117 - RETIREMENT STAFF HOURLY</v>
      </c>
      <c r="C40" s="15"/>
      <c r="D40" s="3">
        <v>162.69999999999999</v>
      </c>
      <c r="E40" s="3">
        <v>60</v>
      </c>
      <c r="F40" s="3">
        <v>60</v>
      </c>
      <c r="G40" s="3">
        <v>-940.04</v>
      </c>
      <c r="H40" s="3">
        <v>120</v>
      </c>
      <c r="I40" s="3">
        <v>120</v>
      </c>
      <c r="J40" s="3">
        <v>180</v>
      </c>
      <c r="K40" s="3">
        <v>120</v>
      </c>
      <c r="L40" s="3">
        <v>120</v>
      </c>
      <c r="M40" s="3">
        <v>157.46</v>
      </c>
      <c r="N40" s="3"/>
      <c r="O40" s="3"/>
      <c r="P40" s="10"/>
      <c r="Q40" s="3">
        <f>SUM(OSRRefD21_0_6x)+IFERROR(SUM(OSRRefE21_0_6x),0)</f>
        <v>160.12000000000009</v>
      </c>
    </row>
    <row r="41" spans="1:17" s="42" customFormat="1" ht="15" hidden="1" customHeight="1" outlineLevel="1" x14ac:dyDescent="0.3">
      <c r="A41" s="34"/>
      <c r="B41" s="11" t="str">
        <f>CONCATENATE("          ","6118"," - ","VACATION")</f>
        <v xml:space="preserve">          6118 - VACATION</v>
      </c>
      <c r="C41" s="15"/>
      <c r="D41" s="3">
        <v>67.760000000000005</v>
      </c>
      <c r="E41" s="3">
        <v>61.6</v>
      </c>
      <c r="F41" s="3">
        <v>123.2</v>
      </c>
      <c r="G41" s="3">
        <v>313.04000000000002</v>
      </c>
      <c r="H41" s="3">
        <v>222.3</v>
      </c>
      <c r="I41" s="3">
        <v>227.57</v>
      </c>
      <c r="J41" s="3">
        <v>359.95</v>
      </c>
      <c r="K41" s="3">
        <v>917.55</v>
      </c>
      <c r="L41" s="3">
        <v>247.46</v>
      </c>
      <c r="M41" s="3">
        <v>390.91</v>
      </c>
      <c r="N41" s="3">
        <v>179.29106999999999</v>
      </c>
      <c r="O41" s="3">
        <v>179.29106999999999</v>
      </c>
      <c r="P41" s="10"/>
      <c r="Q41" s="3">
        <f>SUM(OSRRefD21_0_7x)+IFERROR(SUM(OSRRefE21_0_7x),0)</f>
        <v>3289.9221400000001</v>
      </c>
    </row>
    <row r="42" spans="1:17" s="42" customFormat="1" ht="15" hidden="1" customHeight="1" outlineLevel="1" x14ac:dyDescent="0.3">
      <c r="A42" s="34"/>
      <c r="B42" s="11" t="str">
        <f>CONCATENATE("          ","6119"," - ","SICK LEAVE")</f>
        <v xml:space="preserve">          6119 - SICK LEAVE</v>
      </c>
      <c r="C42" s="15"/>
      <c r="D42" s="3">
        <v>81.180000000000007</v>
      </c>
      <c r="E42" s="3">
        <v>73.8</v>
      </c>
      <c r="F42" s="3">
        <v>147.6</v>
      </c>
      <c r="G42" s="3">
        <v>311.87</v>
      </c>
      <c r="H42" s="3">
        <v>216.23</v>
      </c>
      <c r="I42" s="3">
        <v>216.23</v>
      </c>
      <c r="J42" s="3">
        <v>494.25</v>
      </c>
      <c r="K42" s="3">
        <v>1533.28</v>
      </c>
      <c r="L42" s="3">
        <v>228.77</v>
      </c>
      <c r="M42" s="3">
        <v>366.78</v>
      </c>
      <c r="N42" s="3">
        <v>248.82617999999999</v>
      </c>
      <c r="O42" s="3">
        <v>230.85017999999999</v>
      </c>
      <c r="P42" s="10"/>
      <c r="Q42" s="3">
        <f>SUM(OSRRefD21_0_8x)+IFERROR(SUM(OSRRefE21_0_8x),0)</f>
        <v>4149.6663600000002</v>
      </c>
    </row>
    <row r="43" spans="1:17" s="42" customFormat="1" ht="15" hidden="1" customHeight="1" outlineLevel="1" x14ac:dyDescent="0.3">
      <c r="A43" s="34"/>
      <c r="B43" s="11" t="str">
        <f>CONCATENATE("          ","6156"," - ","EMPLOYEE MEALS")</f>
        <v xml:space="preserve">          6156 - EMPLOYEE MEALS</v>
      </c>
      <c r="C43" s="15"/>
      <c r="D43" s="3">
        <v>23.71</v>
      </c>
      <c r="E43" s="3"/>
      <c r="F43" s="3">
        <v>166.65</v>
      </c>
      <c r="G43" s="3">
        <v>277.39</v>
      </c>
      <c r="H43" s="3">
        <v>220.41</v>
      </c>
      <c r="I43" s="3">
        <v>196.99</v>
      </c>
      <c r="J43" s="3">
        <v>225.84</v>
      </c>
      <c r="K43" s="3">
        <v>225.02</v>
      </c>
      <c r="L43" s="3">
        <v>238.39</v>
      </c>
      <c r="M43" s="3">
        <v>249.4</v>
      </c>
      <c r="N43" s="3">
        <v>350</v>
      </c>
      <c r="O43" s="3">
        <v>350</v>
      </c>
      <c r="P43" s="10"/>
      <c r="Q43" s="3">
        <f>SUM(OSRRefD21_0_9x)+IFERROR(SUM(OSRRefE21_0_9x),0)</f>
        <v>2523.8000000000002</v>
      </c>
    </row>
    <row r="44" spans="1:17" s="42" customFormat="1" ht="15" customHeight="1" collapsed="1" x14ac:dyDescent="0.3">
      <c r="A44" s="34"/>
      <c r="B44" s="15" t="str">
        <f>CONCATENATE("     ","*Payroll                                          ")</f>
        <v xml:space="preserve">     *Payroll                                          </v>
      </c>
      <c r="C44" s="15"/>
      <c r="D44" s="2">
        <f>SUM(OSRRefD21_1x_0)</f>
        <v>10510.92</v>
      </c>
      <c r="E44" s="2">
        <f>SUM(OSRRefD21_1x_1)</f>
        <v>9364.9499999999989</v>
      </c>
      <c r="F44" s="2">
        <f>SUM(OSRRefD21_1x_2)</f>
        <v>9752.59</v>
      </c>
      <c r="G44" s="2">
        <f>SUM(OSRRefD21_1x_3)</f>
        <v>12737.43</v>
      </c>
      <c r="H44" s="2">
        <f>SUM(OSRRefD21_1x_4)</f>
        <v>9218.130000000001</v>
      </c>
      <c r="I44" s="2">
        <f>SUM(OSRRefD21_1x_5)</f>
        <v>9388.6099999999988</v>
      </c>
      <c r="J44" s="2">
        <f>SUM(OSRRefD21_1x_6)</f>
        <v>10489.11</v>
      </c>
      <c r="K44" s="2">
        <f>SUM(OSRRefD21_1x_7)</f>
        <v>9615.25</v>
      </c>
      <c r="L44" s="2">
        <f>SUM(OSRRefD21_1x_8)</f>
        <v>11228.220000000001</v>
      </c>
      <c r="M44" s="2">
        <f>SUM(OSRRefD21_1x_9)</f>
        <v>13530.35</v>
      </c>
      <c r="N44" s="2">
        <f>SUM(OSRRefE21_1x_0)</f>
        <v>9987.5105499999991</v>
      </c>
      <c r="O44" s="2">
        <f>SUM(OSRRefE21_1x_1)</f>
        <v>9388.3105500000001</v>
      </c>
      <c r="Q44" s="3">
        <f>SUM(OSRRefD20_1x)+IFERROR(SUM(OSRRefE20_1x),0)</f>
        <v>125211.38110000001</v>
      </c>
    </row>
    <row r="45" spans="1:17" s="42" customFormat="1" ht="15" hidden="1" customHeight="1" outlineLevel="1" x14ac:dyDescent="0.3">
      <c r="A45" s="34"/>
      <c r="B45" s="11" t="str">
        <f>CONCATENATE("          ","6001"," - ","ADMINISTRATIVE SALARIES")</f>
        <v xml:space="preserve">          6001 - ADMINISTRATIVE SALARIES</v>
      </c>
      <c r="C45" s="15"/>
      <c r="D45" s="3"/>
      <c r="E45" s="3"/>
      <c r="F45" s="3"/>
      <c r="G45" s="3"/>
      <c r="H45" s="3"/>
      <c r="I45" s="3"/>
      <c r="J45" s="3"/>
      <c r="K45" s="3"/>
      <c r="L45" s="3"/>
      <c r="M45" s="3"/>
      <c r="N45" s="3">
        <v>0</v>
      </c>
      <c r="O45" s="3">
        <v>0</v>
      </c>
      <c r="P45" s="10"/>
      <c r="Q45" s="3">
        <f>SUM(OSRRefD21_1_0x)+IFERROR(SUM(OSRRefE21_1_0x),0)</f>
        <v>0</v>
      </c>
    </row>
    <row r="46" spans="1:17" s="42" customFormat="1" ht="15" hidden="1" customHeight="1" outlineLevel="1" x14ac:dyDescent="0.3">
      <c r="A46" s="34"/>
      <c r="B46" s="11" t="str">
        <f>CONCATENATE("          ","6002"," - ","STAFF SALARIES")</f>
        <v xml:space="preserve">          6002 - STAFF SALARIES</v>
      </c>
      <c r="C46" s="15"/>
      <c r="D46" s="3">
        <v>5113.92</v>
      </c>
      <c r="E46" s="3">
        <v>980.7</v>
      </c>
      <c r="F46" s="3">
        <v>1307.7</v>
      </c>
      <c r="G46" s="3">
        <v>1634.62</v>
      </c>
      <c r="H46" s="3">
        <v>1156</v>
      </c>
      <c r="I46" s="3">
        <v>1360</v>
      </c>
      <c r="J46" s="3">
        <v>1700</v>
      </c>
      <c r="K46" s="3">
        <v>1700</v>
      </c>
      <c r="L46" s="3">
        <v>1632</v>
      </c>
      <c r="M46" s="3">
        <v>2040</v>
      </c>
      <c r="N46" s="3">
        <v>2233.2305500000002</v>
      </c>
      <c r="O46" s="3">
        <v>2233.2305500000002</v>
      </c>
      <c r="P46" s="10"/>
      <c r="Q46" s="3">
        <f>SUM(OSRRefD21_1_1x)+IFERROR(SUM(OSRRefE21_1_1x),0)</f>
        <v>23091.401099999999</v>
      </c>
    </row>
    <row r="47" spans="1:17" s="42" customFormat="1" ht="15" hidden="1" customHeight="1" outlineLevel="1" x14ac:dyDescent="0.3">
      <c r="A47" s="34"/>
      <c r="B47" s="11" t="str">
        <f>CONCATENATE("          ","6003"," - ","STAFF HOURLY-9 MONTH")</f>
        <v xml:space="preserve">          6003 - STAFF HOURLY-9 MONTH</v>
      </c>
      <c r="C47" s="15"/>
      <c r="D47" s="3"/>
      <c r="E47" s="3"/>
      <c r="F47" s="3"/>
      <c r="G47" s="3"/>
      <c r="H47" s="3"/>
      <c r="I47" s="3"/>
      <c r="J47" s="3"/>
      <c r="K47" s="3"/>
      <c r="L47" s="3"/>
      <c r="M47" s="3"/>
      <c r="N47" s="3">
        <v>0</v>
      </c>
      <c r="O47" s="3">
        <v>0</v>
      </c>
      <c r="P47" s="10"/>
      <c r="Q47" s="3">
        <f>SUM(OSRRefD21_1_2x)+IFERROR(SUM(OSRRefE21_1_2x),0)</f>
        <v>0</v>
      </c>
    </row>
    <row r="48" spans="1:17" s="42" customFormat="1" ht="15" hidden="1" customHeight="1" outlineLevel="1" x14ac:dyDescent="0.3">
      <c r="A48" s="34"/>
      <c r="B48" s="11" t="str">
        <f>CONCATENATE("          ","6004"," - ","STAFF HOURLY")</f>
        <v xml:space="preserve">          6004 - STAFF HOURLY</v>
      </c>
      <c r="C48" s="15"/>
      <c r="D48" s="3">
        <v>610.5</v>
      </c>
      <c r="E48" s="3">
        <v>1109.33</v>
      </c>
      <c r="F48" s="3">
        <v>3890.2</v>
      </c>
      <c r="G48" s="3">
        <v>5152.08</v>
      </c>
      <c r="H48" s="3">
        <v>3988.37</v>
      </c>
      <c r="I48" s="3">
        <v>2991.75</v>
      </c>
      <c r="J48" s="3">
        <v>3151.23</v>
      </c>
      <c r="K48" s="3">
        <v>4089.69</v>
      </c>
      <c r="L48" s="3">
        <v>3489.49</v>
      </c>
      <c r="M48" s="3">
        <v>5423.45</v>
      </c>
      <c r="N48" s="3">
        <v>3444.32</v>
      </c>
      <c r="O48" s="3">
        <v>3444.32</v>
      </c>
      <c r="P48" s="10"/>
      <c r="Q48" s="3">
        <f>SUM(OSRRefD21_1_3x)+IFERROR(SUM(OSRRefE21_1_3x),0)</f>
        <v>40784.729999999996</v>
      </c>
    </row>
    <row r="49" spans="1:17" s="42" customFormat="1" ht="15" hidden="1" customHeight="1" outlineLevel="1" x14ac:dyDescent="0.3">
      <c r="A49" s="34"/>
      <c r="B49" s="11" t="str">
        <f>CONCATENATE("          ","6005"," - ","TEMPORARY WAGES-HOURLY")</f>
        <v xml:space="preserve">          6005 - TEMPORARY WAGES-HOURLY</v>
      </c>
      <c r="C49" s="15"/>
      <c r="D49" s="3"/>
      <c r="E49" s="3"/>
      <c r="F49" s="3">
        <v>1425.28</v>
      </c>
      <c r="G49" s="3">
        <v>2493.6</v>
      </c>
      <c r="H49" s="3">
        <v>1088.5899999999999</v>
      </c>
      <c r="I49" s="3">
        <v>1871.67</v>
      </c>
      <c r="J49" s="3">
        <v>1354.67</v>
      </c>
      <c r="K49" s="3">
        <v>2308.37</v>
      </c>
      <c r="L49" s="3">
        <v>1412.76</v>
      </c>
      <c r="M49" s="3">
        <v>2758.09</v>
      </c>
      <c r="N49" s="3">
        <v>0</v>
      </c>
      <c r="O49" s="3">
        <v>0</v>
      </c>
      <c r="P49" s="10"/>
      <c r="Q49" s="3">
        <f>SUM(OSRRefD21_1_4x)+IFERROR(SUM(OSRRefE21_1_4x),0)</f>
        <v>14713.03</v>
      </c>
    </row>
    <row r="50" spans="1:17" s="42" customFormat="1" ht="15" hidden="1" customHeight="1" outlineLevel="1" x14ac:dyDescent="0.3">
      <c r="A50" s="34"/>
      <c r="B50" s="11" t="str">
        <f>CONCATENATE("          ","6006"," - ","TEMPORARY PART TIME")</f>
        <v xml:space="preserve">          6006 - TEMPORARY PART TIME</v>
      </c>
      <c r="C50" s="15"/>
      <c r="D50" s="3"/>
      <c r="E50" s="3"/>
      <c r="F50" s="3"/>
      <c r="G50" s="3"/>
      <c r="H50" s="3"/>
      <c r="I50" s="3"/>
      <c r="J50" s="3"/>
      <c r="K50" s="3"/>
      <c r="L50" s="3"/>
      <c r="M50" s="3"/>
      <c r="N50" s="3">
        <v>0</v>
      </c>
      <c r="O50" s="3">
        <v>0</v>
      </c>
      <c r="P50" s="10"/>
      <c r="Q50" s="3">
        <f>SUM(OSRRefD21_1_5x)+IFERROR(SUM(OSRRefE21_1_5x),0)</f>
        <v>0</v>
      </c>
    </row>
    <row r="51" spans="1:17" s="42" customFormat="1" ht="15" hidden="1" customHeight="1" outlineLevel="1" x14ac:dyDescent="0.3">
      <c r="A51" s="34"/>
      <c r="B51" s="11" t="str">
        <f>CONCATENATE("          ","6007"," - ","STUDENT HOURLY")</f>
        <v xml:space="preserve">          6007 - STUDENT HOURLY</v>
      </c>
      <c r="C51" s="15"/>
      <c r="D51" s="3">
        <v>4786.5</v>
      </c>
      <c r="E51" s="3">
        <v>6117.37</v>
      </c>
      <c r="F51" s="3">
        <v>1992.89</v>
      </c>
      <c r="G51" s="3">
        <v>1733.5</v>
      </c>
      <c r="H51" s="3">
        <v>1970.89</v>
      </c>
      <c r="I51" s="3">
        <v>2051.54</v>
      </c>
      <c r="J51" s="3">
        <v>4283.21</v>
      </c>
      <c r="K51" s="3">
        <v>1517.19</v>
      </c>
      <c r="L51" s="3">
        <v>4693.97</v>
      </c>
      <c r="M51" s="3">
        <v>3308.81</v>
      </c>
      <c r="N51" s="3">
        <v>0</v>
      </c>
      <c r="O51" s="3">
        <v>3710.76</v>
      </c>
      <c r="P51" s="10"/>
      <c r="Q51" s="3">
        <f>SUM(OSRRefD21_1_6x)+IFERROR(SUM(OSRRefE21_1_6x),0)</f>
        <v>36166.629999999997</v>
      </c>
    </row>
    <row r="52" spans="1:17" s="42" customFormat="1" ht="15" hidden="1" customHeight="1" outlineLevel="1" x14ac:dyDescent="0.3">
      <c r="A52" s="34"/>
      <c r="B52" s="11" t="str">
        <f>CONCATENATE("          ","6008"," - ","STUDENT HOURLY-FICA EXEMPT")</f>
        <v xml:space="preserve">          6008 - STUDENT HOURLY-FICA EXEMPT</v>
      </c>
      <c r="C52" s="15"/>
      <c r="D52" s="3"/>
      <c r="E52" s="3">
        <v>1157.55</v>
      </c>
      <c r="F52" s="3">
        <v>1136.52</v>
      </c>
      <c r="G52" s="3">
        <v>1723.63</v>
      </c>
      <c r="H52" s="3">
        <v>1014.28</v>
      </c>
      <c r="I52" s="3">
        <v>1113.6500000000001</v>
      </c>
      <c r="J52" s="3"/>
      <c r="K52" s="3"/>
      <c r="L52" s="3"/>
      <c r="M52" s="3"/>
      <c r="N52" s="3">
        <v>4309.96</v>
      </c>
      <c r="O52" s="3">
        <v>0</v>
      </c>
      <c r="P52" s="10"/>
      <c r="Q52" s="3">
        <f>SUM(OSRRefD21_1_7x)+IFERROR(SUM(OSRRefE21_1_7x),0)</f>
        <v>10455.59</v>
      </c>
    </row>
    <row r="53" spans="1:17" s="42" customFormat="1" ht="15" hidden="1" customHeight="1" outlineLevel="1" x14ac:dyDescent="0.3">
      <c r="A53" s="34"/>
      <c r="B53" s="11" t="str">
        <f>CONCATENATE("          ","6009"," - ","TEMPORARY-SEASONAL")</f>
        <v xml:space="preserve">          6009 - TEMPORARY-SEASONAL</v>
      </c>
      <c r="C53" s="15"/>
      <c r="D53" s="3"/>
      <c r="E53" s="3"/>
      <c r="F53" s="3"/>
      <c r="G53" s="3"/>
      <c r="H53" s="3"/>
      <c r="I53" s="3"/>
      <c r="J53" s="3"/>
      <c r="K53" s="3"/>
      <c r="L53" s="3"/>
      <c r="M53" s="3"/>
      <c r="N53" s="3">
        <v>0</v>
      </c>
      <c r="O53" s="3">
        <v>0</v>
      </c>
      <c r="P53" s="10"/>
      <c r="Q53" s="3">
        <f>SUM(OSRRefD21_1_8x)+IFERROR(SUM(OSRRefE21_1_8x),0)</f>
        <v>0</v>
      </c>
    </row>
    <row r="54" spans="1:17" s="42" customFormat="1" ht="15" hidden="1" customHeight="1" outlineLevel="1" x14ac:dyDescent="0.3">
      <c r="A54" s="34"/>
      <c r="B54" s="11" t="str">
        <f>CONCATENATE("          ","6010"," - ","GRATUITY")</f>
        <v xml:space="preserve">          6010 - GRATUITY</v>
      </c>
      <c r="C54" s="15"/>
      <c r="D54" s="3"/>
      <c r="E54" s="3"/>
      <c r="F54" s="3"/>
      <c r="G54" s="3"/>
      <c r="H54" s="3"/>
      <c r="I54" s="3"/>
      <c r="J54" s="3"/>
      <c r="K54" s="3"/>
      <c r="L54" s="3"/>
      <c r="M54" s="3"/>
      <c r="N54" s="3">
        <v>0</v>
      </c>
      <c r="O54" s="3">
        <v>0</v>
      </c>
      <c r="P54" s="10"/>
      <c r="Q54" s="3">
        <f>SUM(OSRRefD21_1_9x)+IFERROR(SUM(OSRRefE21_1_9x),0)</f>
        <v>0</v>
      </c>
    </row>
    <row r="55" spans="1:17" s="42" customFormat="1" ht="15" customHeight="1" collapsed="1" x14ac:dyDescent="0.3">
      <c r="A55" s="34"/>
      <c r="B55" s="15" t="str">
        <f>CONCATENATE("     ","Advertising/Promo                                 ")</f>
        <v xml:space="preserve">     Advertising/Promo                                 </v>
      </c>
      <c r="C55" s="15"/>
      <c r="D55" s="2">
        <f>SUM(OSRRefD21_2x_0)</f>
        <v>45.42</v>
      </c>
      <c r="E55" s="2">
        <f>SUM(OSRRefD21_2x_1)</f>
        <v>39.619999999999997</v>
      </c>
      <c r="F55" s="2">
        <f>SUM(OSRRefD21_2x_2)</f>
        <v>19.850000000000001</v>
      </c>
      <c r="G55" s="2">
        <f>SUM(OSRRefD21_2x_3)</f>
        <v>6.62</v>
      </c>
      <c r="H55" s="2">
        <f>SUM(OSRRefD21_2x_4)</f>
        <v>6.62</v>
      </c>
      <c r="I55" s="2">
        <f>SUM(OSRRefD21_2x_5)</f>
        <v>0</v>
      </c>
      <c r="J55" s="2">
        <f>SUM(OSRRefD21_2x_6)</f>
        <v>28.67</v>
      </c>
      <c r="K55" s="2">
        <f>SUM(OSRRefD21_2x_7)</f>
        <v>30.19</v>
      </c>
      <c r="L55" s="2">
        <f>SUM(OSRRefD21_2x_8)</f>
        <v>1.98</v>
      </c>
      <c r="M55" s="2">
        <f>SUM(OSRRefD21_2x_9)</f>
        <v>0</v>
      </c>
      <c r="N55" s="2">
        <f>SUM(OSRRefE21_2x_0)</f>
        <v>200</v>
      </c>
      <c r="O55" s="2">
        <f>SUM(OSRRefE21_2x_1)</f>
        <v>200</v>
      </c>
      <c r="Q55" s="3">
        <f>SUM(OSRRefD20_2x)+IFERROR(SUM(OSRRefE20_2x),0)</f>
        <v>578.97</v>
      </c>
    </row>
    <row r="56" spans="1:17" s="42" customFormat="1" ht="15" hidden="1" customHeight="1" outlineLevel="1" x14ac:dyDescent="0.3">
      <c r="A56" s="34"/>
      <c r="B56" s="11" t="str">
        <f>CONCATENATE("          ","6362"," - ","ADVERTISING EXPENSE")</f>
        <v xml:space="preserve">          6362 - ADVERTISING EXPENSE</v>
      </c>
      <c r="C56" s="15"/>
      <c r="D56" s="3">
        <v>45.42</v>
      </c>
      <c r="E56" s="3">
        <v>39.619999999999997</v>
      </c>
      <c r="F56" s="3">
        <v>19.850000000000001</v>
      </c>
      <c r="G56" s="3">
        <v>6.62</v>
      </c>
      <c r="H56" s="3">
        <v>6.62</v>
      </c>
      <c r="I56" s="3"/>
      <c r="J56" s="3">
        <v>28.67</v>
      </c>
      <c r="K56" s="3">
        <v>30.19</v>
      </c>
      <c r="L56" s="3">
        <v>1.98</v>
      </c>
      <c r="M56" s="3"/>
      <c r="N56" s="3">
        <v>200</v>
      </c>
      <c r="O56" s="3">
        <v>200</v>
      </c>
      <c r="P56" s="10"/>
      <c r="Q56" s="3">
        <f>SUM(OSRRefD21_2_0x)+IFERROR(SUM(OSRRefE21_2_0x),0)</f>
        <v>578.97</v>
      </c>
    </row>
    <row r="57" spans="1:17" s="42" customFormat="1" ht="15" customHeight="1" collapsed="1" x14ac:dyDescent="0.3">
      <c r="A57" s="34"/>
      <c r="B57" s="15" t="str">
        <f>CONCATENATE("     ","Depreciation                                      ")</f>
        <v xml:space="preserve">     Depreciation                                      </v>
      </c>
      <c r="C57" s="15"/>
      <c r="D57" s="2">
        <f>SUM(OSRRefD21_3x_0)</f>
        <v>280.44</v>
      </c>
      <c r="E57" s="2">
        <f>SUM(OSRRefD21_3x_1)</f>
        <v>280.44</v>
      </c>
      <c r="F57" s="2">
        <f>SUM(OSRRefD21_3x_2)</f>
        <v>280.44</v>
      </c>
      <c r="G57" s="2">
        <f>SUM(OSRRefD21_3x_3)</f>
        <v>280.44</v>
      </c>
      <c r="H57" s="2">
        <f>SUM(OSRRefD21_3x_4)</f>
        <v>280.44</v>
      </c>
      <c r="I57" s="2">
        <f>SUM(OSRRefD21_3x_5)</f>
        <v>280.44</v>
      </c>
      <c r="J57" s="2">
        <f>SUM(OSRRefD21_3x_6)</f>
        <v>280.44</v>
      </c>
      <c r="K57" s="2">
        <f>SUM(OSRRefD21_3x_7)</f>
        <v>280.44</v>
      </c>
      <c r="L57" s="2">
        <f>SUM(OSRRefD21_3x_8)</f>
        <v>280.44</v>
      </c>
      <c r="M57" s="2">
        <f>SUM(OSRRefD21_3x_9)</f>
        <v>280.44</v>
      </c>
      <c r="N57" s="2">
        <f>SUM(OSRRefE21_3x_0)</f>
        <v>0</v>
      </c>
      <c r="O57" s="2">
        <f>SUM(OSRRefE21_3x_1)</f>
        <v>0</v>
      </c>
      <c r="Q57" s="3">
        <f>SUM(OSRRefD20_3x)+IFERROR(SUM(OSRRefE20_3x),0)</f>
        <v>2804.4</v>
      </c>
    </row>
    <row r="58" spans="1:17" s="42" customFormat="1" ht="15" hidden="1" customHeight="1" outlineLevel="1" x14ac:dyDescent="0.3">
      <c r="A58" s="34"/>
      <c r="B58" s="11" t="str">
        <f>CONCATENATE("          ","6322"," - ","EQUIPMENT DEPRECIATION EXPENSE")</f>
        <v xml:space="preserve">          6322 - EQUIPMENT DEPRECIATION EXPENSE</v>
      </c>
      <c r="C58" s="15"/>
      <c r="D58" s="3">
        <v>280.44</v>
      </c>
      <c r="E58" s="3">
        <v>280.44</v>
      </c>
      <c r="F58" s="3">
        <v>280.44</v>
      </c>
      <c r="G58" s="3">
        <v>280.44</v>
      </c>
      <c r="H58" s="3">
        <v>280.44</v>
      </c>
      <c r="I58" s="3">
        <v>280.44</v>
      </c>
      <c r="J58" s="3">
        <v>280.44</v>
      </c>
      <c r="K58" s="3">
        <v>280.44</v>
      </c>
      <c r="L58" s="3">
        <v>280.44</v>
      </c>
      <c r="M58" s="3">
        <v>280.44</v>
      </c>
      <c r="N58" s="3"/>
      <c r="O58" s="3"/>
      <c r="P58" s="10"/>
      <c r="Q58" s="3">
        <f>SUM(OSRRefD21_3_0x)+IFERROR(SUM(OSRRefE21_3_0x),0)</f>
        <v>2804.4</v>
      </c>
    </row>
    <row r="59" spans="1:17" s="42" customFormat="1" ht="15" customHeight="1" collapsed="1" x14ac:dyDescent="0.3">
      <c r="A59" s="34"/>
      <c r="B59" s="15" t="str">
        <f>CONCATENATE("     ","Employees' Appreciation                           ")</f>
        <v xml:space="preserve">     Employees' Appreciation                           </v>
      </c>
      <c r="C59" s="15"/>
      <c r="D59" s="2">
        <f>SUM(OSRRefD21_4x_0)</f>
        <v>0</v>
      </c>
      <c r="E59" s="2">
        <f>SUM(OSRRefD21_4x_1)</f>
        <v>0</v>
      </c>
      <c r="F59" s="2">
        <f>SUM(OSRRefD21_4x_2)</f>
        <v>0</v>
      </c>
      <c r="G59" s="2">
        <f>SUM(OSRRefD21_4x_3)</f>
        <v>0</v>
      </c>
      <c r="H59" s="2">
        <f>SUM(OSRRefD21_4x_4)</f>
        <v>0</v>
      </c>
      <c r="I59" s="2">
        <f>SUM(OSRRefD21_4x_5)</f>
        <v>0</v>
      </c>
      <c r="J59" s="2">
        <f>SUM(OSRRefD21_4x_6)</f>
        <v>0</v>
      </c>
      <c r="K59" s="2">
        <f>SUM(OSRRefD21_4x_7)</f>
        <v>0</v>
      </c>
      <c r="L59" s="2">
        <f>SUM(OSRRefD21_4x_8)</f>
        <v>0</v>
      </c>
      <c r="M59" s="2">
        <f>SUM(OSRRefD21_4x_9)</f>
        <v>0</v>
      </c>
      <c r="N59" s="2">
        <f>SUM(OSRRefE21_4x_0)</f>
        <v>20</v>
      </c>
      <c r="O59" s="2">
        <f>SUM(OSRRefE21_4x_1)</f>
        <v>20</v>
      </c>
      <c r="Q59" s="3">
        <f>SUM(OSRRefD20_4x)+IFERROR(SUM(OSRRefE20_4x),0)</f>
        <v>40</v>
      </c>
    </row>
    <row r="60" spans="1:17" s="42" customFormat="1" ht="15" hidden="1" customHeight="1" outlineLevel="1" x14ac:dyDescent="0.3">
      <c r="A60" s="34"/>
      <c r="B60" s="11" t="str">
        <f>CONCATENATE("          ","6277"," - ","EMPLOYEE APPRECIATION")</f>
        <v xml:space="preserve">          6277 - EMPLOYEE APPRECIATION</v>
      </c>
      <c r="C60" s="15"/>
      <c r="D60" s="3"/>
      <c r="E60" s="3"/>
      <c r="F60" s="3"/>
      <c r="G60" s="3"/>
      <c r="H60" s="3"/>
      <c r="I60" s="3"/>
      <c r="J60" s="3"/>
      <c r="K60" s="3"/>
      <c r="L60" s="3"/>
      <c r="M60" s="3"/>
      <c r="N60" s="3">
        <v>20</v>
      </c>
      <c r="O60" s="3">
        <v>20</v>
      </c>
      <c r="P60" s="10"/>
      <c r="Q60" s="3">
        <f>SUM(OSRRefD21_4_0x)+IFERROR(SUM(OSRRefE21_4_0x),0)</f>
        <v>40</v>
      </c>
    </row>
    <row r="61" spans="1:17" s="42" customFormat="1" ht="15" customHeight="1" collapsed="1" x14ac:dyDescent="0.3">
      <c r="A61" s="34"/>
      <c r="B61" s="15" t="str">
        <f>CONCATENATE("     ","Freight out/Postage                               ")</f>
        <v xml:space="preserve">     Freight out/Postage                               </v>
      </c>
      <c r="C61" s="15"/>
      <c r="D61" s="2">
        <f>SUM(OSRRefD21_5x_0)</f>
        <v>93.19</v>
      </c>
      <c r="E61" s="2">
        <f>SUM(OSRRefD21_5x_1)</f>
        <v>0</v>
      </c>
      <c r="F61" s="2">
        <f>SUM(OSRRefD21_5x_2)</f>
        <v>23.18</v>
      </c>
      <c r="G61" s="2">
        <f>SUM(OSRRefD21_5x_3)</f>
        <v>5.42</v>
      </c>
      <c r="H61" s="2">
        <f>SUM(OSRRefD21_5x_4)</f>
        <v>0.34</v>
      </c>
      <c r="I61" s="2">
        <f>SUM(OSRRefD21_5x_5)</f>
        <v>0</v>
      </c>
      <c r="J61" s="2">
        <f>SUM(OSRRefD21_5x_6)</f>
        <v>0</v>
      </c>
      <c r="K61" s="2">
        <f>SUM(OSRRefD21_5x_7)</f>
        <v>0</v>
      </c>
      <c r="L61" s="2">
        <f>SUM(OSRRefD21_5x_8)</f>
        <v>0</v>
      </c>
      <c r="M61" s="2">
        <f>SUM(OSRRefD21_5x_9)</f>
        <v>0</v>
      </c>
      <c r="N61" s="2">
        <f>SUM(OSRRefE21_5x_0)</f>
        <v>15</v>
      </c>
      <c r="O61" s="2">
        <f>SUM(OSRRefE21_5x_1)</f>
        <v>15</v>
      </c>
      <c r="Q61" s="3">
        <f>SUM(OSRRefD20_5x)+IFERROR(SUM(OSRRefE20_5x),0)</f>
        <v>152.13</v>
      </c>
    </row>
    <row r="62" spans="1:17" s="42" customFormat="1" ht="15" hidden="1" customHeight="1" outlineLevel="1" x14ac:dyDescent="0.3">
      <c r="A62" s="34"/>
      <c r="B62" s="11" t="str">
        <f>CONCATENATE("          ","6305"," - ","FREIGHT OUT")</f>
        <v xml:space="preserve">          6305 - FREIGHT OUT</v>
      </c>
      <c r="C62" s="15"/>
      <c r="D62" s="3">
        <v>93.19</v>
      </c>
      <c r="E62" s="3"/>
      <c r="F62" s="3">
        <v>23.18</v>
      </c>
      <c r="G62" s="3">
        <v>5.42</v>
      </c>
      <c r="H62" s="3">
        <v>0.34</v>
      </c>
      <c r="I62" s="3"/>
      <c r="J62" s="3"/>
      <c r="K62" s="3"/>
      <c r="L62" s="3"/>
      <c r="M62" s="3"/>
      <c r="N62" s="3">
        <v>15</v>
      </c>
      <c r="O62" s="3">
        <v>15</v>
      </c>
      <c r="P62" s="10"/>
      <c r="Q62" s="3">
        <f>SUM(OSRRefD21_5_0x)+IFERROR(SUM(OSRRefE21_5_0x),0)</f>
        <v>152.13</v>
      </c>
    </row>
    <row r="63" spans="1:17" s="42" customFormat="1" ht="15" customHeight="1" collapsed="1" x14ac:dyDescent="0.3">
      <c r="A63" s="34"/>
      <c r="B63" s="15" t="str">
        <f>CONCATENATE("     ","General                                           ")</f>
        <v xml:space="preserve">     General                                           </v>
      </c>
      <c r="C63" s="15"/>
      <c r="D63" s="2">
        <f>SUM(OSRRefD21_6x_0)</f>
        <v>0</v>
      </c>
      <c r="E63" s="2">
        <f>SUM(OSRRefD21_6x_1)</f>
        <v>0</v>
      </c>
      <c r="F63" s="2">
        <f>SUM(OSRRefD21_6x_2)</f>
        <v>0</v>
      </c>
      <c r="G63" s="2">
        <f>SUM(OSRRefD21_6x_3)</f>
        <v>0</v>
      </c>
      <c r="H63" s="2">
        <f>SUM(OSRRefD21_6x_4)</f>
        <v>0</v>
      </c>
      <c r="I63" s="2">
        <f>SUM(OSRRefD21_6x_5)</f>
        <v>0</v>
      </c>
      <c r="J63" s="2">
        <f>SUM(OSRRefD21_6x_6)</f>
        <v>0</v>
      </c>
      <c r="K63" s="2">
        <f>SUM(OSRRefD21_6x_7)</f>
        <v>0</v>
      </c>
      <c r="L63" s="2">
        <f>SUM(OSRRefD21_6x_8)</f>
        <v>0</v>
      </c>
      <c r="M63" s="2">
        <f>SUM(OSRRefD21_6x_9)</f>
        <v>285</v>
      </c>
      <c r="N63" s="2">
        <f>SUM(OSRRefE21_6x_0)</f>
        <v>30</v>
      </c>
      <c r="O63" s="2">
        <f>SUM(OSRRefE21_6x_1)</f>
        <v>30</v>
      </c>
      <c r="Q63" s="3">
        <f>SUM(OSRRefD20_6x)+IFERROR(SUM(OSRRefE20_6x),0)</f>
        <v>345</v>
      </c>
    </row>
    <row r="64" spans="1:17" s="42" customFormat="1" ht="15" hidden="1" customHeight="1" outlineLevel="1" x14ac:dyDescent="0.3">
      <c r="A64" s="34"/>
      <c r="B64" s="11" t="str">
        <f>CONCATENATE("          ","6279"," - ","GENERAL EXPENSE")</f>
        <v xml:space="preserve">          6279 - GENERAL EXPENSE</v>
      </c>
      <c r="C64" s="15"/>
      <c r="D64" s="3"/>
      <c r="E64" s="3"/>
      <c r="F64" s="3"/>
      <c r="G64" s="3"/>
      <c r="H64" s="3"/>
      <c r="I64" s="3"/>
      <c r="J64" s="3"/>
      <c r="K64" s="3"/>
      <c r="L64" s="3"/>
      <c r="M64" s="3">
        <v>285</v>
      </c>
      <c r="N64" s="3">
        <v>30</v>
      </c>
      <c r="O64" s="3">
        <v>30</v>
      </c>
      <c r="P64" s="10"/>
      <c r="Q64" s="3">
        <f>SUM(OSRRefD21_6_0x)+IFERROR(SUM(OSRRefE21_6_0x),0)</f>
        <v>345</v>
      </c>
    </row>
    <row r="65" spans="1:17" s="42" customFormat="1" ht="15" customHeight="1" collapsed="1" x14ac:dyDescent="0.3">
      <c r="A65" s="34"/>
      <c r="B65" s="15" t="str">
        <f>CONCATENATE("     ","Inventory Adjustment                              ")</f>
        <v xml:space="preserve">     Inventory Adjustment                              </v>
      </c>
      <c r="C65" s="15"/>
      <c r="D65" s="2">
        <f>SUM(OSRRefD21_7x_0)</f>
        <v>1470</v>
      </c>
      <c r="E65" s="2">
        <f>SUM(OSRRefD21_7x_1)</f>
        <v>2020</v>
      </c>
      <c r="F65" s="2">
        <f>SUM(OSRRefD21_7x_2)</f>
        <v>590</v>
      </c>
      <c r="G65" s="2">
        <f>SUM(OSRRefD21_7x_3)</f>
        <v>590</v>
      </c>
      <c r="H65" s="2">
        <f>SUM(OSRRefD21_7x_4)</f>
        <v>630</v>
      </c>
      <c r="I65" s="2">
        <f>SUM(OSRRefD21_7x_5)</f>
        <v>340</v>
      </c>
      <c r="J65" s="2">
        <f>SUM(OSRRefD21_7x_6)</f>
        <v>970</v>
      </c>
      <c r="K65" s="2">
        <f>SUM(OSRRefD21_7x_7)</f>
        <v>590</v>
      </c>
      <c r="L65" s="2">
        <f>SUM(OSRRefD21_7x_8)</f>
        <v>340</v>
      </c>
      <c r="M65" s="2">
        <f>SUM(OSRRefD21_7x_9)</f>
        <v>1100</v>
      </c>
      <c r="N65" s="2">
        <f>SUM(OSRRefE21_7x_0)</f>
        <v>2100</v>
      </c>
      <c r="O65" s="2">
        <f>SUM(OSRRefE21_7x_1)</f>
        <v>550</v>
      </c>
      <c r="Q65" s="3">
        <f>SUM(OSRRefD20_7x)+IFERROR(SUM(OSRRefE20_7x),0)</f>
        <v>11290</v>
      </c>
    </row>
    <row r="66" spans="1:17" s="42" customFormat="1" ht="15" hidden="1" customHeight="1" outlineLevel="1" x14ac:dyDescent="0.3">
      <c r="A66" s="34"/>
      <c r="B66" s="11" t="str">
        <f>CONCATENATE("          ","6408"," - ","INVENTORY ADJUSTMENT")</f>
        <v xml:space="preserve">          6408 - INVENTORY ADJUSTMENT</v>
      </c>
      <c r="C66" s="15"/>
      <c r="D66" s="3">
        <v>1470</v>
      </c>
      <c r="E66" s="3">
        <v>2020</v>
      </c>
      <c r="F66" s="3">
        <v>590</v>
      </c>
      <c r="G66" s="3">
        <v>590</v>
      </c>
      <c r="H66" s="3">
        <v>630</v>
      </c>
      <c r="I66" s="3">
        <v>340</v>
      </c>
      <c r="J66" s="3">
        <v>970</v>
      </c>
      <c r="K66" s="3">
        <v>590</v>
      </c>
      <c r="L66" s="3">
        <v>340</v>
      </c>
      <c r="M66" s="3">
        <v>1100</v>
      </c>
      <c r="N66" s="3">
        <v>2100</v>
      </c>
      <c r="O66" s="3">
        <v>550</v>
      </c>
      <c r="P66" s="10"/>
      <c r="Q66" s="3">
        <f>SUM(OSRRefD21_7_0x)+IFERROR(SUM(OSRRefE21_7_0x),0)</f>
        <v>11290</v>
      </c>
    </row>
    <row r="67" spans="1:17" s="42" customFormat="1" ht="15" customHeight="1" collapsed="1" x14ac:dyDescent="0.3">
      <c r="A67" s="34"/>
      <c r="B67" s="15" t="str">
        <f>CONCATENATE("     ","Repair and Maintenance                            ")</f>
        <v xml:space="preserve">     Repair and Maintenance                            </v>
      </c>
      <c r="C67" s="15"/>
      <c r="D67" s="2">
        <f>SUM(OSRRefD21_8x_0)</f>
        <v>0</v>
      </c>
      <c r="E67" s="2">
        <f>SUM(OSRRefD21_8x_1)</f>
        <v>0</v>
      </c>
      <c r="F67" s="2">
        <f>SUM(OSRRefD21_8x_2)</f>
        <v>0</v>
      </c>
      <c r="G67" s="2">
        <f>SUM(OSRRefD21_8x_3)</f>
        <v>0</v>
      </c>
      <c r="H67" s="2">
        <f>SUM(OSRRefD21_8x_4)</f>
        <v>0</v>
      </c>
      <c r="I67" s="2">
        <f>SUM(OSRRefD21_8x_5)</f>
        <v>0</v>
      </c>
      <c r="J67" s="2">
        <f>SUM(OSRRefD21_8x_6)</f>
        <v>0</v>
      </c>
      <c r="K67" s="2">
        <f>SUM(OSRRefD21_8x_7)</f>
        <v>0</v>
      </c>
      <c r="L67" s="2">
        <f>SUM(OSRRefD21_8x_8)</f>
        <v>1550</v>
      </c>
      <c r="M67" s="2">
        <f>SUM(OSRRefD21_8x_9)</f>
        <v>0</v>
      </c>
      <c r="N67" s="2">
        <f>SUM(OSRRefE21_8x_0)</f>
        <v>0</v>
      </c>
      <c r="O67" s="2">
        <f>SUM(OSRRefE21_8x_1)</f>
        <v>0</v>
      </c>
      <c r="Q67" s="3">
        <f>SUM(OSRRefD20_8x)+IFERROR(SUM(OSRRefE20_8x),0)</f>
        <v>1550</v>
      </c>
    </row>
    <row r="68" spans="1:17" s="42" customFormat="1" ht="15" hidden="1" customHeight="1" outlineLevel="1" x14ac:dyDescent="0.3">
      <c r="A68" s="34"/>
      <c r="B68" s="11" t="str">
        <f>CONCATENATE("          ","6371"," - ","COMPUTER SOFTWARE MAINTENANCE")</f>
        <v xml:space="preserve">          6371 - COMPUTER SOFTWARE MAINTENANCE</v>
      </c>
      <c r="C68" s="15"/>
      <c r="D68" s="3"/>
      <c r="E68" s="3"/>
      <c r="F68" s="3"/>
      <c r="G68" s="3"/>
      <c r="H68" s="3"/>
      <c r="I68" s="3"/>
      <c r="J68" s="3"/>
      <c r="K68" s="3"/>
      <c r="L68" s="3">
        <v>1550</v>
      </c>
      <c r="M68" s="3"/>
      <c r="N68" s="3"/>
      <c r="O68" s="3"/>
      <c r="P68" s="10"/>
      <c r="Q68" s="3">
        <f>SUM(OSRRefD21_8_0x)+IFERROR(SUM(OSRRefE21_8_0x),0)</f>
        <v>1550</v>
      </c>
    </row>
    <row r="69" spans="1:17" s="42" customFormat="1" ht="15" customHeight="1" collapsed="1" x14ac:dyDescent="0.3">
      <c r="A69" s="34"/>
      <c r="B69" s="15" t="str">
        <f>CONCATENATE("     ","Supplies                                          ")</f>
        <v xml:space="preserve">     Supplies                                          </v>
      </c>
      <c r="C69" s="15"/>
      <c r="D69" s="2">
        <f>SUM(OSRRefD21_9x_0)</f>
        <v>2041.8</v>
      </c>
      <c r="E69" s="2">
        <f>SUM(OSRRefD21_9x_1)</f>
        <v>1167.48</v>
      </c>
      <c r="F69" s="2">
        <f>SUM(OSRRefD21_9x_2)</f>
        <v>-150.09</v>
      </c>
      <c r="G69" s="2">
        <f>SUM(OSRRefD21_9x_3)</f>
        <v>159.5</v>
      </c>
      <c r="H69" s="2">
        <f>SUM(OSRRefD21_9x_4)</f>
        <v>57.42</v>
      </c>
      <c r="I69" s="2">
        <f>SUM(OSRRefD21_9x_5)</f>
        <v>31.35</v>
      </c>
      <c r="J69" s="2">
        <f>SUM(OSRRefD21_9x_6)</f>
        <v>11.04</v>
      </c>
      <c r="K69" s="2">
        <f>SUM(OSRRefD21_9x_7)</f>
        <v>63.25</v>
      </c>
      <c r="L69" s="2">
        <f>SUM(OSRRefD21_9x_8)</f>
        <v>0</v>
      </c>
      <c r="M69" s="2">
        <f>SUM(OSRRefD21_9x_9)</f>
        <v>1549.15</v>
      </c>
      <c r="N69" s="2">
        <f>SUM(OSRRefE21_9x_0)</f>
        <v>310</v>
      </c>
      <c r="O69" s="2">
        <f>SUM(OSRRefE21_9x_1)</f>
        <v>310</v>
      </c>
      <c r="Q69" s="3">
        <f>SUM(OSRRefD20_9x)+IFERROR(SUM(OSRRefE20_9x),0)</f>
        <v>5550.9</v>
      </c>
    </row>
    <row r="70" spans="1:17" s="42" customFormat="1" ht="15" hidden="1" customHeight="1" outlineLevel="1" x14ac:dyDescent="0.3">
      <c r="A70" s="34"/>
      <c r="B70" s="11" t="str">
        <f>CONCATENATE("          ","6241"," - ","OFFICE EXPENSE")</f>
        <v xml:space="preserve">          6241 - OFFICE EXPENSE</v>
      </c>
      <c r="C70" s="15"/>
      <c r="D70" s="3">
        <v>8.8000000000000007</v>
      </c>
      <c r="E70" s="3">
        <v>288.48</v>
      </c>
      <c r="F70" s="3">
        <v>-150.09</v>
      </c>
      <c r="G70" s="3">
        <v>159.5</v>
      </c>
      <c r="H70" s="3">
        <v>57.42</v>
      </c>
      <c r="I70" s="3">
        <v>31.35</v>
      </c>
      <c r="J70" s="3">
        <v>11.04</v>
      </c>
      <c r="K70" s="3">
        <v>63.25</v>
      </c>
      <c r="L70" s="3"/>
      <c r="M70" s="3">
        <v>1549.15</v>
      </c>
      <c r="N70" s="3">
        <v>110</v>
      </c>
      <c r="O70" s="3">
        <v>110</v>
      </c>
      <c r="P70" s="10"/>
      <c r="Q70" s="3">
        <f>SUM(OSRRefD21_9_0x)+IFERROR(SUM(OSRRefE21_9_0x),0)</f>
        <v>2238.9</v>
      </c>
    </row>
    <row r="71" spans="1:17" s="42" customFormat="1" ht="15" hidden="1" customHeight="1" outlineLevel="1" x14ac:dyDescent="0.3">
      <c r="A71" s="34"/>
      <c r="B71" s="11" t="str">
        <f>CONCATENATE("          ","6247"," - ","STORE SUPPLIES")</f>
        <v xml:space="preserve">          6247 - STORE SUPPLIES</v>
      </c>
      <c r="C71" s="15"/>
      <c r="D71" s="3">
        <v>2033</v>
      </c>
      <c r="E71" s="3">
        <v>879</v>
      </c>
      <c r="F71" s="3"/>
      <c r="G71" s="3"/>
      <c r="H71" s="3"/>
      <c r="I71" s="3"/>
      <c r="J71" s="3"/>
      <c r="K71" s="3"/>
      <c r="L71" s="3"/>
      <c r="M71" s="3"/>
      <c r="N71" s="3">
        <v>200</v>
      </c>
      <c r="O71" s="3">
        <v>200</v>
      </c>
      <c r="P71" s="10"/>
      <c r="Q71" s="3">
        <f>SUM(OSRRefD21_9_1x)+IFERROR(SUM(OSRRefE21_9_1x),0)</f>
        <v>3312</v>
      </c>
    </row>
    <row r="72" spans="1:17" s="42" customFormat="1" ht="15" customHeight="1" collapsed="1" x14ac:dyDescent="0.3">
      <c r="A72" s="34"/>
      <c r="B72" s="15" t="str">
        <f>CONCATENATE("     ","Telephone/Data Lines                              ")</f>
        <v xml:space="preserve">     Telephone/Data Lines                              </v>
      </c>
      <c r="C72" s="15"/>
      <c r="D72" s="2">
        <f>SUM(OSRRefD21_10x_0)</f>
        <v>283.3</v>
      </c>
      <c r="E72" s="2">
        <f>SUM(OSRRefD21_10x_1)</f>
        <v>168.2</v>
      </c>
      <c r="F72" s="2">
        <f>SUM(OSRRefD21_10x_2)</f>
        <v>194.95</v>
      </c>
      <c r="G72" s="2">
        <f>SUM(OSRRefD21_10x_3)</f>
        <v>203.45</v>
      </c>
      <c r="H72" s="2">
        <f>SUM(OSRRefD21_10x_4)</f>
        <v>205.5</v>
      </c>
      <c r="I72" s="2">
        <f>SUM(OSRRefD21_10x_5)</f>
        <v>206.95</v>
      </c>
      <c r="J72" s="2">
        <f>SUM(OSRRefD21_10x_6)</f>
        <v>203.25</v>
      </c>
      <c r="K72" s="2">
        <f>SUM(OSRRefD21_10x_7)</f>
        <v>179.73</v>
      </c>
      <c r="L72" s="2">
        <f>SUM(OSRRefD21_10x_8)</f>
        <v>159.41</v>
      </c>
      <c r="M72" s="2">
        <f>SUM(OSRRefD21_10x_9)</f>
        <v>110.47</v>
      </c>
      <c r="N72" s="2">
        <f>SUM(OSRRefE21_10x_0)</f>
        <v>325</v>
      </c>
      <c r="O72" s="2">
        <f>SUM(OSRRefE21_10x_1)</f>
        <v>325</v>
      </c>
      <c r="Q72" s="3">
        <f>SUM(OSRRefD20_10x)+IFERROR(SUM(OSRRefE20_10x),0)</f>
        <v>2565.21</v>
      </c>
    </row>
    <row r="73" spans="1:17" s="42" customFormat="1" ht="15" hidden="1" customHeight="1" outlineLevel="1" x14ac:dyDescent="0.3">
      <c r="A73" s="34"/>
      <c r="B73" s="11" t="str">
        <f>CONCATENATE("          ","6309"," - ","TELEPHONE")</f>
        <v xml:space="preserve">          6309 - TELEPHONE</v>
      </c>
      <c r="C73" s="15"/>
      <c r="D73" s="3">
        <v>283.3</v>
      </c>
      <c r="E73" s="3">
        <v>168.2</v>
      </c>
      <c r="F73" s="3">
        <v>194.95</v>
      </c>
      <c r="G73" s="3">
        <v>203.45</v>
      </c>
      <c r="H73" s="3">
        <v>205.5</v>
      </c>
      <c r="I73" s="3">
        <v>206.95</v>
      </c>
      <c r="J73" s="3">
        <v>203.25</v>
      </c>
      <c r="K73" s="3">
        <v>179.73</v>
      </c>
      <c r="L73" s="3">
        <v>159.41</v>
      </c>
      <c r="M73" s="3">
        <v>110.47</v>
      </c>
      <c r="N73" s="3">
        <v>325</v>
      </c>
      <c r="O73" s="3">
        <v>325</v>
      </c>
      <c r="P73" s="10"/>
      <c r="Q73" s="3">
        <f>SUM(OSRRefD21_10_0x)+IFERROR(SUM(OSRRefE21_10_0x),0)</f>
        <v>2565.21</v>
      </c>
    </row>
    <row r="74" spans="1:17" s="40" customFormat="1" ht="15" customHeight="1" x14ac:dyDescent="0.3">
      <c r="A74" s="22"/>
      <c r="B74" s="22"/>
      <c r="C74" s="2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Q74" s="2"/>
    </row>
    <row r="75" spans="1:17" s="39" customFormat="1" ht="15" customHeight="1" x14ac:dyDescent="0.3">
      <c r="A75" s="24"/>
      <c r="B75" s="17" t="s">
        <v>287</v>
      </c>
      <c r="C75" s="23"/>
      <c r="D75" s="4">
        <f>--193.38</f>
        <v>193.38</v>
      </c>
      <c r="E75" s="4">
        <f>--2187.95</f>
        <v>2187.9499999999998</v>
      </c>
      <c r="F75" s="4">
        <f>--390.11</f>
        <v>390.11</v>
      </c>
      <c r="G75" s="4">
        <f>-964.19</f>
        <v>-964.19</v>
      </c>
      <c r="H75" s="4">
        <f>-88.84</f>
        <v>-88.84</v>
      </c>
      <c r="I75" s="4">
        <f>--879.62</f>
        <v>879.62</v>
      </c>
      <c r="J75" s="4">
        <f>--1242.72</f>
        <v>1242.72</v>
      </c>
      <c r="K75" s="4">
        <f>--613.26</f>
        <v>613.26</v>
      </c>
      <c r="L75" s="4">
        <f>-1113.07</f>
        <v>-1113.07</v>
      </c>
      <c r="M75" s="4">
        <f>--1497.14</f>
        <v>1497.14</v>
      </c>
      <c r="N75" s="4">
        <v>829</v>
      </c>
      <c r="O75" s="4">
        <v>2424</v>
      </c>
      <c r="Q75" s="3">
        <f>SUM(OSRRefD23_0x)+IFERROR(SUM(OSRRefE23_0x),0)</f>
        <v>8091.0800000000008</v>
      </c>
    </row>
    <row r="76" spans="1:17" ht="15" customHeight="1" x14ac:dyDescent="0.3">
      <c r="A76" s="6"/>
      <c r="B76" s="7"/>
      <c r="C76" s="7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Q76" s="4"/>
    </row>
    <row r="77" spans="1:17" s="37" customFormat="1" ht="15" customHeight="1" x14ac:dyDescent="0.3">
      <c r="A77" s="7"/>
      <c r="B77" s="18" t="s">
        <v>288</v>
      </c>
      <c r="C77" s="18"/>
      <c r="D77" s="9">
        <f t="shared" ref="D77:O77" si="2">IFERROR(+D29-D32+D75,0)</f>
        <v>-3756.4600000000146</v>
      </c>
      <c r="E77" s="9">
        <f t="shared" si="2"/>
        <v>39728.07</v>
      </c>
      <c r="F77" s="9">
        <f t="shared" si="2"/>
        <v>45781.109999999971</v>
      </c>
      <c r="G77" s="9">
        <f t="shared" si="2"/>
        <v>-18125.249999999993</v>
      </c>
      <c r="H77" s="9">
        <f t="shared" si="2"/>
        <v>-3242.8400000000074</v>
      </c>
      <c r="I77" s="9">
        <f t="shared" si="2"/>
        <v>1962.4199999999864</v>
      </c>
      <c r="J77" s="9">
        <f t="shared" si="2"/>
        <v>9715.6400000000158</v>
      </c>
      <c r="K77" s="9">
        <f t="shared" si="2"/>
        <v>4313.6800000000167</v>
      </c>
      <c r="L77" s="9">
        <f t="shared" si="2"/>
        <v>68009.170000000027</v>
      </c>
      <c r="M77" s="9">
        <f t="shared" si="2"/>
        <v>8947.9600000000391</v>
      </c>
      <c r="N77" s="9">
        <f t="shared" si="2"/>
        <v>26011.266523130002</v>
      </c>
      <c r="O77" s="9">
        <f t="shared" si="2"/>
        <v>-67.936099669999749</v>
      </c>
      <c r="Q77" s="9">
        <f>IFERROR(+Q29-Q32+Q75,0)</f>
        <v>179276.83042345947</v>
      </c>
    </row>
    <row r="78" spans="1:17" s="38" customFormat="1" ht="15" customHeight="1" x14ac:dyDescent="0.3">
      <c r="B78" s="17"/>
      <c r="C78" s="17"/>
      <c r="D78" s="5">
        <f t="shared" ref="D78:O78" si="3">IFERROR(D77/D10,0)</f>
        <v>-3.9414603231895634E-2</v>
      </c>
      <c r="E78" s="5">
        <f t="shared" si="3"/>
        <v>0.11569926596272392</v>
      </c>
      <c r="F78" s="5">
        <f t="shared" si="3"/>
        <v>0.26181578052065752</v>
      </c>
      <c r="G78" s="5">
        <f t="shared" si="3"/>
        <v>-0.1426737583008415</v>
      </c>
      <c r="H78" s="5">
        <f t="shared" si="3"/>
        <v>-3.5047211777308858E-2</v>
      </c>
      <c r="I78" s="5">
        <f t="shared" si="3"/>
        <v>1.4695115773402984E-2</v>
      </c>
      <c r="J78" s="5">
        <f t="shared" si="3"/>
        <v>6.2368779019793097E-2</v>
      </c>
      <c r="K78" s="5">
        <f t="shared" si="3"/>
        <v>2.517478485313308E-2</v>
      </c>
      <c r="L78" s="5">
        <f t="shared" si="3"/>
        <v>0.14891578091241189</v>
      </c>
      <c r="M78" s="5">
        <f t="shared" si="3"/>
        <v>2.7958388308567242E-2</v>
      </c>
      <c r="N78" s="5">
        <f t="shared" si="3"/>
        <v>6.7051443619029205E-2</v>
      </c>
      <c r="O78" s="5">
        <f t="shared" si="3"/>
        <v>-6.388814669538044E-4</v>
      </c>
      <c r="P78" s="19"/>
      <c r="Q78" s="5">
        <f>IFERROR(Q77/Q10,0)</f>
        <v>6.9899401575785058E-2</v>
      </c>
    </row>
    <row r="79" spans="1:17" ht="15" customHeight="1" x14ac:dyDescent="0.3">
      <c r="A79" s="6"/>
      <c r="B79" s="7"/>
      <c r="C79" s="6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Q79" s="4"/>
    </row>
    <row r="80" spans="1:17" s="37" customFormat="1" ht="15" customHeight="1" x14ac:dyDescent="0.3">
      <c r="A80" s="26"/>
      <c r="B80" s="7" t="s">
        <v>289</v>
      </c>
      <c r="C80" s="7"/>
      <c r="D80" s="4">
        <v>44031.12</v>
      </c>
      <c r="E80" s="4">
        <v>21522.15</v>
      </c>
      <c r="F80" s="4">
        <v>10388.01</v>
      </c>
      <c r="G80" s="4">
        <v>9663.6200000000008</v>
      </c>
      <c r="H80" s="4">
        <v>13627.98</v>
      </c>
      <c r="I80" s="4">
        <v>17123.53</v>
      </c>
      <c r="J80" s="4">
        <v>32216.33</v>
      </c>
      <c r="K80" s="4">
        <v>12919.92</v>
      </c>
      <c r="L80" s="4">
        <v>47421.86</v>
      </c>
      <c r="M80" s="4">
        <v>25641.73</v>
      </c>
      <c r="N80" s="4">
        <v>49787</v>
      </c>
      <c r="O80" s="4">
        <v>-10979</v>
      </c>
      <c r="Q80" s="3">
        <f>SUM(OSRRefD28_0x)+IFERROR(SUM(OSRRefE28_0x),0)</f>
        <v>273364.25</v>
      </c>
    </row>
    <row r="81" spans="1:17" ht="15" customHeight="1" x14ac:dyDescent="0.3">
      <c r="A81" s="6"/>
      <c r="B81" s="7"/>
      <c r="C81" s="7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Q81" s="4"/>
    </row>
    <row r="82" spans="1:17" s="37" customFormat="1" ht="15.75" customHeight="1" x14ac:dyDescent="0.3">
      <c r="A82" s="7"/>
      <c r="B82" s="18" t="s">
        <v>290</v>
      </c>
      <c r="C82" s="18"/>
      <c r="D82" s="8">
        <f t="shared" ref="D82:O82" si="4">IFERROR(+D77-D80,0)</f>
        <v>-47787.580000000016</v>
      </c>
      <c r="E82" s="8">
        <f t="shared" si="4"/>
        <v>18205.919999999998</v>
      </c>
      <c r="F82" s="8">
        <f t="shared" si="4"/>
        <v>35393.099999999969</v>
      </c>
      <c r="G82" s="8">
        <f t="shared" si="4"/>
        <v>-27788.869999999995</v>
      </c>
      <c r="H82" s="8">
        <f t="shared" si="4"/>
        <v>-16870.820000000007</v>
      </c>
      <c r="I82" s="8">
        <f t="shared" si="4"/>
        <v>-15161.110000000011</v>
      </c>
      <c r="J82" s="8">
        <f t="shared" si="4"/>
        <v>-22500.689999999988</v>
      </c>
      <c r="K82" s="8">
        <f t="shared" si="4"/>
        <v>-8606.2399999999834</v>
      </c>
      <c r="L82" s="8">
        <f t="shared" si="4"/>
        <v>20587.310000000027</v>
      </c>
      <c r="M82" s="8">
        <f t="shared" si="4"/>
        <v>-16693.76999999996</v>
      </c>
      <c r="N82" s="8">
        <f t="shared" si="4"/>
        <v>-23775.733476869998</v>
      </c>
      <c r="O82" s="8">
        <f t="shared" si="4"/>
        <v>10911.06390033</v>
      </c>
      <c r="Q82" s="8">
        <f>IFERROR(+Q77-Q80,0)</f>
        <v>-94087.419576540531</v>
      </c>
    </row>
    <row r="83" spans="1:17" ht="15.75" customHeight="1" x14ac:dyDescent="0.3">
      <c r="A83" s="6"/>
      <c r="B83" s="6"/>
      <c r="C83" s="6"/>
      <c r="D83" s="5">
        <f t="shared" ref="D83:O83" si="5">IFERROR(D82/D10,0)</f>
        <v>-0.50141050486693972</v>
      </c>
      <c r="E83" s="5">
        <f t="shared" si="5"/>
        <v>5.3020737734706835E-2</v>
      </c>
      <c r="F83" s="5">
        <f t="shared" si="5"/>
        <v>0.20240820070866961</v>
      </c>
      <c r="G83" s="5">
        <f t="shared" si="5"/>
        <v>-0.21874139787498137</v>
      </c>
      <c r="H83" s="5">
        <f t="shared" si="5"/>
        <v>-0.1823325237744868</v>
      </c>
      <c r="I83" s="5">
        <f t="shared" si="5"/>
        <v>-0.11353036898487553</v>
      </c>
      <c r="J83" s="5">
        <f t="shared" si="5"/>
        <v>-0.14444139165334091</v>
      </c>
      <c r="K83" s="5">
        <f t="shared" si="5"/>
        <v>-5.0226312659823351E-2</v>
      </c>
      <c r="L83" s="5">
        <f t="shared" si="5"/>
        <v>4.5078852536149308E-2</v>
      </c>
      <c r="M83" s="5">
        <f t="shared" si="5"/>
        <v>-5.2160593475373988E-2</v>
      </c>
      <c r="N83" s="5">
        <f t="shared" si="5"/>
        <v>-6.1288720843631579E-2</v>
      </c>
      <c r="O83" s="5">
        <f t="shared" si="5"/>
        <v>0.10260931293569441</v>
      </c>
      <c r="P83" s="19"/>
      <c r="Q83" s="5">
        <f>IFERROR(Q82/Q10,0)</f>
        <v>-3.6684351841092082E-2</v>
      </c>
    </row>
    <row r="84" spans="1:17" ht="15" customHeight="1" x14ac:dyDescent="0.3">
      <c r="A84" s="6"/>
      <c r="B84" s="6"/>
      <c r="C84" s="6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Q84" s="4"/>
    </row>
    <row r="85" spans="1:17" ht="15" customHeight="1" x14ac:dyDescent="0.3">
      <c r="A85" s="6"/>
      <c r="B85" s="6"/>
      <c r="C85" s="6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Q85" s="4"/>
    </row>
    <row r="86" spans="1:17" s="37" customFormat="1" ht="15.75" customHeight="1" x14ac:dyDescent="0.3">
      <c r="A86" s="7"/>
      <c r="B86" s="18" t="s">
        <v>293</v>
      </c>
      <c r="C86" s="18"/>
      <c r="D86" s="8">
        <f t="shared" ref="D86:O86" si="6">IFERROR(SUM(D82:D85),0)</f>
        <v>-47788.081410504885</v>
      </c>
      <c r="E86" s="8">
        <f t="shared" si="6"/>
        <v>18205.973020737732</v>
      </c>
      <c r="F86" s="8">
        <f t="shared" si="6"/>
        <v>35393.302408200681</v>
      </c>
      <c r="G86" s="8">
        <f t="shared" si="6"/>
        <v>-27789.088741397871</v>
      </c>
      <c r="H86" s="8">
        <f t="shared" si="6"/>
        <v>-16871.002332523782</v>
      </c>
      <c r="I86" s="8">
        <f t="shared" si="6"/>
        <v>-15161.223530368996</v>
      </c>
      <c r="J86" s="8">
        <f t="shared" si="6"/>
        <v>-22500.834441391642</v>
      </c>
      <c r="K86" s="8">
        <f t="shared" si="6"/>
        <v>-8606.2902263126434</v>
      </c>
      <c r="L86" s="8">
        <f t="shared" si="6"/>
        <v>20587.355078852564</v>
      </c>
      <c r="M86" s="8">
        <f t="shared" si="6"/>
        <v>-16693.822160593434</v>
      </c>
      <c r="N86" s="8">
        <f t="shared" si="6"/>
        <v>-23775.794765590843</v>
      </c>
      <c r="O86" s="8">
        <f t="shared" si="6"/>
        <v>10911.166509642935</v>
      </c>
      <c r="Q86" s="8">
        <f>IFERROR(SUM(Q82:Q85),0)</f>
        <v>-94087.456260892373</v>
      </c>
    </row>
    <row r="87" spans="1:17" ht="15.75" customHeight="1" x14ac:dyDescent="0.3">
      <c r="A87" s="6"/>
      <c r="C87" s="6"/>
      <c r="D87" s="5">
        <f t="shared" ref="D87:O87" si="7">IFERROR(D86/D10,0)</f>
        <v>-0.50141576590954529</v>
      </c>
      <c r="E87" s="5">
        <f t="shared" si="7"/>
        <v>5.3020892145943944E-2</v>
      </c>
      <c r="F87" s="5">
        <f t="shared" si="7"/>
        <v>0.20240935825292863</v>
      </c>
      <c r="G87" s="5">
        <f t="shared" si="7"/>
        <v>-0.21874311970818813</v>
      </c>
      <c r="H87" s="5">
        <f t="shared" si="7"/>
        <v>-0.18233449434552162</v>
      </c>
      <c r="I87" s="5">
        <f t="shared" si="7"/>
        <v>-0.11353121913006159</v>
      </c>
      <c r="J87" s="5">
        <f t="shared" si="7"/>
        <v>-0.144442318883378</v>
      </c>
      <c r="K87" s="5">
        <f t="shared" si="7"/>
        <v>-5.0226605782311612E-2</v>
      </c>
      <c r="L87" s="5">
        <f t="shared" si="7"/>
        <v>4.5078951242728552E-2</v>
      </c>
      <c r="M87" s="5">
        <f t="shared" si="7"/>
        <v>-5.2160756453988863E-2</v>
      </c>
      <c r="N87" s="5">
        <f t="shared" si="7"/>
        <v>-6.1288878832755501E-2</v>
      </c>
      <c r="O87" s="5">
        <f t="shared" si="7"/>
        <v>0.10261027788935953</v>
      </c>
      <c r="P87" s="19"/>
      <c r="Q87" s="5">
        <f>IFERROR(Q86/Q10,0)</f>
        <v>-3.6684366144191009E-2</v>
      </c>
    </row>
    <row r="88" spans="1:17" ht="15" customHeight="1" x14ac:dyDescent="0.3">
      <c r="A88" s="6"/>
      <c r="B88" s="33">
        <v>44694.892891863426</v>
      </c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Q88" s="14"/>
    </row>
    <row r="89" spans="1:17" ht="15" customHeight="1" x14ac:dyDescent="0.3">
      <c r="A89" s="6"/>
      <c r="B89" s="31" t="s">
        <v>294</v>
      </c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Q89" s="14"/>
    </row>
    <row r="90" spans="1:17" ht="15" customHeight="1" x14ac:dyDescent="0.3">
      <c r="A90" s="6"/>
      <c r="B90" s="27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Q90" s="14"/>
    </row>
    <row r="91" spans="1:17" ht="15" customHeight="1" x14ac:dyDescent="0.3"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Q9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4DCBA-CBAE-DEA2-7E11-9A419E3AB8DF}">
  <sheetPr>
    <tabColor rgb="FFFFFF00"/>
    <outlinePr summaryBelow="0" summaryRight="0"/>
    <pageSetUpPr fitToPage="1"/>
  </sheetPr>
  <dimension ref="A2:R109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">
        <v>303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0</v>
      </c>
      <c r="E10" s="4">
        <f>SUM(OSRRefD11x_1)</f>
        <v>6665.14</v>
      </c>
      <c r="F10" s="4">
        <f>SUM(OSRRefD11x_2)</f>
        <v>16112.9</v>
      </c>
      <c r="G10" s="4">
        <f>SUM(OSRRefD11x_3)</f>
        <v>25830.05</v>
      </c>
      <c r="H10" s="4">
        <f>SUM(OSRRefD11x_4)</f>
        <v>15321.189999999999</v>
      </c>
      <c r="I10" s="4">
        <f>SUM(OSRRefD11x_5)</f>
        <v>12478.220000000001</v>
      </c>
      <c r="J10" s="4">
        <f>SUM(OSRRefD11x_6)</f>
        <v>4833.46</v>
      </c>
      <c r="K10" s="4">
        <f>SUM(OSRRefD11x_7)</f>
        <v>93865.96</v>
      </c>
      <c r="L10" s="4">
        <f>SUM(OSRRefD11x_8)</f>
        <v>132932.81</v>
      </c>
      <c r="M10" s="4">
        <f>SUM(OSRRefD11x_9)</f>
        <v>103504.90999999999</v>
      </c>
      <c r="N10" s="4">
        <f>SUM(OSRRefE11x_0)</f>
        <v>42770</v>
      </c>
      <c r="O10" s="4">
        <f>SUM(OSRRefE11x_1)</f>
        <v>13025</v>
      </c>
      <c r="P10" s="25"/>
      <c r="Q10" s="4">
        <f>SUM(OSRRefG11x)</f>
        <v>467339.63999999996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0</f>
        <v>0</v>
      </c>
      <c r="E11" s="3">
        <f>--1234.92</f>
        <v>1234.92</v>
      </c>
      <c r="F11" s="3">
        <f>--2858.93</f>
        <v>2858.93</v>
      </c>
      <c r="G11" s="3">
        <f>--4222.65</f>
        <v>4222.6499999999996</v>
      </c>
      <c r="H11" s="3">
        <f>--2305.85</f>
        <v>2305.85</v>
      </c>
      <c r="I11" s="3">
        <f>--2128.3</f>
        <v>2128.3000000000002</v>
      </c>
      <c r="J11" s="3">
        <f>--803.91</f>
        <v>803.91</v>
      </c>
      <c r="K11" s="3">
        <f>--14914.64</f>
        <v>14914.64</v>
      </c>
      <c r="L11" s="3">
        <f>--19761.47</f>
        <v>19761.47</v>
      </c>
      <c r="M11" s="3">
        <f>--14181.08</f>
        <v>14181.08</v>
      </c>
      <c r="N11" s="3">
        <v>8502</v>
      </c>
      <c r="O11" s="3">
        <v>2555</v>
      </c>
      <c r="Q11" s="3">
        <f>SUM(OSRRefD11_0x)+IFERROR(SUM(OSRRefE11_0x),0)</f>
        <v>73468.75</v>
      </c>
    </row>
    <row r="12" spans="1:18" s="39" customFormat="1" ht="15" hidden="1" customHeight="1" outlineLevel="1" x14ac:dyDescent="0.3">
      <c r="A12" s="24"/>
      <c r="B12" s="11" t="str">
        <f>CONCATENATE("          ","4051"," - ","TAXABLE SALES-FOOD")</f>
        <v xml:space="preserve">          4051 - TAXABLE SALES-FOOD</v>
      </c>
      <c r="C12" s="23"/>
      <c r="D12" s="3">
        <f>0</f>
        <v>0</v>
      </c>
      <c r="E12" s="3">
        <f>0</f>
        <v>0</v>
      </c>
      <c r="F12" s="3">
        <f>0</f>
        <v>0</v>
      </c>
      <c r="G12" s="3">
        <f>0</f>
        <v>0</v>
      </c>
      <c r="H12" s="3">
        <f>0</f>
        <v>0</v>
      </c>
      <c r="I12" s="3">
        <f>0</f>
        <v>0</v>
      </c>
      <c r="J12" s="3">
        <f>0</f>
        <v>0</v>
      </c>
      <c r="K12" s="3">
        <f>--25.17</f>
        <v>25.17</v>
      </c>
      <c r="L12" s="3">
        <f>0</f>
        <v>0</v>
      </c>
      <c r="M12" s="3">
        <f>0</f>
        <v>0</v>
      </c>
      <c r="N12" s="3"/>
      <c r="O12" s="3"/>
      <c r="Q12" s="3">
        <f>SUM(OSRRefD11_1x)+IFERROR(SUM(OSRRefE11_1x),0)</f>
        <v>25.17</v>
      </c>
    </row>
    <row r="13" spans="1:18" s="39" customFormat="1" ht="15" hidden="1" customHeight="1" outlineLevel="1" x14ac:dyDescent="0.3">
      <c r="A13" s="24"/>
      <c r="B13" s="11" t="str">
        <f>CONCATENATE("          ","4053"," - ","TAXABLE SALES-FOOD")</f>
        <v xml:space="preserve">          4053 - TAXABLE SALES-FOOD</v>
      </c>
      <c r="C13" s="23"/>
      <c r="D13" s="3">
        <f>0</f>
        <v>0</v>
      </c>
      <c r="E13" s="3">
        <f>0</f>
        <v>0</v>
      </c>
      <c r="F13" s="3">
        <f>--139.09</f>
        <v>139.09</v>
      </c>
      <c r="G13" s="3">
        <f>--404.53</f>
        <v>404.53</v>
      </c>
      <c r="H13" s="3">
        <f>--84.35</f>
        <v>84.35</v>
      </c>
      <c r="I13" s="3">
        <f>--70.75</f>
        <v>70.75</v>
      </c>
      <c r="J13" s="3">
        <f>0</f>
        <v>0</v>
      </c>
      <c r="K13" s="3">
        <f>0</f>
        <v>0</v>
      </c>
      <c r="L13" s="3">
        <f>--412.69</f>
        <v>412.69</v>
      </c>
      <c r="M13" s="3">
        <f>--439.9</f>
        <v>439.9</v>
      </c>
      <c r="N13" s="3"/>
      <c r="O13" s="3"/>
      <c r="Q13" s="3">
        <f>SUM(OSRRefD11_2x)+IFERROR(SUM(OSRRefE11_2x),0)</f>
        <v>1551.31</v>
      </c>
    </row>
    <row r="14" spans="1:18" s="39" customFormat="1" ht="15" hidden="1" customHeight="1" outlineLevel="1" x14ac:dyDescent="0.3">
      <c r="A14" s="24"/>
      <c r="B14" s="11" t="str">
        <f>CONCATENATE("          ","4100"," - ","NON-TAXABLE SALES")</f>
        <v xml:space="preserve">          4100 - NON-TAXABLE SALES</v>
      </c>
      <c r="C14" s="23"/>
      <c r="D14" s="3">
        <f>0</f>
        <v>0</v>
      </c>
      <c r="E14" s="3">
        <f>--5299.87</f>
        <v>5299.87</v>
      </c>
      <c r="F14" s="3">
        <f>--13245.23</f>
        <v>13245.23</v>
      </c>
      <c r="G14" s="3">
        <f>--21202.87</f>
        <v>21202.87</v>
      </c>
      <c r="H14" s="3">
        <f>--12930.99</f>
        <v>12930.99</v>
      </c>
      <c r="I14" s="3">
        <f>--10279.17</f>
        <v>10279.17</v>
      </c>
      <c r="J14" s="3">
        <f>--4029.55</f>
        <v>4029.55</v>
      </c>
      <c r="K14" s="3">
        <f>--78719.83</f>
        <v>78719.83</v>
      </c>
      <c r="L14" s="3">
        <f>--112758.65</f>
        <v>112758.65</v>
      </c>
      <c r="M14" s="3">
        <f>--88883.93</f>
        <v>88883.93</v>
      </c>
      <c r="N14" s="3">
        <v>34268</v>
      </c>
      <c r="O14" s="3">
        <v>10470</v>
      </c>
      <c r="Q14" s="3">
        <f>SUM(OSRRefD11_3x)+IFERROR(SUM(OSRRefE11_3x),0)</f>
        <v>392088.08999999997</v>
      </c>
    </row>
    <row r="15" spans="1:18" s="39" customFormat="1" ht="15" hidden="1" customHeight="1" outlineLevel="1" x14ac:dyDescent="0.3">
      <c r="A15" s="24"/>
      <c r="B15" s="11" t="str">
        <f>CONCATENATE("          ","4151"," - ","NON-TAXABLE SALES-FOOD")</f>
        <v xml:space="preserve">          4151 - NON-TAXABLE SALES-FOOD</v>
      </c>
      <c r="C15" s="23"/>
      <c r="D15" s="3">
        <f>0</f>
        <v>0</v>
      </c>
      <c r="E15" s="3">
        <f>0</f>
        <v>0</v>
      </c>
      <c r="F15" s="3">
        <f>0</f>
        <v>0</v>
      </c>
      <c r="G15" s="3">
        <f>0</f>
        <v>0</v>
      </c>
      <c r="H15" s="3">
        <f>0</f>
        <v>0</v>
      </c>
      <c r="I15" s="3">
        <f>0</f>
        <v>0</v>
      </c>
      <c r="J15" s="3">
        <f>0</f>
        <v>0</v>
      </c>
      <c r="K15" s="3">
        <f>--206.32</f>
        <v>206.32</v>
      </c>
      <c r="L15" s="3">
        <f>0</f>
        <v>0</v>
      </c>
      <c r="M15" s="3">
        <f>0</f>
        <v>0</v>
      </c>
      <c r="N15" s="3"/>
      <c r="O15" s="3"/>
      <c r="Q15" s="3">
        <f>SUM(OSRRefD11_4x)+IFERROR(SUM(OSRRefE11_4x),0)</f>
        <v>206.32</v>
      </c>
    </row>
    <row r="16" spans="1:18" s="39" customFormat="1" ht="15" hidden="1" customHeight="1" outlineLevel="1" x14ac:dyDescent="0.3">
      <c r="A16" s="24"/>
      <c r="B16" s="11" t="str">
        <f>CONCATENATE("          ","4153"," - ","NON-TAXABLE SALES-FOOD")</f>
        <v xml:space="preserve">          4153 - NON-TAXABLE SALES-FOOD</v>
      </c>
      <c r="C16" s="23"/>
      <c r="D16" s="3">
        <f>0</f>
        <v>0</v>
      </c>
      <c r="E16" s="3">
        <f>--130.35</f>
        <v>130.35</v>
      </c>
      <c r="F16" s="3">
        <f>-130.35</f>
        <v>-130.35</v>
      </c>
      <c r="G16" s="3">
        <f>0</f>
        <v>0</v>
      </c>
      <c r="H16" s="3">
        <f>0</f>
        <v>0</v>
      </c>
      <c r="I16" s="3">
        <f>0</f>
        <v>0</v>
      </c>
      <c r="J16" s="3">
        <f>0</f>
        <v>0</v>
      </c>
      <c r="K16" s="3">
        <f>0</f>
        <v>0</v>
      </c>
      <c r="L16" s="3">
        <f>0</f>
        <v>0</v>
      </c>
      <c r="M16" s="3">
        <f>0</f>
        <v>0</v>
      </c>
      <c r="N16" s="3"/>
      <c r="O16" s="3"/>
      <c r="Q16" s="3">
        <f>SUM(OSRRefD11_5x)+IFERROR(SUM(OSRRefE11_5x),0)</f>
        <v>0</v>
      </c>
    </row>
    <row r="17" spans="1:17" ht="15" customHeight="1" x14ac:dyDescent="0.3">
      <c r="A17" s="6"/>
      <c r="B17" s="7"/>
      <c r="C17" s="6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Q17" s="4"/>
    </row>
    <row r="18" spans="1:17" s="39" customFormat="1" ht="15" customHeight="1" collapsed="1" x14ac:dyDescent="0.3">
      <c r="A18" s="24"/>
      <c r="B18" s="17" t="s">
        <v>284</v>
      </c>
      <c r="C18" s="23"/>
      <c r="D18" s="4">
        <f>SUM(OSRRefD14x_0)</f>
        <v>0</v>
      </c>
      <c r="E18" s="4">
        <f>SUM(OSRRefD14x_1)</f>
        <v>3246.5599999999995</v>
      </c>
      <c r="F18" s="4">
        <f>SUM(OSRRefD14x_2)</f>
        <v>7971.7199999999993</v>
      </c>
      <c r="G18" s="4">
        <f>SUM(OSRRefD14x_3)</f>
        <v>12147.560000000001</v>
      </c>
      <c r="H18" s="4">
        <f>SUM(OSRRefD14x_4)</f>
        <v>15367.18</v>
      </c>
      <c r="I18" s="4">
        <f>SUM(OSRRefD14x_5)</f>
        <v>7724.2900000000009</v>
      </c>
      <c r="J18" s="4">
        <f>SUM(OSRRefD14x_6)</f>
        <v>5887.78</v>
      </c>
      <c r="K18" s="4">
        <f>SUM(OSRRefD14x_7)</f>
        <v>45739.7</v>
      </c>
      <c r="L18" s="4">
        <f>SUM(OSRRefD14x_8)</f>
        <v>42306.34</v>
      </c>
      <c r="M18" s="4">
        <f>SUM(OSRRefD14x_9)</f>
        <v>47533.82</v>
      </c>
      <c r="N18" s="4">
        <f>SUM(OSRRefE14x_0)</f>
        <v>20959</v>
      </c>
      <c r="O18" s="4">
        <f>SUM(OSRRefE14x_1)</f>
        <v>6383</v>
      </c>
      <c r="Q18" s="4">
        <f>SUM(OSRRefG14x)</f>
        <v>215266.95</v>
      </c>
    </row>
    <row r="19" spans="1:17" s="39" customFormat="1" ht="15" hidden="1" customHeight="1" outlineLevel="1" x14ac:dyDescent="0.3">
      <c r="A19" s="24"/>
      <c r="B19" s="11" t="str">
        <f>CONCATENATE("          ","5000"," - ","PURCHASES @ COST")</f>
        <v xml:space="preserve">          5000 - PURCHASES @ COST</v>
      </c>
      <c r="C19" s="23"/>
      <c r="D19" s="3"/>
      <c r="E19" s="3"/>
      <c r="F19" s="3"/>
      <c r="G19" s="3"/>
      <c r="H19" s="3"/>
      <c r="I19" s="3"/>
      <c r="J19" s="3"/>
      <c r="K19" s="3">
        <v>-10213</v>
      </c>
      <c r="L19" s="3">
        <v>4647</v>
      </c>
      <c r="M19" s="3">
        <v>-2496</v>
      </c>
      <c r="N19" s="3">
        <v>20959</v>
      </c>
      <c r="O19" s="3">
        <v>6383</v>
      </c>
      <c r="Q19" s="3">
        <f>SUM(OSRRefD14_0x)+IFERROR(SUM(OSRRefE14_0x),0)</f>
        <v>19280</v>
      </c>
    </row>
    <row r="20" spans="1:17" s="39" customFormat="1" ht="15" hidden="1" customHeight="1" outlineLevel="1" x14ac:dyDescent="0.3">
      <c r="A20" s="24"/>
      <c r="B20" s="11" t="str">
        <f>CONCATENATE("          ","5053"," - ","PURCHASES @ COST-FOOD")</f>
        <v xml:space="preserve">          5053 - PURCHASES @ COST-FOOD</v>
      </c>
      <c r="C20" s="23"/>
      <c r="D20" s="3">
        <v>0</v>
      </c>
      <c r="E20" s="3">
        <v>14985.56</v>
      </c>
      <c r="F20" s="3">
        <v>8370.32</v>
      </c>
      <c r="G20" s="3">
        <v>12727.12</v>
      </c>
      <c r="H20" s="3">
        <v>3858.46</v>
      </c>
      <c r="I20" s="3">
        <v>1757.73</v>
      </c>
      <c r="J20" s="3">
        <v>238.42</v>
      </c>
      <c r="K20" s="3"/>
      <c r="L20" s="3">
        <v>-14878.27</v>
      </c>
      <c r="M20" s="3">
        <v>1344.8</v>
      </c>
      <c r="N20" s="3"/>
      <c r="O20" s="3"/>
      <c r="Q20" s="3">
        <f>SUM(OSRRefD14_1x)+IFERROR(SUM(OSRRefE14_1x),0)</f>
        <v>28404.14</v>
      </c>
    </row>
    <row r="21" spans="1:17" s="39" customFormat="1" ht="15" hidden="1" customHeight="1" outlineLevel="1" x14ac:dyDescent="0.3">
      <c r="A21" s="24"/>
      <c r="B21" s="11" t="str">
        <f>CONCATENATE("          ","5059"," - ","PURCHASES @ COST-FOOD")</f>
        <v xml:space="preserve">          5059 - PURCHASES @ COST-FOOD</v>
      </c>
      <c r="C21" s="23"/>
      <c r="D21" s="3"/>
      <c r="E21" s="3">
        <v>-11739</v>
      </c>
      <c r="F21" s="3">
        <v>-398.6</v>
      </c>
      <c r="G21" s="3">
        <v>-579.55999999999995</v>
      </c>
      <c r="H21" s="3">
        <v>11508.72</v>
      </c>
      <c r="I21" s="3">
        <v>5966.56</v>
      </c>
      <c r="J21" s="3">
        <v>5649.36</v>
      </c>
      <c r="K21" s="3">
        <v>55952.7</v>
      </c>
      <c r="L21" s="3">
        <v>52537.61</v>
      </c>
      <c r="M21" s="3">
        <v>48685.02</v>
      </c>
      <c r="N21" s="3"/>
      <c r="O21" s="3"/>
      <c r="Q21" s="3">
        <f>SUM(OSRRefD14_2x)+IFERROR(SUM(OSRRefE14_2x),0)</f>
        <v>167582.81</v>
      </c>
    </row>
    <row r="22" spans="1:17" ht="15" customHeight="1" x14ac:dyDescent="0.3">
      <c r="A22" s="6"/>
      <c r="B22" s="7"/>
      <c r="C22" s="7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Q22" s="4"/>
    </row>
    <row r="23" spans="1:17" s="37" customFormat="1" ht="15" customHeight="1" x14ac:dyDescent="0.3">
      <c r="A23" s="7"/>
      <c r="B23" s="18" t="s">
        <v>285</v>
      </c>
      <c r="C23" s="18"/>
      <c r="D23" s="9">
        <f t="shared" ref="D23:O23" si="0">IFERROR(+D10-D18,0)</f>
        <v>0</v>
      </c>
      <c r="E23" s="9">
        <f t="shared" si="0"/>
        <v>3418.5800000000008</v>
      </c>
      <c r="F23" s="9">
        <f t="shared" si="0"/>
        <v>8141.18</v>
      </c>
      <c r="G23" s="9">
        <f t="shared" si="0"/>
        <v>13682.489999999998</v>
      </c>
      <c r="H23" s="9">
        <f t="shared" si="0"/>
        <v>-45.990000000001601</v>
      </c>
      <c r="I23" s="9">
        <f t="shared" si="0"/>
        <v>4753.93</v>
      </c>
      <c r="J23" s="9">
        <f t="shared" si="0"/>
        <v>-1054.3199999999997</v>
      </c>
      <c r="K23" s="9">
        <f t="shared" si="0"/>
        <v>48126.260000000009</v>
      </c>
      <c r="L23" s="9">
        <f t="shared" si="0"/>
        <v>90626.47</v>
      </c>
      <c r="M23" s="9">
        <f t="shared" si="0"/>
        <v>55971.089999999989</v>
      </c>
      <c r="N23" s="9">
        <f t="shared" si="0"/>
        <v>21811</v>
      </c>
      <c r="O23" s="9">
        <f t="shared" si="0"/>
        <v>6642</v>
      </c>
      <c r="Q23" s="9">
        <f>IFERROR(+Q10-Q18,0)</f>
        <v>252072.68999999994</v>
      </c>
    </row>
    <row r="24" spans="1:17" s="38" customFormat="1" ht="15" customHeight="1" x14ac:dyDescent="0.3">
      <c r="B24" s="17"/>
      <c r="C24" s="17"/>
      <c r="D24" s="5">
        <f t="shared" ref="D24:O24" si="1">IFERROR(D23/D10,0)</f>
        <v>0</v>
      </c>
      <c r="E24" s="5">
        <f t="shared" si="1"/>
        <v>0.51290445512022265</v>
      </c>
      <c r="F24" s="5">
        <f t="shared" si="1"/>
        <v>0.50525851957127521</v>
      </c>
      <c r="G24" s="5">
        <f t="shared" si="1"/>
        <v>0.52971209889256887</v>
      </c>
      <c r="H24" s="5">
        <f t="shared" si="1"/>
        <v>-3.0017250618262423E-3</v>
      </c>
      <c r="I24" s="5">
        <f t="shared" si="1"/>
        <v>0.38097821644433261</v>
      </c>
      <c r="J24" s="5">
        <f t="shared" si="1"/>
        <v>-0.21812945591770691</v>
      </c>
      <c r="K24" s="5">
        <f t="shared" si="1"/>
        <v>0.51271259570562111</v>
      </c>
      <c r="L24" s="5">
        <f t="shared" si="1"/>
        <v>0.68174644017530361</v>
      </c>
      <c r="M24" s="5">
        <f t="shared" si="1"/>
        <v>0.54075782491864388</v>
      </c>
      <c r="N24" s="5">
        <f t="shared" si="1"/>
        <v>0.50996025251344401</v>
      </c>
      <c r="O24" s="5">
        <f t="shared" si="1"/>
        <v>0.50994241842610366</v>
      </c>
      <c r="P24" s="19"/>
      <c r="Q24" s="5">
        <f>IFERROR(Q23/Q10,0)</f>
        <v>0.53937793507094745</v>
      </c>
    </row>
    <row r="25" spans="1:17" ht="15" customHeight="1" x14ac:dyDescent="0.3">
      <c r="A25" s="6"/>
      <c r="B25" s="7"/>
      <c r="C25" s="6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Q25" s="2"/>
    </row>
    <row r="26" spans="1:17" s="37" customFormat="1" ht="15" customHeight="1" x14ac:dyDescent="0.3">
      <c r="A26" s="7"/>
      <c r="B26" s="17" t="s">
        <v>286</v>
      </c>
      <c r="C26" s="7"/>
      <c r="D26" s="12" cm="1">
        <f t="array" ref="D26">SUM(OSRRefD20x_0)</f>
        <v>11929.900000000001</v>
      </c>
      <c r="E26" s="12" cm="1">
        <f t="array" ref="E26">SUM(OSRRefD20x_1)</f>
        <v>28081.420000000002</v>
      </c>
      <c r="F26" s="12" cm="1">
        <f t="array" ref="F26">SUM(OSRRefD20x_2)</f>
        <v>18475.420000000002</v>
      </c>
      <c r="G26" s="12" cm="1">
        <f t="array" ref="G26">SUM(OSRRefD20x_3)</f>
        <v>20399.550000000003</v>
      </c>
      <c r="H26" s="12" cm="1">
        <f t="array" ref="H26">SUM(OSRRefD20x_4)</f>
        <v>17210.640000000003</v>
      </c>
      <c r="I26" s="12" cm="1">
        <f t="array" ref="I26">SUM(OSRRefD20x_5)</f>
        <v>21756.42</v>
      </c>
      <c r="J26" s="12" cm="1">
        <f t="array" ref="J26">SUM(OSRRefD20x_6)</f>
        <v>31687.64</v>
      </c>
      <c r="K26" s="12" cm="1">
        <f t="array" ref="K26">SUM(OSRRefD20x_7)</f>
        <v>54090.27</v>
      </c>
      <c r="L26" s="12" cm="1">
        <f t="array" ref="L26">SUM(OSRRefD20x_8)</f>
        <v>61126.03</v>
      </c>
      <c r="M26" s="12" cm="1">
        <f t="array" ref="M26">SUM(OSRRefD20x_9)</f>
        <v>63234.210000000006</v>
      </c>
      <c r="N26" s="12" cm="1">
        <f t="array" ref="N26">SUM(OSRRefE20x_0)</f>
        <v>32953.694589807696</v>
      </c>
      <c r="O26" s="12" cm="1">
        <f t="array" ref="O26">SUM(OSRRefE20x_1)</f>
        <v>28306.54540580769</v>
      </c>
      <c r="Q26" s="12" cm="1">
        <f t="array" ref="Q26">SUM(OSRRefG20x)</f>
        <v>389251.73999561532</v>
      </c>
    </row>
    <row r="27" spans="1:17" s="42" customFormat="1" ht="15" customHeight="1" collapsed="1" x14ac:dyDescent="0.3">
      <c r="A27" s="34"/>
      <c r="B27" s="15" t="str">
        <f>CONCATENATE("     ","*Benefits                                         ")</f>
        <v xml:space="preserve">     *Benefits                                         </v>
      </c>
      <c r="C27" s="15"/>
      <c r="D27" s="2">
        <f>SUM(OSRRefD21_0x_0)</f>
        <v>0</v>
      </c>
      <c r="E27" s="2">
        <f>SUM(OSRRefD21_0x_1)</f>
        <v>284.44</v>
      </c>
      <c r="F27" s="2">
        <f>SUM(OSRRefD21_0x_2)</f>
        <v>259.75000000000006</v>
      </c>
      <c r="G27" s="2">
        <f>SUM(OSRRefD21_0x_3)</f>
        <v>540.71</v>
      </c>
      <c r="H27" s="2">
        <f>SUM(OSRRefD21_0x_4)</f>
        <v>494.53000000000003</v>
      </c>
      <c r="I27" s="2">
        <f>SUM(OSRRefD21_0x_5)</f>
        <v>1171.79</v>
      </c>
      <c r="J27" s="2">
        <f>SUM(OSRRefD21_0x_6)</f>
        <v>6243.2500000000009</v>
      </c>
      <c r="K27" s="2">
        <f>SUM(OSRRefD21_0x_7)</f>
        <v>6663.8600000000006</v>
      </c>
      <c r="L27" s="2">
        <f>SUM(OSRRefD21_0x_8)</f>
        <v>7218.6</v>
      </c>
      <c r="M27" s="2">
        <f>SUM(OSRRefD21_0x_9)</f>
        <v>8108.85</v>
      </c>
      <c r="N27" s="2">
        <f>SUM(OSRRefE21_0x_0)</f>
        <v>4094.8886590384604</v>
      </c>
      <c r="O27" s="2">
        <f>SUM(OSRRefE21_0x_1)</f>
        <v>4152.0788750384609</v>
      </c>
      <c r="Q27" s="3">
        <f>SUM(OSRRefD20_0x)+IFERROR(SUM(OSRRefE20_0x),0)</f>
        <v>39232.747534076916</v>
      </c>
    </row>
    <row r="28" spans="1:17" s="42" customFormat="1" ht="15" hidden="1" customHeight="1" outlineLevel="1" x14ac:dyDescent="0.3">
      <c r="A28" s="34"/>
      <c r="B28" s="11" t="str">
        <f>CONCATENATE("          ","6111"," - ","F.I.C.A.")</f>
        <v xml:space="preserve">          6111 - F.I.C.A.</v>
      </c>
      <c r="C28" s="15"/>
      <c r="D28" s="3"/>
      <c r="E28" s="3">
        <v>168.12</v>
      </c>
      <c r="F28" s="3">
        <v>163.55000000000001</v>
      </c>
      <c r="G28" s="3">
        <v>359.05</v>
      </c>
      <c r="H28" s="3">
        <v>210.4</v>
      </c>
      <c r="I28" s="3">
        <v>445.21</v>
      </c>
      <c r="J28" s="3">
        <v>783.1</v>
      </c>
      <c r="K28" s="3">
        <v>1021.75</v>
      </c>
      <c r="L28" s="3">
        <v>1318.39</v>
      </c>
      <c r="M28" s="3">
        <v>1689.26</v>
      </c>
      <c r="N28" s="3">
        <v>519.931574423077</v>
      </c>
      <c r="O28" s="3">
        <v>598.54319042307702</v>
      </c>
      <c r="P28" s="10"/>
      <c r="Q28" s="3">
        <f>SUM(OSRRefD21_0_0x)+IFERROR(SUM(OSRRefE21_0_0x),0)</f>
        <v>7277.3047648461543</v>
      </c>
    </row>
    <row r="29" spans="1:17" s="42" customFormat="1" ht="15" hidden="1" customHeight="1" outlineLevel="1" x14ac:dyDescent="0.3">
      <c r="A29" s="34"/>
      <c r="B29" s="11" t="str">
        <f>CONCATENATE("          ","6112"," - ","COMPENSATION INSURANCE")</f>
        <v xml:space="preserve">          6112 - COMPENSATION INSURANCE</v>
      </c>
      <c r="C29" s="15"/>
      <c r="D29" s="3"/>
      <c r="E29" s="3">
        <v>32.53</v>
      </c>
      <c r="F29" s="3">
        <v>83.23</v>
      </c>
      <c r="G29" s="3">
        <v>120.49</v>
      </c>
      <c r="H29" s="3">
        <v>73.540000000000006</v>
      </c>
      <c r="I29" s="3">
        <v>107.83</v>
      </c>
      <c r="J29" s="3">
        <v>263.61</v>
      </c>
      <c r="K29" s="3">
        <v>325.41000000000003</v>
      </c>
      <c r="L29" s="3">
        <v>507.04</v>
      </c>
      <c r="M29" s="3">
        <v>402.52</v>
      </c>
      <c r="N29" s="3">
        <v>474.36348438461499</v>
      </c>
      <c r="O29" s="3">
        <v>462.76532638461498</v>
      </c>
      <c r="P29" s="10"/>
      <c r="Q29" s="3">
        <f>SUM(OSRRefD21_0_1x)+IFERROR(SUM(OSRRefE21_0_1x),0)</f>
        <v>2853.3288107692301</v>
      </c>
    </row>
    <row r="30" spans="1:17" s="42" customFormat="1" ht="15" hidden="1" customHeight="1" outlineLevel="1" x14ac:dyDescent="0.3">
      <c r="A30" s="34"/>
      <c r="B30" s="11" t="str">
        <f>CONCATENATE("          ","6113"," - ","GROUP INSURANCE")</f>
        <v xml:space="preserve">          6113 - GROUP INSURANCE</v>
      </c>
      <c r="C30" s="15"/>
      <c r="D30" s="3"/>
      <c r="E30" s="3"/>
      <c r="F30" s="3"/>
      <c r="G30" s="3"/>
      <c r="H30" s="3"/>
      <c r="I30" s="3">
        <v>33.81</v>
      </c>
      <c r="J30" s="3">
        <v>3036.65</v>
      </c>
      <c r="K30" s="3">
        <v>3036.68</v>
      </c>
      <c r="L30" s="3">
        <v>3036.65</v>
      </c>
      <c r="M30" s="3">
        <v>3036.65</v>
      </c>
      <c r="N30" s="3">
        <v>1977</v>
      </c>
      <c r="O30" s="3">
        <v>1977</v>
      </c>
      <c r="P30" s="10"/>
      <c r="Q30" s="3">
        <f>SUM(OSRRefD21_0_2x)+IFERROR(SUM(OSRRefE21_0_2x),0)</f>
        <v>16134.439999999999</v>
      </c>
    </row>
    <row r="31" spans="1:17" s="42" customFormat="1" ht="15" hidden="1" customHeight="1" outlineLevel="1" x14ac:dyDescent="0.3">
      <c r="A31" s="34"/>
      <c r="B31" s="11" t="str">
        <f>CONCATENATE("          ","6114"," - ","STATE UNEMPLOYMENT INSURANCE")</f>
        <v xml:space="preserve">          6114 - STATE UNEMPLOYMENT INSURANCE</v>
      </c>
      <c r="C31" s="15"/>
      <c r="D31" s="3"/>
      <c r="E31" s="3">
        <v>5.71</v>
      </c>
      <c r="F31" s="3">
        <v>12.97</v>
      </c>
      <c r="G31" s="3">
        <v>21.17</v>
      </c>
      <c r="H31" s="3">
        <v>11.18</v>
      </c>
      <c r="I31" s="3">
        <v>18.95</v>
      </c>
      <c r="J31" s="3">
        <v>27.27</v>
      </c>
      <c r="K31" s="3">
        <v>57.16</v>
      </c>
      <c r="L31" s="3">
        <v>89.08</v>
      </c>
      <c r="M31" s="3">
        <v>70.72</v>
      </c>
      <c r="N31" s="3">
        <v>26.283992538461501</v>
      </c>
      <c r="O31" s="3">
        <v>25.641350538461499</v>
      </c>
      <c r="P31" s="10"/>
      <c r="Q31" s="3">
        <f>SUM(OSRRefD21_0_3x)+IFERROR(SUM(OSRRefE21_0_3x),0)</f>
        <v>366.13534307692305</v>
      </c>
    </row>
    <row r="32" spans="1:17" s="42" customFormat="1" ht="15" hidden="1" customHeight="1" outlineLevel="1" x14ac:dyDescent="0.3">
      <c r="A32" s="34"/>
      <c r="B32" s="11" t="str">
        <f>CONCATENATE("          ","6115"," - ","P.E.R.S.")</f>
        <v xml:space="preserve">          6115 - P.E.R.S.</v>
      </c>
      <c r="C32" s="15"/>
      <c r="D32" s="3"/>
      <c r="E32" s="3"/>
      <c r="F32" s="3"/>
      <c r="G32" s="3"/>
      <c r="H32" s="3"/>
      <c r="I32" s="3"/>
      <c r="J32" s="3">
        <v>548.17999999999995</v>
      </c>
      <c r="K32" s="3">
        <v>548.17999999999995</v>
      </c>
      <c r="L32" s="3">
        <v>548.17999999999995</v>
      </c>
      <c r="M32" s="3">
        <v>794.87</v>
      </c>
      <c r="N32" s="3">
        <v>397.928615384615</v>
      </c>
      <c r="O32" s="3">
        <v>397.928615384615</v>
      </c>
      <c r="P32" s="10"/>
      <c r="Q32" s="3">
        <f>SUM(OSRRefD21_0_4x)+IFERROR(SUM(OSRRefE21_0_4x),0)</f>
        <v>3235.2672307692301</v>
      </c>
    </row>
    <row r="33" spans="1:17" s="42" customFormat="1" ht="15" hidden="1" customHeight="1" outlineLevel="1" x14ac:dyDescent="0.3">
      <c r="A33" s="34"/>
      <c r="B33" s="11" t="str">
        <f>CONCATENATE("          ","6116"," - ","EDUCATIONAL BENEFITS")</f>
        <v xml:space="preserve">          6116 - EDUCATIONAL BENEFITS</v>
      </c>
      <c r="C33" s="15"/>
      <c r="D33" s="3"/>
      <c r="E33" s="3"/>
      <c r="F33" s="3"/>
      <c r="G33" s="3"/>
      <c r="H33" s="3"/>
      <c r="I33" s="3"/>
      <c r="J33" s="3"/>
      <c r="K33" s="3"/>
      <c r="L33" s="3"/>
      <c r="M33" s="3"/>
      <c r="N33" s="3">
        <v>0</v>
      </c>
      <c r="O33" s="3">
        <v>0</v>
      </c>
      <c r="P33" s="10"/>
      <c r="Q33" s="3">
        <f>SUM(OSRRefD21_0_5x)+IFERROR(SUM(OSRRefE21_0_5x),0)</f>
        <v>0</v>
      </c>
    </row>
    <row r="34" spans="1:17" s="42" customFormat="1" ht="15" hidden="1" customHeight="1" outlineLevel="1" x14ac:dyDescent="0.3">
      <c r="A34" s="34"/>
      <c r="B34" s="11" t="str">
        <f>CONCATENATE("          ","6117"," - ","RETIREMENT STAFF HOURLY")</f>
        <v xml:space="preserve">          6117 - RETIREMENT STAFF HOURLY</v>
      </c>
      <c r="C34" s="15"/>
      <c r="D34" s="3"/>
      <c r="E34" s="3"/>
      <c r="F34" s="3"/>
      <c r="G34" s="3"/>
      <c r="H34" s="3"/>
      <c r="I34" s="3"/>
      <c r="J34" s="3">
        <v>211.66</v>
      </c>
      <c r="K34" s="3">
        <v>250.77</v>
      </c>
      <c r="L34" s="3">
        <v>294.60000000000002</v>
      </c>
      <c r="M34" s="3">
        <v>211.63</v>
      </c>
      <c r="N34" s="3"/>
      <c r="O34" s="3"/>
      <c r="P34" s="10"/>
      <c r="Q34" s="3">
        <f>SUM(OSRRefD21_0_6x)+IFERROR(SUM(OSRRefE21_0_6x),0)</f>
        <v>968.66</v>
      </c>
    </row>
    <row r="35" spans="1:17" s="42" customFormat="1" ht="15" hidden="1" customHeight="1" outlineLevel="1" x14ac:dyDescent="0.3">
      <c r="A35" s="34"/>
      <c r="B35" s="11" t="str">
        <f>CONCATENATE("          ","6118"," - ","VACATION")</f>
        <v xml:space="preserve">          6118 - VACATION</v>
      </c>
      <c r="C35" s="15"/>
      <c r="D35" s="3"/>
      <c r="E35" s="3"/>
      <c r="F35" s="3"/>
      <c r="G35" s="3"/>
      <c r="H35" s="3">
        <v>81.62</v>
      </c>
      <c r="I35" s="3">
        <v>163.24</v>
      </c>
      <c r="J35" s="3">
        <v>531.67999999999995</v>
      </c>
      <c r="K35" s="3">
        <v>531.67999999999995</v>
      </c>
      <c r="L35" s="3">
        <v>531.67999999999995</v>
      </c>
      <c r="M35" s="3">
        <v>797.52</v>
      </c>
      <c r="N35" s="3">
        <v>231.35384615384601</v>
      </c>
      <c r="O35" s="3">
        <v>231.35384615384601</v>
      </c>
      <c r="P35" s="10"/>
      <c r="Q35" s="3">
        <f>SUM(OSRRefD21_0_7x)+IFERROR(SUM(OSRRefE21_0_7x),0)</f>
        <v>3100.1276923076916</v>
      </c>
    </row>
    <row r="36" spans="1:17" s="42" customFormat="1" ht="15" hidden="1" customHeight="1" outlineLevel="1" x14ac:dyDescent="0.3">
      <c r="A36" s="34"/>
      <c r="B36" s="11" t="str">
        <f>CONCATENATE("          ","6119"," - ","SICK LEAVE")</f>
        <v xml:space="preserve">          6119 - SICK LEAVE</v>
      </c>
      <c r="C36" s="15"/>
      <c r="D36" s="3"/>
      <c r="E36" s="3"/>
      <c r="F36" s="3"/>
      <c r="G36" s="3"/>
      <c r="H36" s="3">
        <v>97.79</v>
      </c>
      <c r="I36" s="3">
        <v>195.58</v>
      </c>
      <c r="J36" s="3">
        <v>427.98</v>
      </c>
      <c r="K36" s="3">
        <v>427.98</v>
      </c>
      <c r="L36" s="3">
        <v>427.98</v>
      </c>
      <c r="M36" s="3">
        <v>641.97</v>
      </c>
      <c r="N36" s="3">
        <v>468.02714615384599</v>
      </c>
      <c r="O36" s="3">
        <v>458.84654615384602</v>
      </c>
      <c r="P36" s="10"/>
      <c r="Q36" s="3">
        <f>SUM(OSRRefD21_0_8x)+IFERROR(SUM(OSRRefE21_0_8x),0)</f>
        <v>3146.1536923076919</v>
      </c>
    </row>
    <row r="37" spans="1:17" s="42" customFormat="1" ht="15" hidden="1" customHeight="1" outlineLevel="1" x14ac:dyDescent="0.3">
      <c r="A37" s="34"/>
      <c r="B37" s="11" t="str">
        <f>CONCATENATE("          ","6156"," - ","EMPLOYEE MEALS")</f>
        <v xml:space="preserve">          6156 - EMPLOYEE MEALS</v>
      </c>
      <c r="C37" s="15"/>
      <c r="D37" s="3"/>
      <c r="E37" s="3">
        <v>78.08</v>
      </c>
      <c r="F37" s="3"/>
      <c r="G37" s="3">
        <v>40</v>
      </c>
      <c r="H37" s="3">
        <v>20</v>
      </c>
      <c r="I37" s="3">
        <v>207.17</v>
      </c>
      <c r="J37" s="3">
        <v>413.12</v>
      </c>
      <c r="K37" s="3">
        <v>464.25</v>
      </c>
      <c r="L37" s="3">
        <v>465</v>
      </c>
      <c r="M37" s="3">
        <v>463.71</v>
      </c>
      <c r="N37" s="3"/>
      <c r="O37" s="3"/>
      <c r="P37" s="10"/>
      <c r="Q37" s="3">
        <f>SUM(OSRRefD21_0_9x)+IFERROR(SUM(OSRRefE21_0_9x),0)</f>
        <v>2151.33</v>
      </c>
    </row>
    <row r="38" spans="1:17" s="42" customFormat="1" ht="15" customHeight="1" collapsed="1" x14ac:dyDescent="0.3">
      <c r="A38" s="34"/>
      <c r="B38" s="15" t="str">
        <f>CONCATENATE("     ","*Payroll                                          ")</f>
        <v xml:space="preserve">     *Payroll                                          </v>
      </c>
      <c r="C38" s="15"/>
      <c r="D38" s="2">
        <f>SUM(OSRRefD21_1x_0)</f>
        <v>0</v>
      </c>
      <c r="E38" s="2">
        <f>SUM(OSRRefD21_1x_1)</f>
        <v>3626.66</v>
      </c>
      <c r="F38" s="2">
        <f>SUM(OSRRefD21_1x_2)</f>
        <v>4434.13</v>
      </c>
      <c r="G38" s="2">
        <f>SUM(OSRRefD21_1x_3)</f>
        <v>6310.97</v>
      </c>
      <c r="H38" s="2">
        <f>SUM(OSRRefD21_1x_4)</f>
        <v>4186.26</v>
      </c>
      <c r="I38" s="2">
        <f>SUM(OSRRefD21_1x_5)</f>
        <v>7011.78</v>
      </c>
      <c r="J38" s="2">
        <f>SUM(OSRRefD21_1x_6)</f>
        <v>13305.04</v>
      </c>
      <c r="K38" s="2">
        <f>SUM(OSRRefD21_1x_7)</f>
        <v>27163</v>
      </c>
      <c r="L38" s="2">
        <f>SUM(OSRRefD21_1x_8)</f>
        <v>33405.89</v>
      </c>
      <c r="M38" s="2">
        <f>SUM(OSRRefD21_1x_9)</f>
        <v>34513.64</v>
      </c>
      <c r="N38" s="2">
        <f>SUM(OSRRefE21_1x_0)</f>
        <v>11816.805930769231</v>
      </c>
      <c r="O38" s="2">
        <f>SUM(OSRRefE21_1x_1)</f>
        <v>11519.96653076923</v>
      </c>
      <c r="Q38" s="3">
        <f>SUM(OSRRefD20_1x)+IFERROR(SUM(OSRRefE20_1x),0)</f>
        <v>157294.14246153846</v>
      </c>
    </row>
    <row r="39" spans="1:17" s="42" customFormat="1" ht="15" hidden="1" customHeight="1" outlineLevel="1" x14ac:dyDescent="0.3">
      <c r="A39" s="34"/>
      <c r="B39" s="11" t="str">
        <f>CONCATENATE("          ","6001"," - ","ADMINISTRATIVE SALARIES")</f>
        <v xml:space="preserve">          6001 - ADMINISTRATIVE SALARIES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/>
      <c r="N39" s="3">
        <v>0</v>
      </c>
      <c r="O39" s="3">
        <v>0</v>
      </c>
      <c r="P39" s="10"/>
      <c r="Q39" s="3">
        <f>SUM(OSRRefD21_1_0x)+IFERROR(SUM(OSRRefE21_1_0x),0)</f>
        <v>0</v>
      </c>
    </row>
    <row r="40" spans="1:17" s="42" customFormat="1" ht="15" hidden="1" customHeight="1" outlineLevel="1" x14ac:dyDescent="0.3">
      <c r="A40" s="34"/>
      <c r="B40" s="11" t="str">
        <f>CONCATENATE("          ","6002"," - ","STAFF SALARIES")</f>
        <v xml:space="preserve">          6002 - STAFF SALARIES</v>
      </c>
      <c r="C40" s="15"/>
      <c r="D40" s="3"/>
      <c r="E40" s="3"/>
      <c r="F40" s="3"/>
      <c r="G40" s="3"/>
      <c r="H40" s="3"/>
      <c r="I40" s="3"/>
      <c r="J40" s="3">
        <v>6046.54</v>
      </c>
      <c r="K40" s="3">
        <v>5038.46</v>
      </c>
      <c r="L40" s="3">
        <v>4534.6099999999997</v>
      </c>
      <c r="M40" s="3">
        <v>5541.93</v>
      </c>
      <c r="N40" s="3">
        <v>4164.3692307692299</v>
      </c>
      <c r="O40" s="3">
        <v>4164.3692307692299</v>
      </c>
      <c r="P40" s="10"/>
      <c r="Q40" s="3">
        <f>SUM(OSRRefD21_1_1x)+IFERROR(SUM(OSRRefE21_1_1x),0)</f>
        <v>29490.278461538459</v>
      </c>
    </row>
    <row r="41" spans="1:17" s="42" customFormat="1" ht="15" hidden="1" customHeight="1" outlineLevel="1" x14ac:dyDescent="0.3">
      <c r="A41" s="34"/>
      <c r="B41" s="11" t="str">
        <f>CONCATENATE("          ","6003"," - ","STAFF HOURLY-9 MONTH")</f>
        <v xml:space="preserve">          6003 - STAFF HOURLY-9 MONTH</v>
      </c>
      <c r="C41" s="15"/>
      <c r="D41" s="3"/>
      <c r="E41" s="3"/>
      <c r="F41" s="3"/>
      <c r="G41" s="3"/>
      <c r="H41" s="3"/>
      <c r="I41" s="3"/>
      <c r="J41" s="3"/>
      <c r="K41" s="3"/>
      <c r="L41" s="3"/>
      <c r="M41" s="3"/>
      <c r="N41" s="3">
        <v>0</v>
      </c>
      <c r="O41" s="3">
        <v>0</v>
      </c>
      <c r="P41" s="10"/>
      <c r="Q41" s="3">
        <f>SUM(OSRRefD21_1_2x)+IFERROR(SUM(OSRRefE21_1_2x),0)</f>
        <v>0</v>
      </c>
    </row>
    <row r="42" spans="1:17" s="42" customFormat="1" ht="15" hidden="1" customHeight="1" outlineLevel="1" x14ac:dyDescent="0.3">
      <c r="A42" s="34"/>
      <c r="B42" s="11" t="str">
        <f>CONCATENATE("          ","6004"," - ","STAFF HOURLY")</f>
        <v xml:space="preserve">          6004 - STAFF HOURLY</v>
      </c>
      <c r="C42" s="15"/>
      <c r="D42" s="3"/>
      <c r="E42" s="3"/>
      <c r="F42" s="3"/>
      <c r="G42" s="3"/>
      <c r="H42" s="3">
        <v>466.93</v>
      </c>
      <c r="I42" s="3">
        <v>3071.88</v>
      </c>
      <c r="J42" s="3">
        <v>4021.12</v>
      </c>
      <c r="K42" s="3">
        <v>6601.4</v>
      </c>
      <c r="L42" s="3">
        <v>4230.8900000000003</v>
      </c>
      <c r="M42" s="3">
        <v>6240.77</v>
      </c>
      <c r="N42" s="3">
        <v>2101.7474999999999</v>
      </c>
      <c r="O42" s="3">
        <v>3098.1315</v>
      </c>
      <c r="P42" s="10"/>
      <c r="Q42" s="3">
        <f>SUM(OSRRefD21_1_3x)+IFERROR(SUM(OSRRefE21_1_3x),0)</f>
        <v>29832.869000000002</v>
      </c>
    </row>
    <row r="43" spans="1:17" s="42" customFormat="1" ht="15" hidden="1" customHeight="1" outlineLevel="1" x14ac:dyDescent="0.3">
      <c r="A43" s="34"/>
      <c r="B43" s="11" t="str">
        <f>CONCATENATE("          ","6005"," - ","TEMPORARY WAGES-HOURLY")</f>
        <v xml:space="preserve">          6005 - TEMPORARY WAGES-HOURLY</v>
      </c>
      <c r="C43" s="15"/>
      <c r="D43" s="3"/>
      <c r="E43" s="3">
        <v>1349.1</v>
      </c>
      <c r="F43" s="3">
        <v>2137.8000000000002</v>
      </c>
      <c r="G43" s="3">
        <v>4693.5</v>
      </c>
      <c r="H43" s="3">
        <v>2283.4499999999998</v>
      </c>
      <c r="I43" s="3">
        <v>2741.1</v>
      </c>
      <c r="J43" s="3">
        <v>890.08</v>
      </c>
      <c r="K43" s="3">
        <v>4202.3</v>
      </c>
      <c r="L43" s="3">
        <v>2910.34</v>
      </c>
      <c r="M43" s="3">
        <v>5012.8</v>
      </c>
      <c r="N43" s="3">
        <v>0</v>
      </c>
      <c r="O43" s="3">
        <v>0</v>
      </c>
      <c r="P43" s="10"/>
      <c r="Q43" s="3">
        <f>SUM(OSRRefD21_1_4x)+IFERROR(SUM(OSRRefE21_1_4x),0)</f>
        <v>26220.469999999998</v>
      </c>
    </row>
    <row r="44" spans="1:17" s="42" customFormat="1" ht="15" hidden="1" customHeight="1" outlineLevel="1" x14ac:dyDescent="0.3">
      <c r="A44" s="34"/>
      <c r="B44" s="11" t="str">
        <f>CONCATENATE("          ","6006"," - ","TEMPORARY PART TIME")</f>
        <v xml:space="preserve">          6006 - TEMPORARY PART TIME</v>
      </c>
      <c r="C44" s="15"/>
      <c r="D44" s="3"/>
      <c r="E44" s="3"/>
      <c r="F44" s="3"/>
      <c r="G44" s="3"/>
      <c r="H44" s="3"/>
      <c r="I44" s="3"/>
      <c r="J44" s="3"/>
      <c r="K44" s="3">
        <v>641</v>
      </c>
      <c r="L44" s="3">
        <v>1702.24</v>
      </c>
      <c r="M44" s="3">
        <v>2858.76</v>
      </c>
      <c r="N44" s="3">
        <v>0</v>
      </c>
      <c r="O44" s="3">
        <v>0</v>
      </c>
      <c r="P44" s="10"/>
      <c r="Q44" s="3">
        <f>SUM(OSRRefD21_1_5x)+IFERROR(SUM(OSRRefE21_1_5x),0)</f>
        <v>5202</v>
      </c>
    </row>
    <row r="45" spans="1:17" s="42" customFormat="1" ht="15" hidden="1" customHeight="1" outlineLevel="1" x14ac:dyDescent="0.3">
      <c r="A45" s="34"/>
      <c r="B45" s="11" t="str">
        <f>CONCATENATE("          ","6007"," - ","STUDENT HOURLY")</f>
        <v xml:space="preserve">          6007 - STUDENT HOURLY</v>
      </c>
      <c r="C45" s="15"/>
      <c r="D45" s="3"/>
      <c r="E45" s="3">
        <v>2277.56</v>
      </c>
      <c r="F45" s="3">
        <v>2296.33</v>
      </c>
      <c r="G45" s="3">
        <v>1617.47</v>
      </c>
      <c r="H45" s="3">
        <v>1435.88</v>
      </c>
      <c r="I45" s="3">
        <v>1198.8</v>
      </c>
      <c r="J45" s="3">
        <v>2347.3000000000002</v>
      </c>
      <c r="K45" s="3">
        <v>9535.0400000000009</v>
      </c>
      <c r="L45" s="3">
        <v>17283.04</v>
      </c>
      <c r="M45" s="3">
        <v>11134.09</v>
      </c>
      <c r="N45" s="3">
        <v>0</v>
      </c>
      <c r="O45" s="3">
        <v>0</v>
      </c>
      <c r="P45" s="10"/>
      <c r="Q45" s="3">
        <f>SUM(OSRRefD21_1_6x)+IFERROR(SUM(OSRRefE21_1_6x),0)</f>
        <v>49125.509999999995</v>
      </c>
    </row>
    <row r="46" spans="1:17" s="42" customFormat="1" ht="15" hidden="1" customHeight="1" outlineLevel="1" x14ac:dyDescent="0.3">
      <c r="A46" s="34"/>
      <c r="B46" s="11" t="str">
        <f>CONCATENATE("          ","6008"," - ","STUDENT HOURLY-FICA EXEMPT")</f>
        <v xml:space="preserve">          6008 - STUDENT HOURLY-FICA EXEMPT</v>
      </c>
      <c r="C46" s="15"/>
      <c r="D46" s="3"/>
      <c r="E46" s="3"/>
      <c r="F46" s="3"/>
      <c r="G46" s="3"/>
      <c r="H46" s="3"/>
      <c r="I46" s="3"/>
      <c r="J46" s="3"/>
      <c r="K46" s="3">
        <v>1144.8</v>
      </c>
      <c r="L46" s="3">
        <v>2744.77</v>
      </c>
      <c r="M46" s="3">
        <v>3725.29</v>
      </c>
      <c r="N46" s="3">
        <v>5550.6891999999998</v>
      </c>
      <c r="O46" s="3">
        <v>4257.4657999999999</v>
      </c>
      <c r="P46" s="10"/>
      <c r="Q46" s="3">
        <f>SUM(OSRRefD21_1_7x)+IFERROR(SUM(OSRRefE21_1_7x),0)</f>
        <v>17423.014999999999</v>
      </c>
    </row>
    <row r="47" spans="1:17" s="42" customFormat="1" ht="15" hidden="1" customHeight="1" outlineLevel="1" x14ac:dyDescent="0.3">
      <c r="A47" s="34"/>
      <c r="B47" s="11" t="str">
        <f>CONCATENATE("          ","6009"," - ","TEMPORARY-SEASONAL")</f>
        <v xml:space="preserve">          6009 - TEMPORARY-SEASONAL</v>
      </c>
      <c r="C47" s="15"/>
      <c r="D47" s="3"/>
      <c r="E47" s="3"/>
      <c r="F47" s="3"/>
      <c r="G47" s="3"/>
      <c r="H47" s="3"/>
      <c r="I47" s="3"/>
      <c r="J47" s="3"/>
      <c r="K47" s="3"/>
      <c r="L47" s="3"/>
      <c r="M47" s="3"/>
      <c r="N47" s="3">
        <v>0</v>
      </c>
      <c r="O47" s="3">
        <v>0</v>
      </c>
      <c r="P47" s="10"/>
      <c r="Q47" s="3">
        <f>SUM(OSRRefD21_1_8x)+IFERROR(SUM(OSRRefE21_1_8x),0)</f>
        <v>0</v>
      </c>
    </row>
    <row r="48" spans="1:17" s="42" customFormat="1" ht="15" hidden="1" customHeight="1" outlineLevel="1" x14ac:dyDescent="0.3">
      <c r="A48" s="34"/>
      <c r="B48" s="11" t="str">
        <f>CONCATENATE("          ","6010"," - ","GRATUITY")</f>
        <v xml:space="preserve">          6010 - GRATUITY</v>
      </c>
      <c r="C48" s="15"/>
      <c r="D48" s="3"/>
      <c r="E48" s="3"/>
      <c r="F48" s="3"/>
      <c r="G48" s="3"/>
      <c r="H48" s="3"/>
      <c r="I48" s="3"/>
      <c r="J48" s="3"/>
      <c r="K48" s="3"/>
      <c r="L48" s="3"/>
      <c r="M48" s="3"/>
      <c r="N48" s="3">
        <v>0</v>
      </c>
      <c r="O48" s="3">
        <v>0</v>
      </c>
      <c r="P48" s="10"/>
      <c r="Q48" s="3">
        <f>SUM(OSRRefD21_1_9x)+IFERROR(SUM(OSRRefE21_1_9x),0)</f>
        <v>0</v>
      </c>
    </row>
    <row r="49" spans="1:17" s="42" customFormat="1" ht="15" customHeight="1" collapsed="1" x14ac:dyDescent="0.3">
      <c r="A49" s="34"/>
      <c r="B49" s="15" t="str">
        <f>CONCATENATE("     ","Advertising/Promo                                 ")</f>
        <v xml:space="preserve">     Advertising/Promo                                 </v>
      </c>
      <c r="C49" s="15"/>
      <c r="D49" s="2">
        <f>SUM(OSRRefD21_2x_0)</f>
        <v>0</v>
      </c>
      <c r="E49" s="2">
        <f>SUM(OSRRefD21_2x_1)</f>
        <v>87.97</v>
      </c>
      <c r="F49" s="2">
        <f>SUM(OSRRefD21_2x_2)</f>
        <v>0</v>
      </c>
      <c r="G49" s="2">
        <f>SUM(OSRRefD21_2x_3)</f>
        <v>0</v>
      </c>
      <c r="H49" s="2">
        <f>SUM(OSRRefD21_2x_4)</f>
        <v>3.25</v>
      </c>
      <c r="I49" s="2">
        <f>SUM(OSRRefD21_2x_5)</f>
        <v>0</v>
      </c>
      <c r="J49" s="2">
        <f>SUM(OSRRefD21_2x_6)</f>
        <v>0</v>
      </c>
      <c r="K49" s="2">
        <f>SUM(OSRRefD21_2x_7)</f>
        <v>525.14</v>
      </c>
      <c r="L49" s="2">
        <f>SUM(OSRRefD21_2x_8)</f>
        <v>8.81</v>
      </c>
      <c r="M49" s="2">
        <f>SUM(OSRRefD21_2x_9)</f>
        <v>0</v>
      </c>
      <c r="N49" s="2">
        <f>SUM(OSRRefE21_2x_0)</f>
        <v>0</v>
      </c>
      <c r="O49" s="2">
        <f>SUM(OSRRefE21_2x_1)</f>
        <v>0</v>
      </c>
      <c r="Q49" s="3">
        <f>SUM(OSRRefD20_2x)+IFERROR(SUM(OSRRefE20_2x),0)</f>
        <v>625.16999999999996</v>
      </c>
    </row>
    <row r="50" spans="1:17" s="42" customFormat="1" ht="15" hidden="1" customHeight="1" outlineLevel="1" x14ac:dyDescent="0.3">
      <c r="A50" s="34"/>
      <c r="B50" s="11" t="str">
        <f>CONCATENATE("          ","6362"," - ","ADVERTISING EXPENSE")</f>
        <v xml:space="preserve">          6362 - ADVERTISING EXPENSE</v>
      </c>
      <c r="C50" s="15"/>
      <c r="D50" s="3"/>
      <c r="E50" s="3">
        <v>87.97</v>
      </c>
      <c r="F50" s="3"/>
      <c r="G50" s="3"/>
      <c r="H50" s="3">
        <v>3.25</v>
      </c>
      <c r="I50" s="3"/>
      <c r="J50" s="3"/>
      <c r="K50" s="3">
        <v>525.14</v>
      </c>
      <c r="L50" s="3">
        <v>8.81</v>
      </c>
      <c r="M50" s="3"/>
      <c r="N50" s="3"/>
      <c r="O50" s="3"/>
      <c r="P50" s="10"/>
      <c r="Q50" s="3">
        <f>SUM(OSRRefD21_2_0x)+IFERROR(SUM(OSRRefE21_2_0x),0)</f>
        <v>625.16999999999996</v>
      </c>
    </row>
    <row r="51" spans="1:17" s="42" customFormat="1" ht="15" customHeight="1" collapsed="1" x14ac:dyDescent="0.3">
      <c r="A51" s="34"/>
      <c r="B51" s="15" t="str">
        <f>CONCATENATE("     ","Bad Debts/Over/Short                              ")</f>
        <v xml:space="preserve">     Bad Debts/Over/Short                              </v>
      </c>
      <c r="C51" s="15"/>
      <c r="D51" s="2">
        <f>SUM(OSRRefD21_3x_0)</f>
        <v>0</v>
      </c>
      <c r="E51" s="2">
        <f>SUM(OSRRefD21_3x_1)</f>
        <v>-1.3</v>
      </c>
      <c r="F51" s="2">
        <f>SUM(OSRRefD21_3x_2)</f>
        <v>15.79</v>
      </c>
      <c r="G51" s="2">
        <f>SUM(OSRRefD21_3x_3)</f>
        <v>-7.31</v>
      </c>
      <c r="H51" s="2">
        <f>SUM(OSRRefD21_3x_4)</f>
        <v>2.06</v>
      </c>
      <c r="I51" s="2">
        <f>SUM(OSRRefD21_3x_5)</f>
        <v>19.600000000000001</v>
      </c>
      <c r="J51" s="2">
        <f>SUM(OSRRefD21_3x_6)</f>
        <v>-19.52</v>
      </c>
      <c r="K51" s="2">
        <f>SUM(OSRRefD21_3x_7)</f>
        <v>-0.21</v>
      </c>
      <c r="L51" s="2">
        <f>SUM(OSRRefD21_3x_8)</f>
        <v>-0.75</v>
      </c>
      <c r="M51" s="2">
        <f>SUM(OSRRefD21_3x_9)</f>
        <v>0.41</v>
      </c>
      <c r="N51" s="2">
        <f>SUM(OSRRefE21_3x_0)</f>
        <v>0</v>
      </c>
      <c r="O51" s="2">
        <f>SUM(OSRRefE21_3x_1)</f>
        <v>0</v>
      </c>
      <c r="Q51" s="3">
        <f>SUM(OSRRefD20_3x)+IFERROR(SUM(OSRRefE20_3x),0)</f>
        <v>8.77</v>
      </c>
    </row>
    <row r="52" spans="1:17" s="42" customFormat="1" ht="15" hidden="1" customHeight="1" outlineLevel="1" x14ac:dyDescent="0.3">
      <c r="A52" s="34"/>
      <c r="B52" s="11" t="str">
        <f>CONCATENATE("          ","6272"," - ","CASH (OVER/SHORT)")</f>
        <v xml:space="preserve">          6272 - CASH (OVER/SHORT)</v>
      </c>
      <c r="C52" s="15"/>
      <c r="D52" s="3"/>
      <c r="E52" s="3">
        <v>-1.3</v>
      </c>
      <c r="F52" s="3">
        <v>15.79</v>
      </c>
      <c r="G52" s="3">
        <v>-7.31</v>
      </c>
      <c r="H52" s="3">
        <v>2.06</v>
      </c>
      <c r="I52" s="3">
        <v>19.600000000000001</v>
      </c>
      <c r="J52" s="3">
        <v>-19.52</v>
      </c>
      <c r="K52" s="3">
        <v>-0.21</v>
      </c>
      <c r="L52" s="3">
        <v>-0.75</v>
      </c>
      <c r="M52" s="3">
        <v>0.41</v>
      </c>
      <c r="N52" s="3">
        <v>0</v>
      </c>
      <c r="O52" s="3"/>
      <c r="P52" s="10"/>
      <c r="Q52" s="3">
        <f>SUM(OSRRefD21_3_0x)+IFERROR(SUM(OSRRefE21_3_0x),0)</f>
        <v>8.77</v>
      </c>
    </row>
    <row r="53" spans="1:17" s="42" customFormat="1" ht="15" customHeight="1" collapsed="1" x14ac:dyDescent="0.3">
      <c r="A53" s="34"/>
      <c r="B53" s="15" t="str">
        <f>CONCATENATE("     ","Bank/card Fees                                    ")</f>
        <v xml:space="preserve">     Bank/card Fees                                    </v>
      </c>
      <c r="C53" s="15"/>
      <c r="D53" s="2">
        <f>SUM(OSRRefD21_4x_0)</f>
        <v>75.459999999999994</v>
      </c>
      <c r="E53" s="2">
        <f>SUM(OSRRefD21_4x_1)</f>
        <v>419.56</v>
      </c>
      <c r="F53" s="2">
        <f>SUM(OSRRefD21_4x_2)</f>
        <v>1041.94</v>
      </c>
      <c r="G53" s="2">
        <f>SUM(OSRRefD21_4x_3)</f>
        <v>1114.23</v>
      </c>
      <c r="H53" s="2">
        <f>SUM(OSRRefD21_4x_4)</f>
        <v>719.42</v>
      </c>
      <c r="I53" s="2">
        <f>SUM(OSRRefD21_4x_5)</f>
        <v>599.38</v>
      </c>
      <c r="J53" s="2">
        <f>SUM(OSRRefD21_4x_6)</f>
        <v>169.29</v>
      </c>
      <c r="K53" s="2">
        <f>SUM(OSRRefD21_4x_7)</f>
        <v>3941.02</v>
      </c>
      <c r="L53" s="2">
        <f>SUM(OSRRefD21_4x_8)</f>
        <v>5878.33</v>
      </c>
      <c r="M53" s="2">
        <f>SUM(OSRRefD21_4x_9)</f>
        <v>5711.76</v>
      </c>
      <c r="N53" s="2">
        <f>SUM(OSRRefE21_4x_0)</f>
        <v>2778</v>
      </c>
      <c r="O53" s="2">
        <f>SUM(OSRRefE21_4x_1)</f>
        <v>681.5</v>
      </c>
      <c r="Q53" s="3">
        <f>SUM(OSRRefD20_4x)+IFERROR(SUM(OSRRefE20_4x),0)</f>
        <v>23129.89</v>
      </c>
    </row>
    <row r="54" spans="1:17" s="42" customFormat="1" ht="15" hidden="1" customHeight="1" outlineLevel="1" x14ac:dyDescent="0.3">
      <c r="A54" s="34"/>
      <c r="B54" s="11" t="str">
        <f>CONCATENATE("          ","6381"," - ","BANK/CREDIT CARD FEES")</f>
        <v xml:space="preserve">          6381 - BANK/CREDIT CARD FEES</v>
      </c>
      <c r="C54" s="15"/>
      <c r="D54" s="3">
        <v>75.459999999999994</v>
      </c>
      <c r="E54" s="3">
        <v>419.56</v>
      </c>
      <c r="F54" s="3">
        <v>1041.94</v>
      </c>
      <c r="G54" s="3">
        <v>1114.23</v>
      </c>
      <c r="H54" s="3">
        <v>719.42</v>
      </c>
      <c r="I54" s="3">
        <v>599.38</v>
      </c>
      <c r="J54" s="3">
        <v>169.29</v>
      </c>
      <c r="K54" s="3">
        <v>3941.02</v>
      </c>
      <c r="L54" s="3">
        <v>5878.33</v>
      </c>
      <c r="M54" s="3">
        <v>5711.76</v>
      </c>
      <c r="N54" s="3">
        <v>2778</v>
      </c>
      <c r="O54" s="3">
        <v>681.5</v>
      </c>
      <c r="P54" s="10"/>
      <c r="Q54" s="3">
        <f>SUM(OSRRefD21_4_0x)+IFERROR(SUM(OSRRefE21_4_0x),0)</f>
        <v>23129.89</v>
      </c>
    </row>
    <row r="55" spans="1:17" s="42" customFormat="1" ht="15" customHeight="1" collapsed="1" x14ac:dyDescent="0.3">
      <c r="A55" s="34"/>
      <c r="B55" s="15" t="str">
        <f>CONCATENATE("     ","Depreciation                                      ")</f>
        <v xml:space="preserve">     Depreciation                                      </v>
      </c>
      <c r="C55" s="15"/>
      <c r="D55" s="2">
        <f>SUM(OSRRefD21_5x_0)</f>
        <v>7135.5400000000009</v>
      </c>
      <c r="E55" s="2">
        <f>SUM(OSRRefD21_5x_1)</f>
        <v>7135.5400000000009</v>
      </c>
      <c r="F55" s="2">
        <f>SUM(OSRRefD21_5x_2)</f>
        <v>7135.5300000000007</v>
      </c>
      <c r="G55" s="2">
        <f>SUM(OSRRefD21_5x_3)</f>
        <v>6324.75</v>
      </c>
      <c r="H55" s="2">
        <f>SUM(OSRRefD21_5x_4)</f>
        <v>6324.75</v>
      </c>
      <c r="I55" s="2">
        <f>SUM(OSRRefD21_5x_5)</f>
        <v>6324.75</v>
      </c>
      <c r="J55" s="2">
        <f>SUM(OSRRefD21_5x_6)</f>
        <v>6324.75</v>
      </c>
      <c r="K55" s="2">
        <f>SUM(OSRRefD21_5x_7)</f>
        <v>6324.75</v>
      </c>
      <c r="L55" s="2">
        <f>SUM(OSRRefD21_5x_8)</f>
        <v>6324.75</v>
      </c>
      <c r="M55" s="2">
        <f>SUM(OSRRefD21_5x_9)</f>
        <v>6324.75</v>
      </c>
      <c r="N55" s="2">
        <f>SUM(OSRRefE21_5x_0)</f>
        <v>6324</v>
      </c>
      <c r="O55" s="2">
        <f>SUM(OSRRefE21_5x_1)</f>
        <v>6166</v>
      </c>
      <c r="Q55" s="3">
        <f>SUM(OSRRefD20_5x)+IFERROR(SUM(OSRRefE20_5x),0)</f>
        <v>78169.86</v>
      </c>
    </row>
    <row r="56" spans="1:17" s="42" customFormat="1" ht="15" hidden="1" customHeight="1" outlineLevel="1" x14ac:dyDescent="0.3">
      <c r="A56" s="34"/>
      <c r="B56" s="11" t="str">
        <f>CONCATENATE("          ","6321"," - ","BUILDING DEPRECIATION")</f>
        <v xml:space="preserve">          6321 - BUILDING DEPRECIATION</v>
      </c>
      <c r="C56" s="15"/>
      <c r="D56" s="3">
        <v>5080.51</v>
      </c>
      <c r="E56" s="3">
        <v>5080.51</v>
      </c>
      <c r="F56" s="3">
        <v>5080.51</v>
      </c>
      <c r="G56" s="3">
        <v>5080.51</v>
      </c>
      <c r="H56" s="3">
        <v>5080.51</v>
      </c>
      <c r="I56" s="3">
        <v>5080.51</v>
      </c>
      <c r="J56" s="3">
        <v>5080.51</v>
      </c>
      <c r="K56" s="3">
        <v>5080.51</v>
      </c>
      <c r="L56" s="3">
        <v>5080.51</v>
      </c>
      <c r="M56" s="3">
        <v>5080.51</v>
      </c>
      <c r="N56" s="3"/>
      <c r="O56" s="3"/>
      <c r="P56" s="10"/>
      <c r="Q56" s="3">
        <f>SUM(OSRRefD21_5_0x)+IFERROR(SUM(OSRRefE21_5_0x),0)</f>
        <v>50805.100000000013</v>
      </c>
    </row>
    <row r="57" spans="1:17" s="42" customFormat="1" ht="15" hidden="1" customHeight="1" outlineLevel="1" x14ac:dyDescent="0.3">
      <c r="A57" s="34"/>
      <c r="B57" s="11" t="str">
        <f>CONCATENATE("          ","6322"," - ","EQUIPMENT DEPRECIATION EXPENSE")</f>
        <v xml:space="preserve">          6322 - EQUIPMENT DEPRECIATION EXPENSE</v>
      </c>
      <c r="C57" s="15"/>
      <c r="D57" s="3">
        <v>2055.0300000000002</v>
      </c>
      <c r="E57" s="3">
        <v>2055.0300000000002</v>
      </c>
      <c r="F57" s="3">
        <v>2055.02</v>
      </c>
      <c r="G57" s="3">
        <v>1244.24</v>
      </c>
      <c r="H57" s="3">
        <v>1244.24</v>
      </c>
      <c r="I57" s="3">
        <v>1244.24</v>
      </c>
      <c r="J57" s="3">
        <v>1244.24</v>
      </c>
      <c r="K57" s="3">
        <v>1244.24</v>
      </c>
      <c r="L57" s="3">
        <v>1244.24</v>
      </c>
      <c r="M57" s="3">
        <v>1244.24</v>
      </c>
      <c r="N57" s="3">
        <v>6324</v>
      </c>
      <c r="O57" s="3">
        <v>6166</v>
      </c>
      <c r="P57" s="10"/>
      <c r="Q57" s="3">
        <f>SUM(OSRRefD21_5_1x)+IFERROR(SUM(OSRRefE21_5_1x),0)</f>
        <v>27364.76</v>
      </c>
    </row>
    <row r="58" spans="1:17" s="42" customFormat="1" ht="15" customHeight="1" collapsed="1" x14ac:dyDescent="0.3">
      <c r="A58" s="34"/>
      <c r="B58" s="15" t="str">
        <f>CONCATENATE("     ","Employees' Appreciation                           ")</f>
        <v xml:space="preserve">     Employees' Appreciation                           </v>
      </c>
      <c r="C58" s="15"/>
      <c r="D58" s="2">
        <f>SUM(OSRRefD21_6x_0)</f>
        <v>0</v>
      </c>
      <c r="E58" s="2">
        <f>SUM(OSRRefD21_6x_1)</f>
        <v>0</v>
      </c>
      <c r="F58" s="2">
        <f>SUM(OSRRefD21_6x_2)</f>
        <v>0</v>
      </c>
      <c r="G58" s="2">
        <f>SUM(OSRRefD21_6x_3)</f>
        <v>0</v>
      </c>
      <c r="H58" s="2">
        <f>SUM(OSRRefD21_6x_4)</f>
        <v>0</v>
      </c>
      <c r="I58" s="2">
        <f>SUM(OSRRefD21_6x_5)</f>
        <v>0</v>
      </c>
      <c r="J58" s="2">
        <f>SUM(OSRRefD21_6x_6)</f>
        <v>0</v>
      </c>
      <c r="K58" s="2">
        <f>SUM(OSRRefD21_6x_7)</f>
        <v>0</v>
      </c>
      <c r="L58" s="2">
        <f>SUM(OSRRefD21_6x_8)</f>
        <v>0</v>
      </c>
      <c r="M58" s="2">
        <f>SUM(OSRRefD21_6x_9)</f>
        <v>0</v>
      </c>
      <c r="N58" s="2">
        <f>SUM(OSRRefE21_6x_0)</f>
        <v>50</v>
      </c>
      <c r="O58" s="2">
        <f>SUM(OSRRefE21_6x_1)</f>
        <v>0</v>
      </c>
      <c r="Q58" s="3">
        <f>SUM(OSRRefD20_6x)+IFERROR(SUM(OSRRefE20_6x),0)</f>
        <v>50</v>
      </c>
    </row>
    <row r="59" spans="1:17" s="42" customFormat="1" ht="15" hidden="1" customHeight="1" outlineLevel="1" x14ac:dyDescent="0.3">
      <c r="A59" s="34"/>
      <c r="B59" s="11" t="str">
        <f>CONCATENATE("          ","6277"," - ","EMPLOYEE APPRECIATION")</f>
        <v xml:space="preserve">          6277 - EMPLOYEE APPRECIATION</v>
      </c>
      <c r="C59" s="15"/>
      <c r="D59" s="3"/>
      <c r="E59" s="3"/>
      <c r="F59" s="3"/>
      <c r="G59" s="3"/>
      <c r="H59" s="3"/>
      <c r="I59" s="3"/>
      <c r="J59" s="3"/>
      <c r="K59" s="3"/>
      <c r="L59" s="3"/>
      <c r="M59" s="3"/>
      <c r="N59" s="3">
        <v>50</v>
      </c>
      <c r="O59" s="3"/>
      <c r="P59" s="10"/>
      <c r="Q59" s="3">
        <f>SUM(OSRRefD21_6_0x)+IFERROR(SUM(OSRRefE21_6_0x),0)</f>
        <v>50</v>
      </c>
    </row>
    <row r="60" spans="1:17" s="42" customFormat="1" ht="15" customHeight="1" collapsed="1" x14ac:dyDescent="0.3">
      <c r="A60" s="34"/>
      <c r="B60" s="15" t="str">
        <f>CONCATENATE("     ","Equipment Rental                                  ")</f>
        <v xml:space="preserve">     Equipment Rental                                  </v>
      </c>
      <c r="C60" s="15"/>
      <c r="D60" s="2">
        <f>SUM(OSRRefD21_7x_0)</f>
        <v>0</v>
      </c>
      <c r="E60" s="2">
        <f>SUM(OSRRefD21_7x_1)</f>
        <v>0</v>
      </c>
      <c r="F60" s="2">
        <f>SUM(OSRRefD21_7x_2)</f>
        <v>0</v>
      </c>
      <c r="G60" s="2">
        <f>SUM(OSRRefD21_7x_3)</f>
        <v>0</v>
      </c>
      <c r="H60" s="2">
        <f>SUM(OSRRefD21_7x_4)</f>
        <v>0</v>
      </c>
      <c r="I60" s="2">
        <f>SUM(OSRRefD21_7x_5)</f>
        <v>30</v>
      </c>
      <c r="J60" s="2">
        <f>SUM(OSRRefD21_7x_6)</f>
        <v>0</v>
      </c>
      <c r="K60" s="2">
        <f>SUM(OSRRefD21_7x_7)</f>
        <v>0</v>
      </c>
      <c r="L60" s="2">
        <f>SUM(OSRRefD21_7x_8)</f>
        <v>0</v>
      </c>
      <c r="M60" s="2">
        <f>SUM(OSRRefD21_7x_9)</f>
        <v>0</v>
      </c>
      <c r="N60" s="2">
        <f>SUM(OSRRefE21_7x_0)</f>
        <v>176</v>
      </c>
      <c r="O60" s="2">
        <f>SUM(OSRRefE21_7x_1)</f>
        <v>176</v>
      </c>
      <c r="Q60" s="3">
        <f>SUM(OSRRefD20_7x)+IFERROR(SUM(OSRRefE20_7x),0)</f>
        <v>382</v>
      </c>
    </row>
    <row r="61" spans="1:17" s="42" customFormat="1" ht="15" hidden="1" customHeight="1" outlineLevel="1" x14ac:dyDescent="0.3">
      <c r="A61" s="34"/>
      <c r="B61" s="11" t="str">
        <f>CONCATENATE("          ","6351"," - ","EQUIPMENT RENTAL")</f>
        <v xml:space="preserve">          6351 - EQUIPMENT RENTAL</v>
      </c>
      <c r="C61" s="15"/>
      <c r="D61" s="3"/>
      <c r="E61" s="3"/>
      <c r="F61" s="3"/>
      <c r="G61" s="3"/>
      <c r="H61" s="3"/>
      <c r="I61" s="3">
        <v>30</v>
      </c>
      <c r="J61" s="3"/>
      <c r="K61" s="3"/>
      <c r="L61" s="3"/>
      <c r="M61" s="3"/>
      <c r="N61" s="3">
        <v>176</v>
      </c>
      <c r="O61" s="3">
        <v>176</v>
      </c>
      <c r="P61" s="10"/>
      <c r="Q61" s="3">
        <f>SUM(OSRRefD21_7_0x)+IFERROR(SUM(OSRRefE21_7_0x),0)</f>
        <v>382</v>
      </c>
    </row>
    <row r="62" spans="1:17" s="42" customFormat="1" ht="15" customHeight="1" collapsed="1" x14ac:dyDescent="0.3">
      <c r="A62" s="34"/>
      <c r="B62" s="15" t="str">
        <f>CONCATENATE("     ","General                                           ")</f>
        <v xml:space="preserve">     General                                           </v>
      </c>
      <c r="C62" s="15"/>
      <c r="D62" s="2">
        <f>SUM(OSRRefD21_8x_0)</f>
        <v>0</v>
      </c>
      <c r="E62" s="2">
        <f>SUM(OSRRefD21_8x_1)</f>
        <v>1612</v>
      </c>
      <c r="F62" s="2">
        <f>SUM(OSRRefD21_8x_2)</f>
        <v>0</v>
      </c>
      <c r="G62" s="2">
        <f>SUM(OSRRefD21_8x_3)</f>
        <v>0</v>
      </c>
      <c r="H62" s="2">
        <f>SUM(OSRRefD21_8x_4)</f>
        <v>547.19000000000005</v>
      </c>
      <c r="I62" s="2">
        <f>SUM(OSRRefD21_8x_5)</f>
        <v>432.19</v>
      </c>
      <c r="J62" s="2">
        <f>SUM(OSRRefD21_8x_6)</f>
        <v>758.88</v>
      </c>
      <c r="K62" s="2">
        <f>SUM(OSRRefD21_8x_7)</f>
        <v>411.65</v>
      </c>
      <c r="L62" s="2">
        <f>SUM(OSRRefD21_8x_8)</f>
        <v>0</v>
      </c>
      <c r="M62" s="2">
        <f>SUM(OSRRefD21_8x_9)</f>
        <v>0</v>
      </c>
      <c r="N62" s="2">
        <f>SUM(OSRRefE21_8x_0)</f>
        <v>0</v>
      </c>
      <c r="O62" s="2">
        <f>SUM(OSRRefE21_8x_1)</f>
        <v>0</v>
      </c>
      <c r="Q62" s="3">
        <f>SUM(OSRRefD20_8x)+IFERROR(SUM(OSRRefE20_8x),0)</f>
        <v>3761.9100000000003</v>
      </c>
    </row>
    <row r="63" spans="1:17" s="42" customFormat="1" ht="15" hidden="1" customHeight="1" outlineLevel="1" x14ac:dyDescent="0.3">
      <c r="A63" s="34"/>
      <c r="B63" s="11" t="str">
        <f>CONCATENATE("          ","6279"," - ","GENERAL EXPENSE")</f>
        <v xml:space="preserve">          6279 - GENERAL EXPENSE</v>
      </c>
      <c r="C63" s="15"/>
      <c r="D63" s="3"/>
      <c r="E63" s="3">
        <v>1612</v>
      </c>
      <c r="F63" s="3"/>
      <c r="G63" s="3"/>
      <c r="H63" s="3">
        <v>547.19000000000005</v>
      </c>
      <c r="I63" s="3">
        <v>432.19</v>
      </c>
      <c r="J63" s="3">
        <v>758.88</v>
      </c>
      <c r="K63" s="3">
        <v>411.65</v>
      </c>
      <c r="L63" s="3"/>
      <c r="M63" s="3"/>
      <c r="N63" s="3"/>
      <c r="O63" s="3"/>
      <c r="P63" s="10"/>
      <c r="Q63" s="3">
        <f>SUM(OSRRefD21_8_0x)+IFERROR(SUM(OSRRefE21_8_0x),0)</f>
        <v>3761.9100000000003</v>
      </c>
    </row>
    <row r="64" spans="1:17" s="42" customFormat="1" ht="15" customHeight="1" collapsed="1" x14ac:dyDescent="0.3">
      <c r="A64" s="34"/>
      <c r="B64" s="15" t="str">
        <f>CONCATENATE("     ","Insurance                                         ")</f>
        <v xml:space="preserve">     Insurance                                         </v>
      </c>
      <c r="C64" s="15"/>
      <c r="D64" s="2">
        <f>SUM(OSRRefD21_9x_0)</f>
        <v>331.01</v>
      </c>
      <c r="E64" s="2">
        <f>SUM(OSRRefD21_9x_1)</f>
        <v>331.01</v>
      </c>
      <c r="F64" s="2">
        <f>SUM(OSRRefD21_9x_2)</f>
        <v>331.01</v>
      </c>
      <c r="G64" s="2">
        <f>SUM(OSRRefD21_9x_3)</f>
        <v>331.01</v>
      </c>
      <c r="H64" s="2">
        <f>SUM(OSRRefD21_9x_4)</f>
        <v>331.01</v>
      </c>
      <c r="I64" s="2">
        <f>SUM(OSRRefD21_9x_5)</f>
        <v>331.01</v>
      </c>
      <c r="J64" s="2">
        <f>SUM(OSRRefD21_9x_6)</f>
        <v>331.01</v>
      </c>
      <c r="K64" s="2">
        <f>SUM(OSRRefD21_9x_7)</f>
        <v>331.01</v>
      </c>
      <c r="L64" s="2">
        <f>SUM(OSRRefD21_9x_8)</f>
        <v>331.01</v>
      </c>
      <c r="M64" s="2">
        <f>SUM(OSRRefD21_9x_9)</f>
        <v>331.01</v>
      </c>
      <c r="N64" s="2">
        <f>SUM(OSRRefE21_9x_0)</f>
        <v>330</v>
      </c>
      <c r="O64" s="2">
        <f>SUM(OSRRefE21_9x_1)</f>
        <v>330</v>
      </c>
      <c r="Q64" s="3">
        <f>SUM(OSRRefD20_9x)+IFERROR(SUM(OSRRefE20_9x),0)</f>
        <v>3970.1000000000004</v>
      </c>
    </row>
    <row r="65" spans="1:17" s="42" customFormat="1" ht="15" hidden="1" customHeight="1" outlineLevel="1" x14ac:dyDescent="0.3">
      <c r="A65" s="34"/>
      <c r="B65" s="11" t="str">
        <f>CONCATENATE("          ","6314"," - ","LIABILITY INSURANCE")</f>
        <v xml:space="preserve">          6314 - LIABILITY INSURANCE</v>
      </c>
      <c r="C65" s="15"/>
      <c r="D65" s="3">
        <v>331.01</v>
      </c>
      <c r="E65" s="3">
        <v>331.01</v>
      </c>
      <c r="F65" s="3">
        <v>331.01</v>
      </c>
      <c r="G65" s="3">
        <v>331.01</v>
      </c>
      <c r="H65" s="3">
        <v>331.01</v>
      </c>
      <c r="I65" s="3">
        <v>331.01</v>
      </c>
      <c r="J65" s="3">
        <v>331.01</v>
      </c>
      <c r="K65" s="3">
        <v>331.01</v>
      </c>
      <c r="L65" s="3">
        <v>331.01</v>
      </c>
      <c r="M65" s="3">
        <v>331.01</v>
      </c>
      <c r="N65" s="3">
        <v>330</v>
      </c>
      <c r="O65" s="3">
        <v>330</v>
      </c>
      <c r="P65" s="10"/>
      <c r="Q65" s="3">
        <f>SUM(OSRRefD21_9_0x)+IFERROR(SUM(OSRRefE21_9_0x),0)</f>
        <v>3970.1000000000004</v>
      </c>
    </row>
    <row r="66" spans="1:17" s="42" customFormat="1" ht="15" customHeight="1" collapsed="1" x14ac:dyDescent="0.3">
      <c r="A66" s="34"/>
      <c r="B66" s="15" t="str">
        <f>CONCATENATE("     ","Interest                                          ")</f>
        <v xml:space="preserve">     Interest                                          </v>
      </c>
      <c r="C66" s="15"/>
      <c r="D66" s="2">
        <f>SUM(OSRRefD21_10x_0)</f>
        <v>3905</v>
      </c>
      <c r="E66" s="2">
        <f>SUM(OSRRefD21_10x_1)</f>
        <v>3905</v>
      </c>
      <c r="F66" s="2">
        <f>SUM(OSRRefD21_10x_2)</f>
        <v>3905</v>
      </c>
      <c r="G66" s="2">
        <f>SUM(OSRRefD21_10x_3)</f>
        <v>3629</v>
      </c>
      <c r="H66" s="2">
        <f>SUM(OSRRefD21_10x_4)</f>
        <v>3905</v>
      </c>
      <c r="I66" s="2">
        <f>SUM(OSRRefD21_10x_5)</f>
        <v>3905</v>
      </c>
      <c r="J66" s="2">
        <f>SUM(OSRRefD21_10x_6)</f>
        <v>3905</v>
      </c>
      <c r="K66" s="2">
        <f>SUM(OSRRefD21_10x_7)</f>
        <v>3905</v>
      </c>
      <c r="L66" s="2">
        <f>SUM(OSRRefD21_10x_8)</f>
        <v>3905</v>
      </c>
      <c r="M66" s="2">
        <f>SUM(OSRRefD21_10x_9)</f>
        <v>3031</v>
      </c>
      <c r="N66" s="2">
        <f>SUM(OSRRefE21_10x_0)</f>
        <v>3760</v>
      </c>
      <c r="O66" s="2">
        <f>SUM(OSRRefE21_10x_1)</f>
        <v>3760</v>
      </c>
      <c r="Q66" s="3">
        <f>SUM(OSRRefD20_10x)+IFERROR(SUM(OSRRefE20_10x),0)</f>
        <v>45420</v>
      </c>
    </row>
    <row r="67" spans="1:17" s="42" customFormat="1" ht="15" hidden="1" customHeight="1" outlineLevel="1" x14ac:dyDescent="0.3">
      <c r="A67" s="34"/>
      <c r="B67" s="11" t="str">
        <f>CONCATENATE("          ","6401"," - ","INTEREST EXPENSE")</f>
        <v xml:space="preserve">          6401 - INTEREST EXPENSE</v>
      </c>
      <c r="C67" s="15"/>
      <c r="D67" s="3">
        <v>3905</v>
      </c>
      <c r="E67" s="3">
        <v>3905</v>
      </c>
      <c r="F67" s="3">
        <v>3905</v>
      </c>
      <c r="G67" s="3">
        <v>3629</v>
      </c>
      <c r="H67" s="3">
        <v>3905</v>
      </c>
      <c r="I67" s="3">
        <v>3905</v>
      </c>
      <c r="J67" s="3">
        <v>3905</v>
      </c>
      <c r="K67" s="3">
        <v>3905</v>
      </c>
      <c r="L67" s="3">
        <v>3905</v>
      </c>
      <c r="M67" s="3">
        <v>3031</v>
      </c>
      <c r="N67" s="3">
        <v>3760</v>
      </c>
      <c r="O67" s="3">
        <v>3760</v>
      </c>
      <c r="P67" s="10"/>
      <c r="Q67" s="3">
        <f>SUM(OSRRefD21_10_0x)+IFERROR(SUM(OSRRefE21_10_0x),0)</f>
        <v>45420</v>
      </c>
    </row>
    <row r="68" spans="1:17" s="42" customFormat="1" ht="15" customHeight="1" collapsed="1" x14ac:dyDescent="0.3">
      <c r="A68" s="34"/>
      <c r="B68" s="15" t="str">
        <f>CONCATENATE("     ","Repair and Maintenance                            ")</f>
        <v xml:space="preserve">     Repair and Maintenance                            </v>
      </c>
      <c r="C68" s="15"/>
      <c r="D68" s="2">
        <f>SUM(OSRRefD21_11x_0)</f>
        <v>0</v>
      </c>
      <c r="E68" s="2">
        <f>SUM(OSRRefD21_11x_1)</f>
        <v>1922.99</v>
      </c>
      <c r="F68" s="2">
        <f>SUM(OSRRefD21_11x_2)</f>
        <v>275.44</v>
      </c>
      <c r="G68" s="2">
        <f>SUM(OSRRefD21_11x_3)</f>
        <v>166.39999999999998</v>
      </c>
      <c r="H68" s="2">
        <f>SUM(OSRRefD21_11x_4)</f>
        <v>0</v>
      </c>
      <c r="I68" s="2">
        <f>SUM(OSRRefD21_11x_5)</f>
        <v>613.41999999999996</v>
      </c>
      <c r="J68" s="2">
        <f>SUM(OSRRefD21_11x_6)</f>
        <v>324.95</v>
      </c>
      <c r="K68" s="2">
        <f>SUM(OSRRefD21_11x_7)</f>
        <v>2739.51</v>
      </c>
      <c r="L68" s="2">
        <f>SUM(OSRRefD21_11x_8)</f>
        <v>607.80999999999995</v>
      </c>
      <c r="M68" s="2">
        <f>SUM(OSRRefD21_11x_9)</f>
        <v>7.87</v>
      </c>
      <c r="N68" s="2">
        <f>SUM(OSRRefE21_11x_0)</f>
        <v>215</v>
      </c>
      <c r="O68" s="2">
        <f>SUM(OSRRefE21_11x_1)</f>
        <v>215</v>
      </c>
      <c r="Q68" s="3">
        <f>SUM(OSRRefD20_11x)+IFERROR(SUM(OSRRefE20_11x),0)</f>
        <v>7088.39</v>
      </c>
    </row>
    <row r="69" spans="1:17" s="42" customFormat="1" ht="15" hidden="1" customHeight="1" outlineLevel="1" x14ac:dyDescent="0.3">
      <c r="A69" s="34"/>
      <c r="B69" s="11" t="str">
        <f>CONCATENATE("          ","6373"," - ","MAINTENANCE CONTRACTS")</f>
        <v xml:space="preserve">          6373 - MAINTENANCE CONTRACTS</v>
      </c>
      <c r="C69" s="15"/>
      <c r="D69" s="3"/>
      <c r="E69" s="3"/>
      <c r="F69" s="3">
        <v>275.44</v>
      </c>
      <c r="G69" s="3">
        <v>-71.86</v>
      </c>
      <c r="H69" s="3"/>
      <c r="I69" s="3">
        <v>613.41999999999996</v>
      </c>
      <c r="J69" s="3"/>
      <c r="K69" s="3"/>
      <c r="L69" s="3">
        <v>212.2</v>
      </c>
      <c r="M69" s="3"/>
      <c r="N69" s="3"/>
      <c r="O69" s="3"/>
      <c r="P69" s="10"/>
      <c r="Q69" s="3">
        <f>SUM(OSRRefD21_11_0x)+IFERROR(SUM(OSRRefE21_11_0x),0)</f>
        <v>1029.2</v>
      </c>
    </row>
    <row r="70" spans="1:17" s="42" customFormat="1" ht="15" hidden="1" customHeight="1" outlineLevel="1" x14ac:dyDescent="0.3">
      <c r="A70" s="34"/>
      <c r="B70" s="11" t="str">
        <f>CONCATENATE("          ","6375"," - ","OUTSIDE REPAIRS &amp; MAINTENANCE")</f>
        <v xml:space="preserve">          6375 - OUTSIDE REPAIRS &amp; MAINTENANCE</v>
      </c>
      <c r="C70" s="15"/>
      <c r="D70" s="3"/>
      <c r="E70" s="3">
        <v>1922.99</v>
      </c>
      <c r="F70" s="3"/>
      <c r="G70" s="3">
        <v>238.26</v>
      </c>
      <c r="H70" s="3"/>
      <c r="I70" s="3"/>
      <c r="J70" s="3">
        <v>324.95</v>
      </c>
      <c r="K70" s="3">
        <v>2739.51</v>
      </c>
      <c r="L70" s="3">
        <v>395.61</v>
      </c>
      <c r="M70" s="3">
        <v>7.87</v>
      </c>
      <c r="N70" s="3">
        <v>215</v>
      </c>
      <c r="O70" s="3">
        <v>215</v>
      </c>
      <c r="P70" s="10"/>
      <c r="Q70" s="3">
        <f>SUM(OSRRefD21_11_1x)+IFERROR(SUM(OSRRefE21_11_1x),0)</f>
        <v>6059.19</v>
      </c>
    </row>
    <row r="71" spans="1:17" s="42" customFormat="1" ht="15" customHeight="1" collapsed="1" x14ac:dyDescent="0.3">
      <c r="A71" s="34"/>
      <c r="B71" s="15" t="str">
        <f>CONCATENATE("     ","Royalty &amp; Commissions                             ")</f>
        <v xml:space="preserve">     Royalty &amp; Commissions                             </v>
      </c>
      <c r="C71" s="15"/>
      <c r="D71" s="2">
        <f>SUM(OSRRefD21_12x_0)</f>
        <v>0</v>
      </c>
      <c r="E71" s="2">
        <f>SUM(OSRRefD21_12x_1)</f>
        <v>0</v>
      </c>
      <c r="F71" s="2">
        <f>SUM(OSRRefD21_12x_2)</f>
        <v>0</v>
      </c>
      <c r="G71" s="2">
        <f>SUM(OSRRefD21_12x_3)</f>
        <v>0</v>
      </c>
      <c r="H71" s="2">
        <f>SUM(OSRRefD21_12x_4)</f>
        <v>0</v>
      </c>
      <c r="I71" s="2">
        <f>SUM(OSRRefD21_12x_5)</f>
        <v>0</v>
      </c>
      <c r="J71" s="2">
        <f>SUM(OSRRefD21_12x_6)</f>
        <v>0</v>
      </c>
      <c r="K71" s="2">
        <f>SUM(OSRRefD21_12x_7)</f>
        <v>0</v>
      </c>
      <c r="L71" s="2">
        <f>SUM(OSRRefD21_12x_8)</f>
        <v>0</v>
      </c>
      <c r="M71" s="2">
        <f>SUM(OSRRefD21_12x_9)</f>
        <v>4367.51</v>
      </c>
      <c r="N71" s="2">
        <f>SUM(OSRRefE21_12x_0)</f>
        <v>1239</v>
      </c>
      <c r="O71" s="2">
        <f>SUM(OSRRefE21_12x_1)</f>
        <v>336</v>
      </c>
      <c r="Q71" s="3">
        <f>SUM(OSRRefD20_12x)+IFERROR(SUM(OSRRefE20_12x),0)</f>
        <v>5942.51</v>
      </c>
    </row>
    <row r="72" spans="1:17" s="42" customFormat="1" ht="15" hidden="1" customHeight="1" outlineLevel="1" x14ac:dyDescent="0.3">
      <c r="A72" s="34"/>
      <c r="B72" s="11" t="str">
        <f>CONCATENATE("          ","6254"," - ","ROYALTY &amp; COMMISSIONS")</f>
        <v xml:space="preserve">          6254 - ROYALTY &amp; COMMISSIONS</v>
      </c>
      <c r="C72" s="15"/>
      <c r="D72" s="3"/>
      <c r="E72" s="3"/>
      <c r="F72" s="3"/>
      <c r="G72" s="3"/>
      <c r="H72" s="3"/>
      <c r="I72" s="3"/>
      <c r="J72" s="3"/>
      <c r="K72" s="3"/>
      <c r="L72" s="3"/>
      <c r="M72" s="3">
        <v>4367.51</v>
      </c>
      <c r="N72" s="3"/>
      <c r="O72" s="3"/>
      <c r="P72" s="10"/>
      <c r="Q72" s="3">
        <f>SUM(OSRRefD21_12_0x)+IFERROR(SUM(OSRRefE21_12_0x),0)</f>
        <v>4367.51</v>
      </c>
    </row>
    <row r="73" spans="1:17" s="42" customFormat="1" ht="15" hidden="1" customHeight="1" outlineLevel="1" x14ac:dyDescent="0.3">
      <c r="A73" s="34"/>
      <c r="B73" s="11" t="str">
        <f>CONCATENATE("          ","6259"," - ","ROYALTY &amp; COMMISSIONS")</f>
        <v xml:space="preserve">          6259 - ROYALTY &amp; COMMISSIONS</v>
      </c>
      <c r="C73" s="15"/>
      <c r="D73" s="3"/>
      <c r="E73" s="3"/>
      <c r="F73" s="3"/>
      <c r="G73" s="3"/>
      <c r="H73" s="3"/>
      <c r="I73" s="3"/>
      <c r="J73" s="3"/>
      <c r="K73" s="3"/>
      <c r="L73" s="3"/>
      <c r="M73" s="3"/>
      <c r="N73" s="3">
        <v>1239</v>
      </c>
      <c r="O73" s="3">
        <v>336</v>
      </c>
      <c r="P73" s="10"/>
      <c r="Q73" s="3">
        <f>SUM(OSRRefD21_12_1x)+IFERROR(SUM(OSRRefE21_12_1x),0)</f>
        <v>1575</v>
      </c>
    </row>
    <row r="74" spans="1:17" s="42" customFormat="1" ht="15" customHeight="1" collapsed="1" x14ac:dyDescent="0.3">
      <c r="A74" s="34"/>
      <c r="B74" s="15" t="str">
        <f>CONCATENATE("     ","Services                                          ")</f>
        <v xml:space="preserve">     Services                                          </v>
      </c>
      <c r="C74" s="15"/>
      <c r="D74" s="2">
        <f>SUM(OSRRefD21_13x_0)</f>
        <v>151.85</v>
      </c>
      <c r="E74" s="2">
        <f>SUM(OSRRefD21_13x_1)</f>
        <v>7775.8899999999994</v>
      </c>
      <c r="F74" s="2">
        <f>SUM(OSRRefD21_13x_2)</f>
        <v>424.13</v>
      </c>
      <c r="G74" s="2">
        <f>SUM(OSRRefD21_13x_3)</f>
        <v>592.53</v>
      </c>
      <c r="H74" s="2">
        <f>SUM(OSRRefD21_13x_4)</f>
        <v>424.13</v>
      </c>
      <c r="I74" s="2">
        <f>SUM(OSRRefD21_13x_5)</f>
        <v>434.40999999999997</v>
      </c>
      <c r="J74" s="2">
        <f>SUM(OSRRefD21_13x_6)</f>
        <v>266.01</v>
      </c>
      <c r="K74" s="2">
        <f>SUM(OSRRefD21_13x_7)</f>
        <v>603.45000000000005</v>
      </c>
      <c r="L74" s="2">
        <f>SUM(OSRRefD21_13x_8)</f>
        <v>830.62</v>
      </c>
      <c r="M74" s="2">
        <f>SUM(OSRRefD21_13x_9)</f>
        <v>913.78</v>
      </c>
      <c r="N74" s="2">
        <f>SUM(OSRRefE21_13x_0)</f>
        <v>292</v>
      </c>
      <c r="O74" s="2">
        <f>SUM(OSRRefE21_13x_1)</f>
        <v>292</v>
      </c>
      <c r="Q74" s="3">
        <f>SUM(OSRRefD20_13x)+IFERROR(SUM(OSRRefE20_13x),0)</f>
        <v>13000.800000000001</v>
      </c>
    </row>
    <row r="75" spans="1:17" s="42" customFormat="1" ht="15" hidden="1" customHeight="1" outlineLevel="1" x14ac:dyDescent="0.3">
      <c r="A75" s="34"/>
      <c r="B75" s="11" t="str">
        <f>CONCATENATE("          ","6282"," - ","JANITORIAL/EXTERMINATOR EXPENS")</f>
        <v xml:space="preserve">          6282 - JANITORIAL/EXTERMINATOR EXPENS</v>
      </c>
      <c r="C75" s="15"/>
      <c r="D75" s="3">
        <v>151.85</v>
      </c>
      <c r="E75" s="3">
        <v>320.25</v>
      </c>
      <c r="F75" s="3">
        <v>320.25</v>
      </c>
      <c r="G75" s="3">
        <v>488.65</v>
      </c>
      <c r="H75" s="3">
        <v>320.25</v>
      </c>
      <c r="I75" s="3">
        <v>320.25</v>
      </c>
      <c r="J75" s="3">
        <v>151.85</v>
      </c>
      <c r="K75" s="3">
        <v>320.25</v>
      </c>
      <c r="L75" s="3">
        <v>578.25</v>
      </c>
      <c r="M75" s="3">
        <v>651.35</v>
      </c>
      <c r="N75" s="3">
        <v>258</v>
      </c>
      <c r="O75" s="3">
        <v>258</v>
      </c>
      <c r="P75" s="10"/>
      <c r="Q75" s="3">
        <f>SUM(OSRRefD21_13_0x)+IFERROR(SUM(OSRRefE21_13_0x),0)</f>
        <v>4139.2</v>
      </c>
    </row>
    <row r="76" spans="1:17" s="42" customFormat="1" ht="15" hidden="1" customHeight="1" outlineLevel="1" x14ac:dyDescent="0.3">
      <c r="A76" s="34"/>
      <c r="B76" s="11" t="str">
        <f>CONCATENATE("          ","6285"," - ","JANITORIAL SERVICES")</f>
        <v xml:space="preserve">          6285 - JANITORIAL SERVICES</v>
      </c>
      <c r="C76" s="15"/>
      <c r="D76" s="3"/>
      <c r="E76" s="3">
        <v>7403.7</v>
      </c>
      <c r="F76" s="3">
        <v>51.94</v>
      </c>
      <c r="G76" s="3"/>
      <c r="H76" s="3"/>
      <c r="I76" s="3"/>
      <c r="J76" s="3"/>
      <c r="K76" s="3">
        <v>226.12</v>
      </c>
      <c r="L76" s="3">
        <v>57.08</v>
      </c>
      <c r="M76" s="3"/>
      <c r="N76" s="3"/>
      <c r="O76" s="3"/>
      <c r="P76" s="10"/>
      <c r="Q76" s="3">
        <f>SUM(OSRRefD21_13_1x)+IFERROR(SUM(OSRRefE21_13_1x),0)</f>
        <v>7738.8399999999992</v>
      </c>
    </row>
    <row r="77" spans="1:17" s="42" customFormat="1" ht="15" hidden="1" customHeight="1" outlineLevel="1" x14ac:dyDescent="0.3">
      <c r="A77" s="34"/>
      <c r="B77" s="11" t="str">
        <f>CONCATENATE("          ","6286"," - ","LAUNDRY EXPENSE")</f>
        <v xml:space="preserve">          6286 - LAUNDRY EXPENSE</v>
      </c>
      <c r="C77" s="15"/>
      <c r="D77" s="3"/>
      <c r="E77" s="3">
        <v>51.94</v>
      </c>
      <c r="F77" s="3">
        <v>51.94</v>
      </c>
      <c r="G77" s="3">
        <v>103.88</v>
      </c>
      <c r="H77" s="3">
        <v>103.88</v>
      </c>
      <c r="I77" s="3">
        <v>114.16</v>
      </c>
      <c r="J77" s="3">
        <v>114.16</v>
      </c>
      <c r="K77" s="3">
        <v>57.08</v>
      </c>
      <c r="L77" s="3">
        <v>195.29</v>
      </c>
      <c r="M77" s="3">
        <v>262.43</v>
      </c>
      <c r="N77" s="3">
        <v>34</v>
      </c>
      <c r="O77" s="3">
        <v>34</v>
      </c>
      <c r="P77" s="10"/>
      <c r="Q77" s="3">
        <f>SUM(OSRRefD21_13_2x)+IFERROR(SUM(OSRRefE21_13_2x),0)</f>
        <v>1122.76</v>
      </c>
    </row>
    <row r="78" spans="1:17" s="42" customFormat="1" ht="15" customHeight="1" collapsed="1" x14ac:dyDescent="0.3">
      <c r="A78" s="34"/>
      <c r="B78" s="15" t="str">
        <f>CONCATENATE("     ","Supplies                                          ")</f>
        <v xml:space="preserve">     Supplies                                          </v>
      </c>
      <c r="C78" s="15"/>
      <c r="D78" s="2">
        <f>SUM(OSRRefD21_14x_0)</f>
        <v>112.24</v>
      </c>
      <c r="E78" s="2">
        <f>SUM(OSRRefD21_14x_1)</f>
        <v>730.46</v>
      </c>
      <c r="F78" s="2">
        <f>SUM(OSRRefD21_14x_2)</f>
        <v>177.2</v>
      </c>
      <c r="G78" s="2">
        <f>SUM(OSRRefD21_14x_3)</f>
        <v>1443.7600000000002</v>
      </c>
      <c r="H78" s="2">
        <f>SUM(OSRRefD21_14x_4)</f>
        <v>121.04</v>
      </c>
      <c r="I78" s="2">
        <f>SUM(OSRRefD21_14x_5)</f>
        <v>179.59</v>
      </c>
      <c r="J78" s="2">
        <f>SUM(OSRRefD21_14x_6)</f>
        <v>322.48</v>
      </c>
      <c r="K78" s="2">
        <f>SUM(OSRRefD21_14x_7)</f>
        <v>883.59</v>
      </c>
      <c r="L78" s="2">
        <f>SUM(OSRRefD21_14x_8)</f>
        <v>2262.46</v>
      </c>
      <c r="M78" s="2">
        <f>SUM(OSRRefD21_14x_9)</f>
        <v>-579.87</v>
      </c>
      <c r="N78" s="2">
        <f>SUM(OSRRefE21_14x_0)</f>
        <v>1700</v>
      </c>
      <c r="O78" s="2">
        <f>SUM(OSRRefE21_14x_1)</f>
        <v>500</v>
      </c>
      <c r="Q78" s="3">
        <f>SUM(OSRRefD20_14x)+IFERROR(SUM(OSRRefE20_14x),0)</f>
        <v>7852.9500000000007</v>
      </c>
    </row>
    <row r="79" spans="1:17" s="42" customFormat="1" ht="15" hidden="1" customHeight="1" outlineLevel="1" x14ac:dyDescent="0.3">
      <c r="A79" s="34"/>
      <c r="B79" s="11" t="str">
        <f>CONCATENATE("          ","6234"," - ","EXPENDABLE SUPPLIES &amp; EQUIPMEN")</f>
        <v xml:space="preserve">          6234 - EXPENDABLE SUPPLIES &amp; EQUIPMEN</v>
      </c>
      <c r="C79" s="15"/>
      <c r="D79" s="3"/>
      <c r="E79" s="3"/>
      <c r="F79" s="3"/>
      <c r="G79" s="3">
        <v>1194.8900000000001</v>
      </c>
      <c r="H79" s="3"/>
      <c r="I79" s="3"/>
      <c r="J79" s="3"/>
      <c r="K79" s="3"/>
      <c r="L79" s="3"/>
      <c r="M79" s="3"/>
      <c r="N79" s="3">
        <v>50</v>
      </c>
      <c r="O79" s="3">
        <v>50</v>
      </c>
      <c r="P79" s="10"/>
      <c r="Q79" s="3">
        <f>SUM(OSRRefD21_14_0x)+IFERROR(SUM(OSRRefE21_14_0x),0)</f>
        <v>1294.8900000000001</v>
      </c>
    </row>
    <row r="80" spans="1:17" s="42" customFormat="1" ht="15" hidden="1" customHeight="1" outlineLevel="1" x14ac:dyDescent="0.3">
      <c r="A80" s="34"/>
      <c r="B80" s="11" t="str">
        <f>CONCATENATE("          ","6235"," - ","COVID-19 EXPENSES")</f>
        <v xml:space="preserve">          6235 - COVID-19 EXPENSES</v>
      </c>
      <c r="C80" s="15"/>
      <c r="D80" s="3"/>
      <c r="E80" s="3"/>
      <c r="F80" s="3"/>
      <c r="G80" s="3"/>
      <c r="H80" s="3"/>
      <c r="I80" s="3"/>
      <c r="J80" s="3"/>
      <c r="K80" s="3"/>
      <c r="L80" s="3">
        <v>71.45</v>
      </c>
      <c r="M80" s="3"/>
      <c r="N80" s="3"/>
      <c r="O80" s="3"/>
      <c r="P80" s="10"/>
      <c r="Q80" s="3">
        <f>SUM(OSRRefD21_14_1x)+IFERROR(SUM(OSRRefE21_14_1x),0)</f>
        <v>71.45</v>
      </c>
    </row>
    <row r="81" spans="1:17" s="42" customFormat="1" ht="15" hidden="1" customHeight="1" outlineLevel="1" x14ac:dyDescent="0.3">
      <c r="A81" s="34"/>
      <c r="B81" s="11" t="str">
        <f>CONCATENATE("          ","6237"," - ","JANITORIAL SUPPLIES")</f>
        <v xml:space="preserve">          6237 - JANITORIAL SUPPLIES</v>
      </c>
      <c r="C81" s="15"/>
      <c r="D81" s="3"/>
      <c r="E81" s="3">
        <v>407.96</v>
      </c>
      <c r="F81" s="3">
        <v>119.22</v>
      </c>
      <c r="G81" s="3"/>
      <c r="H81" s="3"/>
      <c r="I81" s="3">
        <v>76.540000000000006</v>
      </c>
      <c r="J81" s="3">
        <v>51.51</v>
      </c>
      <c r="K81" s="3">
        <v>31.68</v>
      </c>
      <c r="L81" s="3">
        <v>201.78</v>
      </c>
      <c r="M81" s="3">
        <v>50.12</v>
      </c>
      <c r="N81" s="3">
        <v>0</v>
      </c>
      <c r="O81" s="3">
        <v>0</v>
      </c>
      <c r="P81" s="10"/>
      <c r="Q81" s="3">
        <f>SUM(OSRRefD21_14_2x)+IFERROR(SUM(OSRRefE21_14_2x),0)</f>
        <v>938.80999999999983</v>
      </c>
    </row>
    <row r="82" spans="1:17" s="42" customFormat="1" ht="15" hidden="1" customHeight="1" outlineLevel="1" x14ac:dyDescent="0.3">
      <c r="A82" s="34"/>
      <c r="B82" s="11" t="str">
        <f>CONCATENATE("          ","6241"," - ","OFFICE EXPENSE")</f>
        <v xml:space="preserve">          6241 - OFFICE EXPENSE</v>
      </c>
      <c r="C82" s="15"/>
      <c r="D82" s="3">
        <v>112.24</v>
      </c>
      <c r="E82" s="3">
        <v>22.5</v>
      </c>
      <c r="F82" s="3"/>
      <c r="G82" s="3">
        <v>42.74</v>
      </c>
      <c r="H82" s="3"/>
      <c r="I82" s="3">
        <v>36.71</v>
      </c>
      <c r="J82" s="3">
        <v>136.59</v>
      </c>
      <c r="K82" s="3">
        <v>108.15</v>
      </c>
      <c r="L82" s="3">
        <v>17.63</v>
      </c>
      <c r="M82" s="3"/>
      <c r="N82" s="3"/>
      <c r="O82" s="3"/>
      <c r="P82" s="10"/>
      <c r="Q82" s="3">
        <f>SUM(OSRRefD21_14_3x)+IFERROR(SUM(OSRRefE21_14_3x),0)</f>
        <v>476.56000000000006</v>
      </c>
    </row>
    <row r="83" spans="1:17" s="42" customFormat="1" ht="15" hidden="1" customHeight="1" outlineLevel="1" x14ac:dyDescent="0.3">
      <c r="A83" s="34"/>
      <c r="B83" s="11" t="str">
        <f>CONCATENATE("          ","6243"," - ","PAPER SUPPLIES")</f>
        <v xml:space="preserve">          6243 - PAPER SUPPLIES</v>
      </c>
      <c r="C83" s="15"/>
      <c r="D83" s="3"/>
      <c r="E83" s="3"/>
      <c r="F83" s="3"/>
      <c r="G83" s="3"/>
      <c r="H83" s="3"/>
      <c r="I83" s="3"/>
      <c r="J83" s="3">
        <v>44.38</v>
      </c>
      <c r="K83" s="3"/>
      <c r="L83" s="3"/>
      <c r="M83" s="3"/>
      <c r="N83" s="3">
        <v>200</v>
      </c>
      <c r="O83" s="3">
        <v>200</v>
      </c>
      <c r="P83" s="10"/>
      <c r="Q83" s="3">
        <f>SUM(OSRRefD21_14_4x)+IFERROR(SUM(OSRRefE21_14_4x),0)</f>
        <v>444.38</v>
      </c>
    </row>
    <row r="84" spans="1:17" s="42" customFormat="1" ht="15" hidden="1" customHeight="1" outlineLevel="1" x14ac:dyDescent="0.3">
      <c r="A84" s="34"/>
      <c r="B84" s="11" t="str">
        <f>CONCATENATE("          ","6247"," - ","STORE SUPPLIES")</f>
        <v xml:space="preserve">          6247 - STORE SUPPLIES</v>
      </c>
      <c r="C84" s="15"/>
      <c r="D84" s="3"/>
      <c r="E84" s="3">
        <v>300</v>
      </c>
      <c r="F84" s="3">
        <v>57.98</v>
      </c>
      <c r="G84" s="3">
        <v>206.13</v>
      </c>
      <c r="H84" s="3">
        <v>121.04</v>
      </c>
      <c r="I84" s="3">
        <v>66.34</v>
      </c>
      <c r="J84" s="3">
        <v>90</v>
      </c>
      <c r="K84" s="3">
        <v>743.76</v>
      </c>
      <c r="L84" s="3">
        <v>1971.6</v>
      </c>
      <c r="M84" s="3">
        <v>-629.99</v>
      </c>
      <c r="N84" s="3">
        <v>1450</v>
      </c>
      <c r="O84" s="3">
        <v>250</v>
      </c>
      <c r="P84" s="10"/>
      <c r="Q84" s="3">
        <f>SUM(OSRRefD21_14_5x)+IFERROR(SUM(OSRRefE21_14_5x),0)</f>
        <v>4626.8599999999997</v>
      </c>
    </row>
    <row r="85" spans="1:17" s="42" customFormat="1" ht="15" customHeight="1" collapsed="1" x14ac:dyDescent="0.3">
      <c r="A85" s="34"/>
      <c r="B85" s="15" t="str">
        <f>CONCATENATE("     ","Telephone/Data Lines                              ")</f>
        <v xml:space="preserve">     Telephone/Data Lines                              </v>
      </c>
      <c r="C85" s="15"/>
      <c r="D85" s="2">
        <f>SUM(OSRRefD21_15x_0)</f>
        <v>118.8</v>
      </c>
      <c r="E85" s="2">
        <f>SUM(OSRRefD21_15x_1)</f>
        <v>151.19999999999999</v>
      </c>
      <c r="F85" s="2">
        <f>SUM(OSRRefD21_15x_2)</f>
        <v>375.5</v>
      </c>
      <c r="G85" s="2">
        <f>SUM(OSRRefD21_15x_3)</f>
        <v>-146.5</v>
      </c>
      <c r="H85" s="2">
        <f>SUM(OSRRefD21_15x_4)</f>
        <v>52</v>
      </c>
      <c r="I85" s="2">
        <f>SUM(OSRRefD21_15x_5)</f>
        <v>603.5</v>
      </c>
      <c r="J85" s="2">
        <f>SUM(OSRRefD21_15x_6)</f>
        <v>-343.5</v>
      </c>
      <c r="K85" s="2">
        <f>SUM(OSRRefD21_15x_7)</f>
        <v>178.5</v>
      </c>
      <c r="L85" s="2">
        <f>SUM(OSRRefD21_15x_8)</f>
        <v>253.5</v>
      </c>
      <c r="M85" s="2">
        <f>SUM(OSRRefD21_15x_9)</f>
        <v>403.5</v>
      </c>
      <c r="N85" s="2">
        <f>SUM(OSRRefE21_15x_0)</f>
        <v>178</v>
      </c>
      <c r="O85" s="2">
        <f>SUM(OSRRefE21_15x_1)</f>
        <v>178</v>
      </c>
      <c r="Q85" s="3">
        <f>SUM(OSRRefD20_15x)+IFERROR(SUM(OSRRefE20_15x),0)</f>
        <v>2002.5</v>
      </c>
    </row>
    <row r="86" spans="1:17" s="42" customFormat="1" ht="15" hidden="1" customHeight="1" outlineLevel="1" x14ac:dyDescent="0.3">
      <c r="A86" s="34"/>
      <c r="B86" s="11" t="str">
        <f>CONCATENATE("          ","6303"," - ","DATA PHONE LINES")</f>
        <v xml:space="preserve">          6303 - DATA PHONE LINES</v>
      </c>
      <c r="C86" s="15"/>
      <c r="D86" s="3"/>
      <c r="E86" s="3"/>
      <c r="F86" s="3"/>
      <c r="G86" s="3"/>
      <c r="H86" s="3"/>
      <c r="I86" s="3"/>
      <c r="J86" s="3"/>
      <c r="K86" s="3"/>
      <c r="L86" s="3"/>
      <c r="M86" s="3"/>
      <c r="N86" s="3">
        <v>50</v>
      </c>
      <c r="O86" s="3">
        <v>50</v>
      </c>
      <c r="P86" s="10"/>
      <c r="Q86" s="3">
        <f>SUM(OSRRefD21_15_0x)+IFERROR(SUM(OSRRefE21_15_0x),0)</f>
        <v>100</v>
      </c>
    </row>
    <row r="87" spans="1:17" s="42" customFormat="1" ht="15" hidden="1" customHeight="1" outlineLevel="1" x14ac:dyDescent="0.3">
      <c r="A87" s="34"/>
      <c r="B87" s="11" t="str">
        <f>CONCATENATE("          ","6309"," - ","TELEPHONE")</f>
        <v xml:space="preserve">          6309 - TELEPHONE</v>
      </c>
      <c r="C87" s="15"/>
      <c r="D87" s="3">
        <v>118.8</v>
      </c>
      <c r="E87" s="3">
        <v>151.19999999999999</v>
      </c>
      <c r="F87" s="3">
        <v>375.5</v>
      </c>
      <c r="G87" s="3">
        <v>-146.5</v>
      </c>
      <c r="H87" s="3">
        <v>52</v>
      </c>
      <c r="I87" s="3">
        <v>603.5</v>
      </c>
      <c r="J87" s="3">
        <v>-343.5</v>
      </c>
      <c r="K87" s="3">
        <v>178.5</v>
      </c>
      <c r="L87" s="3">
        <v>253.5</v>
      </c>
      <c r="M87" s="3">
        <v>403.5</v>
      </c>
      <c r="N87" s="3">
        <v>128</v>
      </c>
      <c r="O87" s="3">
        <v>128</v>
      </c>
      <c r="P87" s="10"/>
      <c r="Q87" s="3">
        <f>SUM(OSRRefD21_15_1x)+IFERROR(SUM(OSRRefE21_15_1x),0)</f>
        <v>1902.5</v>
      </c>
    </row>
    <row r="88" spans="1:17" s="42" customFormat="1" ht="15" customHeight="1" collapsed="1" x14ac:dyDescent="0.3">
      <c r="A88" s="34"/>
      <c r="B88" s="15" t="str">
        <f>CONCATENATE("     ","Training                                          ")</f>
        <v xml:space="preserve">     Training                                          </v>
      </c>
      <c r="C88" s="15"/>
      <c r="D88" s="2">
        <f>SUM(OSRRefD21_16x_0)</f>
        <v>0</v>
      </c>
      <c r="E88" s="2">
        <f>SUM(OSRRefD21_16x_1)</f>
        <v>0</v>
      </c>
      <c r="F88" s="2">
        <f>SUM(OSRRefD21_16x_2)</f>
        <v>0</v>
      </c>
      <c r="G88" s="2">
        <f>SUM(OSRRefD21_16x_3)</f>
        <v>0</v>
      </c>
      <c r="H88" s="2">
        <f>SUM(OSRRefD21_16x_4)</f>
        <v>0</v>
      </c>
      <c r="I88" s="2">
        <f>SUM(OSRRefD21_16x_5)</f>
        <v>0</v>
      </c>
      <c r="J88" s="2">
        <f>SUM(OSRRefD21_16x_6)</f>
        <v>0</v>
      </c>
      <c r="K88" s="2">
        <f>SUM(OSRRefD21_16x_7)</f>
        <v>320</v>
      </c>
      <c r="L88" s="2">
        <f>SUM(OSRRefD21_16x_8)</f>
        <v>0</v>
      </c>
      <c r="M88" s="2">
        <f>SUM(OSRRefD21_16x_9)</f>
        <v>0</v>
      </c>
      <c r="N88" s="2">
        <f>SUM(OSRRefE21_16x_0)</f>
        <v>0</v>
      </c>
      <c r="O88" s="2">
        <f>SUM(OSRRefE21_16x_1)</f>
        <v>0</v>
      </c>
      <c r="Q88" s="3">
        <f>SUM(OSRRefD20_16x)+IFERROR(SUM(OSRRefE20_16x),0)</f>
        <v>320</v>
      </c>
    </row>
    <row r="89" spans="1:17" s="42" customFormat="1" ht="15" hidden="1" customHeight="1" outlineLevel="1" x14ac:dyDescent="0.3">
      <c r="A89" s="34"/>
      <c r="B89" s="11" t="str">
        <f>CONCATENATE("          ","6376"," - ","TRAINING")</f>
        <v xml:space="preserve">          6376 - TRAINING</v>
      </c>
      <c r="C89" s="15"/>
      <c r="D89" s="3"/>
      <c r="E89" s="3"/>
      <c r="F89" s="3"/>
      <c r="G89" s="3"/>
      <c r="H89" s="3"/>
      <c r="I89" s="3"/>
      <c r="J89" s="3"/>
      <c r="K89" s="3">
        <v>320</v>
      </c>
      <c r="L89" s="3"/>
      <c r="M89" s="3"/>
      <c r="N89" s="3"/>
      <c r="O89" s="3"/>
      <c r="P89" s="10"/>
      <c r="Q89" s="3">
        <f>SUM(OSRRefD21_16_0x)+IFERROR(SUM(OSRRefE21_16_0x),0)</f>
        <v>320</v>
      </c>
    </row>
    <row r="90" spans="1:17" s="42" customFormat="1" ht="15" customHeight="1" collapsed="1" x14ac:dyDescent="0.3">
      <c r="A90" s="34"/>
      <c r="B90" s="15" t="str">
        <f>CONCATENATE("     ","Utilities                                         ")</f>
        <v xml:space="preserve">     Utilities                                         </v>
      </c>
      <c r="C90" s="15"/>
      <c r="D90" s="2">
        <f>SUM(OSRRefD21_17x_0)</f>
        <v>100</v>
      </c>
      <c r="E90" s="2">
        <f>SUM(OSRRefD21_17x_1)</f>
        <v>100</v>
      </c>
      <c r="F90" s="2">
        <f>SUM(OSRRefD21_17x_2)</f>
        <v>100</v>
      </c>
      <c r="G90" s="2">
        <f>SUM(OSRRefD21_17x_3)</f>
        <v>100</v>
      </c>
      <c r="H90" s="2">
        <f>SUM(OSRRefD21_17x_4)</f>
        <v>100</v>
      </c>
      <c r="I90" s="2">
        <f>SUM(OSRRefD21_17x_5)</f>
        <v>100</v>
      </c>
      <c r="J90" s="2">
        <f>SUM(OSRRefD21_17x_6)</f>
        <v>100</v>
      </c>
      <c r="K90" s="2">
        <f>SUM(OSRRefD21_17x_7)</f>
        <v>100</v>
      </c>
      <c r="L90" s="2">
        <f>SUM(OSRRefD21_17x_8)</f>
        <v>100</v>
      </c>
      <c r="M90" s="2">
        <f>SUM(OSRRefD21_17x_9)</f>
        <v>100</v>
      </c>
      <c r="N90" s="2">
        <f>SUM(OSRRefE21_17x_0)</f>
        <v>0</v>
      </c>
      <c r="O90" s="2">
        <f>SUM(OSRRefE21_17x_1)</f>
        <v>0</v>
      </c>
      <c r="Q90" s="3">
        <f>SUM(OSRRefD20_17x)+IFERROR(SUM(OSRRefE20_17x),0)</f>
        <v>1000</v>
      </c>
    </row>
    <row r="91" spans="1:17" s="42" customFormat="1" ht="15" hidden="1" customHeight="1" outlineLevel="1" x14ac:dyDescent="0.3">
      <c r="A91" s="34"/>
      <c r="B91" s="11" t="str">
        <f>CONCATENATE("          ","6274"," - ","UTILITIES")</f>
        <v xml:space="preserve">          6274 - UTILITIES</v>
      </c>
      <c r="C91" s="15"/>
      <c r="D91" s="3">
        <v>100</v>
      </c>
      <c r="E91" s="3">
        <v>100</v>
      </c>
      <c r="F91" s="3">
        <v>100</v>
      </c>
      <c r="G91" s="3">
        <v>100</v>
      </c>
      <c r="H91" s="3">
        <v>100</v>
      </c>
      <c r="I91" s="3">
        <v>100</v>
      </c>
      <c r="J91" s="3">
        <v>100</v>
      </c>
      <c r="K91" s="3">
        <v>100</v>
      </c>
      <c r="L91" s="3">
        <v>100</v>
      </c>
      <c r="M91" s="3">
        <v>100</v>
      </c>
      <c r="N91" s="3">
        <v>0</v>
      </c>
      <c r="O91" s="3">
        <v>0</v>
      </c>
      <c r="P91" s="10"/>
      <c r="Q91" s="3">
        <f>SUM(OSRRefD21_17_0x)+IFERROR(SUM(OSRRefE21_17_0x),0)</f>
        <v>1000</v>
      </c>
    </row>
    <row r="92" spans="1:17" s="40" customFormat="1" ht="15" customHeight="1" x14ac:dyDescent="0.3">
      <c r="A92" s="22"/>
      <c r="B92" s="22"/>
      <c r="C92" s="2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Q92" s="2"/>
    </row>
    <row r="93" spans="1:17" s="39" customFormat="1" ht="15" customHeight="1" x14ac:dyDescent="0.3">
      <c r="A93" s="24"/>
      <c r="B93" s="17" t="s">
        <v>287</v>
      </c>
      <c r="C93" s="23"/>
      <c r="D93" s="4">
        <f>0</f>
        <v>0</v>
      </c>
      <c r="E93" s="4">
        <f>0</f>
        <v>0</v>
      </c>
      <c r="F93" s="4">
        <f>0</f>
        <v>0</v>
      </c>
      <c r="G93" s="4">
        <f>0</f>
        <v>0</v>
      </c>
      <c r="H93" s="4">
        <f>0</f>
        <v>0</v>
      </c>
      <c r="I93" s="4">
        <f>0</f>
        <v>0</v>
      </c>
      <c r="J93" s="4">
        <f>0</f>
        <v>0</v>
      </c>
      <c r="K93" s="4">
        <f>0</f>
        <v>0</v>
      </c>
      <c r="L93" s="4">
        <f>0</f>
        <v>0</v>
      </c>
      <c r="M93" s="4">
        <f>0</f>
        <v>0</v>
      </c>
      <c r="N93" s="4"/>
      <c r="O93" s="4"/>
      <c r="Q93" s="3">
        <f>SUM(OSRRefD23_0x)+IFERROR(SUM(OSRRefE23_0x),0)</f>
        <v>0</v>
      </c>
    </row>
    <row r="94" spans="1:17" ht="15" customHeight="1" x14ac:dyDescent="0.3">
      <c r="A94" s="6"/>
      <c r="B94" s="7"/>
      <c r="C94" s="7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Q94" s="4"/>
    </row>
    <row r="95" spans="1:17" s="37" customFormat="1" ht="15" customHeight="1" x14ac:dyDescent="0.3">
      <c r="A95" s="7"/>
      <c r="B95" s="18" t="s">
        <v>288</v>
      </c>
      <c r="C95" s="18"/>
      <c r="D95" s="9">
        <f t="shared" ref="D95:O95" si="2">IFERROR(+D23-D26+D93,0)</f>
        <v>-11929.900000000001</v>
      </c>
      <c r="E95" s="9">
        <f t="shared" si="2"/>
        <v>-24662.84</v>
      </c>
      <c r="F95" s="9">
        <f t="shared" si="2"/>
        <v>-10334.240000000002</v>
      </c>
      <c r="G95" s="9">
        <f t="shared" si="2"/>
        <v>-6717.0600000000049</v>
      </c>
      <c r="H95" s="9">
        <f t="shared" si="2"/>
        <v>-17256.630000000005</v>
      </c>
      <c r="I95" s="9">
        <f t="shared" si="2"/>
        <v>-17002.489999999998</v>
      </c>
      <c r="J95" s="9">
        <f t="shared" si="2"/>
        <v>-32741.96</v>
      </c>
      <c r="K95" s="9">
        <f t="shared" si="2"/>
        <v>-5964.0099999999875</v>
      </c>
      <c r="L95" s="9">
        <f t="shared" si="2"/>
        <v>29500.440000000002</v>
      </c>
      <c r="M95" s="9">
        <f t="shared" si="2"/>
        <v>-7263.1200000000172</v>
      </c>
      <c r="N95" s="9">
        <f t="shared" si="2"/>
        <v>-11142.694589807696</v>
      </c>
      <c r="O95" s="9">
        <f t="shared" si="2"/>
        <v>-21664.54540580769</v>
      </c>
      <c r="Q95" s="9">
        <f>IFERROR(+Q23-Q26+Q93,0)</f>
        <v>-137179.04999561538</v>
      </c>
    </row>
    <row r="96" spans="1:17" s="38" customFormat="1" ht="15" customHeight="1" x14ac:dyDescent="0.3">
      <c r="B96" s="17"/>
      <c r="C96" s="17"/>
      <c r="D96" s="5">
        <f t="shared" ref="D96:O96" si="3">IFERROR(D95/D10,0)</f>
        <v>0</v>
      </c>
      <c r="E96" s="5">
        <f t="shared" si="3"/>
        <v>-3.700273362600035</v>
      </c>
      <c r="F96" s="5">
        <f t="shared" si="3"/>
        <v>-0.64136437264552015</v>
      </c>
      <c r="G96" s="5">
        <f t="shared" si="3"/>
        <v>-0.26004827710360628</v>
      </c>
      <c r="H96" s="5">
        <f t="shared" si="3"/>
        <v>-1.1263243912515937</v>
      </c>
      <c r="I96" s="5">
        <f t="shared" si="3"/>
        <v>-1.3625733478012085</v>
      </c>
      <c r="J96" s="5">
        <f t="shared" si="3"/>
        <v>-6.7740210946195889</v>
      </c>
      <c r="K96" s="5">
        <f t="shared" si="3"/>
        <v>-6.3537516688690843E-2</v>
      </c>
      <c r="L96" s="5">
        <f t="shared" si="3"/>
        <v>0.22191993082821315</v>
      </c>
      <c r="M96" s="5">
        <f t="shared" si="3"/>
        <v>-7.0171743543374104E-2</v>
      </c>
      <c r="N96" s="5">
        <f t="shared" si="3"/>
        <v>-0.26052594317997885</v>
      </c>
      <c r="O96" s="5">
        <f t="shared" si="3"/>
        <v>-1.6633048296205519</v>
      </c>
      <c r="P96" s="19"/>
      <c r="Q96" s="5">
        <f>IFERROR(Q95/Q10,0)</f>
        <v>-0.29353180910486298</v>
      </c>
    </row>
    <row r="97" spans="1:17" ht="15" customHeight="1" x14ac:dyDescent="0.3">
      <c r="A97" s="6"/>
      <c r="B97" s="7"/>
      <c r="C97" s="6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Q97" s="4"/>
    </row>
    <row r="98" spans="1:17" s="37" customFormat="1" ht="15" customHeight="1" x14ac:dyDescent="0.3">
      <c r="A98" s="26"/>
      <c r="B98" s="7" t="s">
        <v>289</v>
      </c>
      <c r="C98" s="7"/>
      <c r="D98" s="4"/>
      <c r="E98" s="4">
        <v>995.99</v>
      </c>
      <c r="F98" s="4">
        <v>1823.38</v>
      </c>
      <c r="G98" s="4">
        <v>2799.33</v>
      </c>
      <c r="H98" s="4">
        <v>1996.03</v>
      </c>
      <c r="I98" s="4">
        <v>1582.51</v>
      </c>
      <c r="J98" s="4">
        <v>1556.42</v>
      </c>
      <c r="K98" s="4">
        <v>11103.67</v>
      </c>
      <c r="L98" s="4">
        <v>14906.45</v>
      </c>
      <c r="M98" s="4">
        <v>9857.59</v>
      </c>
      <c r="N98" s="4">
        <v>5739</v>
      </c>
      <c r="O98" s="4">
        <v>-3859</v>
      </c>
      <c r="Q98" s="3">
        <f>SUM(OSRRefD28_0x)+IFERROR(SUM(OSRRefE28_0x),0)</f>
        <v>48501.369999999995</v>
      </c>
    </row>
    <row r="99" spans="1:17" ht="15" customHeight="1" x14ac:dyDescent="0.3">
      <c r="A99" s="6"/>
      <c r="B99" s="7"/>
      <c r="C99" s="7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Q99" s="4"/>
    </row>
    <row r="100" spans="1:17" s="37" customFormat="1" ht="15.75" customHeight="1" x14ac:dyDescent="0.3">
      <c r="A100" s="7"/>
      <c r="B100" s="18" t="s">
        <v>290</v>
      </c>
      <c r="C100" s="18"/>
      <c r="D100" s="8">
        <f t="shared" ref="D100:O100" si="4">IFERROR(+D95-D98,0)</f>
        <v>-11929.900000000001</v>
      </c>
      <c r="E100" s="8">
        <f t="shared" si="4"/>
        <v>-25658.83</v>
      </c>
      <c r="F100" s="8">
        <f t="shared" si="4"/>
        <v>-12157.620000000003</v>
      </c>
      <c r="G100" s="8">
        <f t="shared" si="4"/>
        <v>-9516.3900000000049</v>
      </c>
      <c r="H100" s="8">
        <f t="shared" si="4"/>
        <v>-19252.660000000003</v>
      </c>
      <c r="I100" s="8">
        <f t="shared" si="4"/>
        <v>-18584.999999999996</v>
      </c>
      <c r="J100" s="8">
        <f t="shared" si="4"/>
        <v>-34298.379999999997</v>
      </c>
      <c r="K100" s="8">
        <f t="shared" si="4"/>
        <v>-17067.679999999986</v>
      </c>
      <c r="L100" s="8">
        <f t="shared" si="4"/>
        <v>14593.990000000002</v>
      </c>
      <c r="M100" s="8">
        <f t="shared" si="4"/>
        <v>-17120.710000000017</v>
      </c>
      <c r="N100" s="8">
        <f t="shared" si="4"/>
        <v>-16881.694589807696</v>
      </c>
      <c r="O100" s="8">
        <f t="shared" si="4"/>
        <v>-17805.54540580769</v>
      </c>
      <c r="Q100" s="8">
        <f>IFERROR(+Q95-Q98,0)</f>
        <v>-185680.41999561538</v>
      </c>
    </row>
    <row r="101" spans="1:17" ht="15.75" customHeight="1" x14ac:dyDescent="0.3">
      <c r="A101" s="6"/>
      <c r="B101" s="6"/>
      <c r="C101" s="6"/>
      <c r="D101" s="5">
        <f t="shared" ref="D101:O101" si="5">IFERROR(D100/D10,0)</f>
        <v>0</v>
      </c>
      <c r="E101" s="5">
        <f t="shared" si="5"/>
        <v>-3.8497060826929368</v>
      </c>
      <c r="F101" s="5">
        <f t="shared" si="5"/>
        <v>-0.75452711802344719</v>
      </c>
      <c r="G101" s="5">
        <f t="shared" si="5"/>
        <v>-0.36842321249862098</v>
      </c>
      <c r="H101" s="5">
        <f t="shared" si="5"/>
        <v>-1.2566034361560692</v>
      </c>
      <c r="I101" s="5">
        <f t="shared" si="5"/>
        <v>-1.489395122060678</v>
      </c>
      <c r="J101" s="5">
        <f t="shared" si="5"/>
        <v>-7.0960305867846216</v>
      </c>
      <c r="K101" s="5">
        <f t="shared" si="5"/>
        <v>-0.1818303461659582</v>
      </c>
      <c r="L101" s="5">
        <f t="shared" si="5"/>
        <v>0.10978471003509217</v>
      </c>
      <c r="M101" s="5">
        <f t="shared" si="5"/>
        <v>-0.1654096409532651</v>
      </c>
      <c r="N101" s="5">
        <f t="shared" si="5"/>
        <v>-0.39470878161813644</v>
      </c>
      <c r="O101" s="5">
        <f t="shared" si="5"/>
        <v>-1.3670284380658495</v>
      </c>
      <c r="P101" s="19"/>
      <c r="Q101" s="5">
        <f>IFERROR(Q100/Q10,0)</f>
        <v>-0.39731365393189289</v>
      </c>
    </row>
    <row r="102" spans="1:17" ht="15" customHeight="1" x14ac:dyDescent="0.3">
      <c r="A102" s="6"/>
      <c r="B102" s="6"/>
      <c r="C102" s="6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Q102" s="4"/>
    </row>
    <row r="103" spans="1:17" ht="15" customHeight="1" x14ac:dyDescent="0.3">
      <c r="A103" s="6"/>
      <c r="B103" s="6"/>
      <c r="C103" s="6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Q103" s="4"/>
    </row>
    <row r="104" spans="1:17" s="37" customFormat="1" ht="15.75" customHeight="1" x14ac:dyDescent="0.3">
      <c r="A104" s="7"/>
      <c r="B104" s="18" t="s">
        <v>293</v>
      </c>
      <c r="C104" s="18"/>
      <c r="D104" s="8">
        <f t="shared" ref="D104:O104" si="6">IFERROR(SUM(D100:D103),0)</f>
        <v>-11929.900000000001</v>
      </c>
      <c r="E104" s="8">
        <f t="shared" si="6"/>
        <v>-25662.679706082694</v>
      </c>
      <c r="F104" s="8">
        <f t="shared" si="6"/>
        <v>-12158.374527118027</v>
      </c>
      <c r="G104" s="8">
        <f t="shared" si="6"/>
        <v>-9516.7584232125027</v>
      </c>
      <c r="H104" s="8">
        <f t="shared" si="6"/>
        <v>-19253.916603436159</v>
      </c>
      <c r="I104" s="8">
        <f t="shared" si="6"/>
        <v>-18586.489395122058</v>
      </c>
      <c r="J104" s="8">
        <f t="shared" si="6"/>
        <v>-34305.476030586782</v>
      </c>
      <c r="K104" s="8">
        <f t="shared" si="6"/>
        <v>-17067.861830346152</v>
      </c>
      <c r="L104" s="8">
        <f t="shared" si="6"/>
        <v>14594.099784710037</v>
      </c>
      <c r="M104" s="8">
        <f t="shared" si="6"/>
        <v>-17120.875409640972</v>
      </c>
      <c r="N104" s="8">
        <f t="shared" si="6"/>
        <v>-16882.089298589315</v>
      </c>
      <c r="O104" s="8">
        <f t="shared" si="6"/>
        <v>-17806.912434245754</v>
      </c>
      <c r="Q104" s="8">
        <f>IFERROR(SUM(Q100:Q103),0)</f>
        <v>-185680.8173092693</v>
      </c>
    </row>
    <row r="105" spans="1:17" ht="15.75" customHeight="1" x14ac:dyDescent="0.3">
      <c r="A105" s="6"/>
      <c r="C105" s="6"/>
      <c r="D105" s="5">
        <f t="shared" ref="D105:O105" si="7">IFERROR(D104/D10,0)</f>
        <v>0</v>
      </c>
      <c r="E105" s="5">
        <f t="shared" si="7"/>
        <v>-3.8502836708730337</v>
      </c>
      <c r="F105" s="5">
        <f t="shared" si="7"/>
        <v>-0.75457394554164847</v>
      </c>
      <c r="G105" s="5">
        <f t="shared" si="7"/>
        <v>-0.36843747585515718</v>
      </c>
      <c r="H105" s="5">
        <f t="shared" si="7"/>
        <v>-1.2566854535082563</v>
      </c>
      <c r="I105" s="5">
        <f t="shared" si="7"/>
        <v>-1.4895144816425785</v>
      </c>
      <c r="J105" s="5">
        <f t="shared" si="7"/>
        <v>-7.0974986925694603</v>
      </c>
      <c r="K105" s="5">
        <f t="shared" si="7"/>
        <v>-0.18183228329360451</v>
      </c>
      <c r="L105" s="5">
        <f t="shared" si="7"/>
        <v>0.10978553590125746</v>
      </c>
      <c r="M105" s="5">
        <f t="shared" si="7"/>
        <v>-0.16541123903823474</v>
      </c>
      <c r="N105" s="5">
        <f t="shared" si="7"/>
        <v>-0.39471801025460174</v>
      </c>
      <c r="O105" s="5">
        <f t="shared" si="7"/>
        <v>-1.3671333922645492</v>
      </c>
      <c r="P105" s="19"/>
      <c r="Q105" s="5">
        <f>IFERROR(Q104/Q10,0)</f>
        <v>-0.39731450409228997</v>
      </c>
    </row>
    <row r="106" spans="1:17" ht="15" customHeight="1" x14ac:dyDescent="0.3">
      <c r="A106" s="6"/>
      <c r="B106" s="33">
        <v>44694.892827430558</v>
      </c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Q106" s="14"/>
    </row>
    <row r="107" spans="1:17" ht="15" customHeight="1" x14ac:dyDescent="0.3">
      <c r="A107" s="6"/>
      <c r="B107" s="31" t="s">
        <v>294</v>
      </c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Q107" s="14"/>
    </row>
    <row r="108" spans="1:17" ht="15" customHeight="1" x14ac:dyDescent="0.3">
      <c r="A108" s="6"/>
      <c r="B108" s="27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Q108" s="14"/>
    </row>
    <row r="109" spans="1:17" ht="15" customHeight="1" x14ac:dyDescent="0.3"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Q109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C8C4E-6816-585E-F6C1-0D3C9BE8A2F4}">
  <sheetPr>
    <tabColor rgb="FF92D050"/>
    <outlinePr summaryBelow="0" summaryRight="0"/>
    <pageSetUpPr fitToPage="1"/>
  </sheetPr>
  <dimension ref="A2:R72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","309"," - ","Carts")</f>
        <v>Department 309 - Carts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0</v>
      </c>
      <c r="E10" s="4">
        <f>SUM(OSRRefD11x_1)</f>
        <v>0</v>
      </c>
      <c r="F10" s="4">
        <f>SUM(OSRRefD11x_2)</f>
        <v>0</v>
      </c>
      <c r="G10" s="4">
        <f>SUM(OSRRefD11x_3)</f>
        <v>0</v>
      </c>
      <c r="H10" s="4">
        <f>SUM(OSRRefD11x_4)</f>
        <v>0</v>
      </c>
      <c r="I10" s="4">
        <f>SUM(OSRRefD11x_5)</f>
        <v>0</v>
      </c>
      <c r="J10" s="4">
        <f>SUM(OSRRefD11x_6)</f>
        <v>0</v>
      </c>
      <c r="K10" s="4">
        <f>SUM(OSRRefD11x_7)</f>
        <v>22053.61</v>
      </c>
      <c r="L10" s="4">
        <f>SUM(OSRRefD11x_8)</f>
        <v>30822.959999999999</v>
      </c>
      <c r="M10" s="4">
        <f>SUM(OSRRefD11x_9)</f>
        <v>29619.14</v>
      </c>
      <c r="N10" s="4">
        <f>SUM(OSRRefE11x_0)</f>
        <v>0</v>
      </c>
      <c r="O10" s="4">
        <f>SUM(OSRRefE11x_1)</f>
        <v>0</v>
      </c>
      <c r="P10" s="25"/>
      <c r="Q10" s="4">
        <f>SUM(OSRRefG11x)</f>
        <v>82495.710000000006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0</f>
        <v>0</v>
      </c>
      <c r="E11" s="3">
        <f>0</f>
        <v>0</v>
      </c>
      <c r="F11" s="3">
        <f>0</f>
        <v>0</v>
      </c>
      <c r="G11" s="3">
        <f>0</f>
        <v>0</v>
      </c>
      <c r="H11" s="3">
        <f>0</f>
        <v>0</v>
      </c>
      <c r="I11" s="3">
        <f>0</f>
        <v>0</v>
      </c>
      <c r="J11" s="3">
        <f>0</f>
        <v>0</v>
      </c>
      <c r="K11" s="3">
        <f>--3720.1</f>
        <v>3720.1</v>
      </c>
      <c r="L11" s="3">
        <f>--5091.71</f>
        <v>5091.71</v>
      </c>
      <c r="M11" s="3">
        <f>--4280.3</f>
        <v>4280.3</v>
      </c>
      <c r="N11" s="3"/>
      <c r="O11" s="3"/>
      <c r="Q11" s="3">
        <f>SUM(OSRRefD11_0x)+IFERROR(SUM(OSRRefE11_0x),0)</f>
        <v>13092.11</v>
      </c>
    </row>
    <row r="12" spans="1:18" s="39" customFormat="1" ht="15" hidden="1" customHeight="1" outlineLevel="1" x14ac:dyDescent="0.3">
      <c r="A12" s="24"/>
      <c r="B12" s="11" t="str">
        <f>CONCATENATE("          ","4051"," - ","TAXABLE SALES-FOOD")</f>
        <v xml:space="preserve">          4051 - TAXABLE SALES-FOOD</v>
      </c>
      <c r="C12" s="23"/>
      <c r="D12" s="3">
        <f>0</f>
        <v>0</v>
      </c>
      <c r="E12" s="3">
        <f>0</f>
        <v>0</v>
      </c>
      <c r="F12" s="3">
        <f>0</f>
        <v>0</v>
      </c>
      <c r="G12" s="3">
        <f>0</f>
        <v>0</v>
      </c>
      <c r="H12" s="3">
        <f>0</f>
        <v>0</v>
      </c>
      <c r="I12" s="3">
        <f>0</f>
        <v>0</v>
      </c>
      <c r="J12" s="3">
        <f>0</f>
        <v>0</v>
      </c>
      <c r="K12" s="3">
        <f>--25.17</f>
        <v>25.17</v>
      </c>
      <c r="L12" s="3">
        <f>0</f>
        <v>0</v>
      </c>
      <c r="M12" s="3">
        <f>0</f>
        <v>0</v>
      </c>
      <c r="N12" s="3"/>
      <c r="O12" s="3"/>
      <c r="Q12" s="3">
        <f>SUM(OSRRefD11_1x)+IFERROR(SUM(OSRRefE11_1x),0)</f>
        <v>25.17</v>
      </c>
    </row>
    <row r="13" spans="1:18" s="39" customFormat="1" ht="15" hidden="1" customHeight="1" outlineLevel="1" x14ac:dyDescent="0.3">
      <c r="A13" s="24"/>
      <c r="B13" s="11" t="str">
        <f>CONCATENATE("          ","4100"," - ","NON-TAXABLE SALES")</f>
        <v xml:space="preserve">          4100 - NON-TAXABLE SALES</v>
      </c>
      <c r="C13" s="23"/>
      <c r="D13" s="3">
        <f>0</f>
        <v>0</v>
      </c>
      <c r="E13" s="3">
        <f>0</f>
        <v>0</v>
      </c>
      <c r="F13" s="3">
        <f>0</f>
        <v>0</v>
      </c>
      <c r="G13" s="3">
        <f>0</f>
        <v>0</v>
      </c>
      <c r="H13" s="3">
        <f>0</f>
        <v>0</v>
      </c>
      <c r="I13" s="3">
        <f>0</f>
        <v>0</v>
      </c>
      <c r="J13" s="3">
        <f>0</f>
        <v>0</v>
      </c>
      <c r="K13" s="3">
        <f>--18102.02</f>
        <v>18102.02</v>
      </c>
      <c r="L13" s="3">
        <f>--25731.25</f>
        <v>25731.25</v>
      </c>
      <c r="M13" s="3">
        <f>--25338.84</f>
        <v>25338.84</v>
      </c>
      <c r="N13" s="3"/>
      <c r="O13" s="3"/>
      <c r="Q13" s="3">
        <f>SUM(OSRRefD11_2x)+IFERROR(SUM(OSRRefE11_2x),0)</f>
        <v>69172.11</v>
      </c>
    </row>
    <row r="14" spans="1:18" s="39" customFormat="1" ht="15" hidden="1" customHeight="1" outlineLevel="1" x14ac:dyDescent="0.3">
      <c r="A14" s="24"/>
      <c r="B14" s="11" t="str">
        <f>CONCATENATE("          ","4151"," - ","NON-TAXABLE SALES-FOOD")</f>
        <v xml:space="preserve">          4151 - NON-TAXABLE SALES-FOOD</v>
      </c>
      <c r="C14" s="23"/>
      <c r="D14" s="3">
        <f>0</f>
        <v>0</v>
      </c>
      <c r="E14" s="3">
        <f>0</f>
        <v>0</v>
      </c>
      <c r="F14" s="3">
        <f>0</f>
        <v>0</v>
      </c>
      <c r="G14" s="3">
        <f>0</f>
        <v>0</v>
      </c>
      <c r="H14" s="3">
        <f>0</f>
        <v>0</v>
      </c>
      <c r="I14" s="3">
        <f>0</f>
        <v>0</v>
      </c>
      <c r="J14" s="3">
        <f>0</f>
        <v>0</v>
      </c>
      <c r="K14" s="3">
        <f>--206.32</f>
        <v>206.32</v>
      </c>
      <c r="L14" s="3">
        <f>0</f>
        <v>0</v>
      </c>
      <c r="M14" s="3">
        <f>0</f>
        <v>0</v>
      </c>
      <c r="N14" s="3"/>
      <c r="O14" s="3"/>
      <c r="Q14" s="3">
        <f>SUM(OSRRefD11_3x)+IFERROR(SUM(OSRRefE11_3x),0)</f>
        <v>206.32</v>
      </c>
    </row>
    <row r="15" spans="1:18" ht="15" customHeight="1" x14ac:dyDescent="0.3">
      <c r="A15" s="6"/>
      <c r="B15" s="7"/>
      <c r="C15" s="6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Q15" s="4"/>
    </row>
    <row r="16" spans="1:18" s="39" customFormat="1" ht="15" customHeight="1" collapsed="1" x14ac:dyDescent="0.3">
      <c r="A16" s="24"/>
      <c r="B16" s="17" t="s">
        <v>284</v>
      </c>
      <c r="C16" s="23"/>
      <c r="D16" s="4">
        <f>SUM(OSRRefD14x_0)</f>
        <v>0</v>
      </c>
      <c r="E16" s="4">
        <f>SUM(OSRRefD14x_1)</f>
        <v>0</v>
      </c>
      <c r="F16" s="4">
        <f>SUM(OSRRefD14x_2)</f>
        <v>0</v>
      </c>
      <c r="G16" s="4">
        <f>SUM(OSRRefD14x_3)</f>
        <v>0</v>
      </c>
      <c r="H16" s="4">
        <f>SUM(OSRRefD14x_4)</f>
        <v>0</v>
      </c>
      <c r="I16" s="4">
        <f>SUM(OSRRefD14x_5)</f>
        <v>0</v>
      </c>
      <c r="J16" s="4">
        <f>SUM(OSRRefD14x_6)</f>
        <v>3604.41</v>
      </c>
      <c r="K16" s="4">
        <f>SUM(OSRRefD14x_7)</f>
        <v>10435.700000000001</v>
      </c>
      <c r="L16" s="4">
        <f>SUM(OSRRefD14x_8)</f>
        <v>11465.89</v>
      </c>
      <c r="M16" s="4">
        <f>SUM(OSRRefD14x_9)</f>
        <v>11452.18</v>
      </c>
      <c r="N16" s="4">
        <f>SUM(OSRRefE14x_0)</f>
        <v>0</v>
      </c>
      <c r="O16" s="4">
        <f>SUM(OSRRefE14x_1)</f>
        <v>0</v>
      </c>
      <c r="Q16" s="4">
        <f>SUM(OSRRefG14x)</f>
        <v>36958.18</v>
      </c>
    </row>
    <row r="17" spans="1:17" s="39" customFormat="1" ht="15" hidden="1" customHeight="1" outlineLevel="1" x14ac:dyDescent="0.3">
      <c r="A17" s="24"/>
      <c r="B17" s="11" t="str">
        <f>CONCATENATE("          ","5000"," - ","PURCHASES @ COST")</f>
        <v xml:space="preserve">          5000 - PURCHASES @ COST</v>
      </c>
      <c r="C17" s="23"/>
      <c r="D17" s="3"/>
      <c r="E17" s="3"/>
      <c r="F17" s="3"/>
      <c r="G17" s="3"/>
      <c r="H17" s="3"/>
      <c r="I17" s="3"/>
      <c r="J17" s="3"/>
      <c r="K17" s="3">
        <v>0</v>
      </c>
      <c r="L17" s="3"/>
      <c r="M17" s="3"/>
      <c r="N17" s="3"/>
      <c r="O17" s="3"/>
      <c r="Q17" s="3">
        <f>SUM(OSRRefD14_0x)+IFERROR(SUM(OSRRefE14_0x),0)</f>
        <v>0</v>
      </c>
    </row>
    <row r="18" spans="1:17" s="39" customFormat="1" ht="15" hidden="1" customHeight="1" outlineLevel="1" x14ac:dyDescent="0.3">
      <c r="A18" s="24"/>
      <c r="B18" s="11" t="str">
        <f>CONCATENATE("          ","5059"," - ","PURCHASES @ COST-FOOD")</f>
        <v xml:space="preserve">          5059 - PURCHASES @ COST-FOOD</v>
      </c>
      <c r="C18" s="23"/>
      <c r="D18" s="3"/>
      <c r="E18" s="3"/>
      <c r="F18" s="3"/>
      <c r="G18" s="3"/>
      <c r="H18" s="3"/>
      <c r="I18" s="3"/>
      <c r="J18" s="3">
        <v>3604.41</v>
      </c>
      <c r="K18" s="3">
        <v>10435.700000000001</v>
      </c>
      <c r="L18" s="3">
        <v>11465.89</v>
      </c>
      <c r="M18" s="3">
        <v>11452.18</v>
      </c>
      <c r="N18" s="3"/>
      <c r="O18" s="3"/>
      <c r="Q18" s="3">
        <f>SUM(OSRRefD14_1x)+IFERROR(SUM(OSRRefE14_1x),0)</f>
        <v>36958.18</v>
      </c>
    </row>
    <row r="19" spans="1:17" ht="15" customHeight="1" x14ac:dyDescent="0.3">
      <c r="A19" s="6"/>
      <c r="B19" s="7"/>
      <c r="C19" s="7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Q19" s="4"/>
    </row>
    <row r="20" spans="1:17" s="37" customFormat="1" ht="15" customHeight="1" x14ac:dyDescent="0.3">
      <c r="A20" s="7"/>
      <c r="B20" s="18" t="s">
        <v>285</v>
      </c>
      <c r="C20" s="18"/>
      <c r="D20" s="9">
        <f t="shared" ref="D20:O20" si="0">IFERROR(+D10-D16,0)</f>
        <v>0</v>
      </c>
      <c r="E20" s="9">
        <f t="shared" si="0"/>
        <v>0</v>
      </c>
      <c r="F20" s="9">
        <f t="shared" si="0"/>
        <v>0</v>
      </c>
      <c r="G20" s="9">
        <f t="shared" si="0"/>
        <v>0</v>
      </c>
      <c r="H20" s="9">
        <f t="shared" si="0"/>
        <v>0</v>
      </c>
      <c r="I20" s="9">
        <f t="shared" si="0"/>
        <v>0</v>
      </c>
      <c r="J20" s="9">
        <f t="shared" si="0"/>
        <v>-3604.41</v>
      </c>
      <c r="K20" s="9">
        <f t="shared" si="0"/>
        <v>11617.91</v>
      </c>
      <c r="L20" s="9">
        <f t="shared" si="0"/>
        <v>19357.07</v>
      </c>
      <c r="M20" s="9">
        <f t="shared" si="0"/>
        <v>18166.96</v>
      </c>
      <c r="N20" s="9">
        <f t="shared" si="0"/>
        <v>0</v>
      </c>
      <c r="O20" s="9">
        <f t="shared" si="0"/>
        <v>0</v>
      </c>
      <c r="Q20" s="9">
        <f>IFERROR(+Q10-Q16,0)</f>
        <v>45537.530000000006</v>
      </c>
    </row>
    <row r="21" spans="1:17" s="38" customFormat="1" ht="15" customHeight="1" x14ac:dyDescent="0.3">
      <c r="B21" s="17"/>
      <c r="C21" s="17"/>
      <c r="D21" s="5">
        <f t="shared" ref="D21:O21" si="1">IFERROR(D20/D10,0)</f>
        <v>0</v>
      </c>
      <c r="E21" s="5">
        <f t="shared" si="1"/>
        <v>0</v>
      </c>
      <c r="F21" s="5">
        <f t="shared" si="1"/>
        <v>0</v>
      </c>
      <c r="G21" s="5">
        <f t="shared" si="1"/>
        <v>0</v>
      </c>
      <c r="H21" s="5">
        <f t="shared" si="1"/>
        <v>0</v>
      </c>
      <c r="I21" s="5">
        <f t="shared" si="1"/>
        <v>0</v>
      </c>
      <c r="J21" s="5">
        <f t="shared" si="1"/>
        <v>0</v>
      </c>
      <c r="K21" s="5">
        <f t="shared" si="1"/>
        <v>0.52680309482211751</v>
      </c>
      <c r="L21" s="5">
        <f t="shared" si="1"/>
        <v>0.62800814717340581</v>
      </c>
      <c r="M21" s="5">
        <f t="shared" si="1"/>
        <v>0.61335204195665372</v>
      </c>
      <c r="N21" s="5">
        <f t="shared" si="1"/>
        <v>0</v>
      </c>
      <c r="O21" s="5">
        <f t="shared" si="1"/>
        <v>0</v>
      </c>
      <c r="P21" s="19"/>
      <c r="Q21" s="5">
        <f>IFERROR(Q20/Q10,0)</f>
        <v>0.55199876454181684</v>
      </c>
    </row>
    <row r="22" spans="1:17" ht="15" customHeight="1" x14ac:dyDescent="0.3">
      <c r="A22" s="6"/>
      <c r="B22" s="7"/>
      <c r="C22" s="6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Q22" s="2"/>
    </row>
    <row r="23" spans="1:17" s="37" customFormat="1" ht="15" customHeight="1" x14ac:dyDescent="0.3">
      <c r="A23" s="7"/>
      <c r="B23" s="17" t="s">
        <v>286</v>
      </c>
      <c r="C23" s="7"/>
      <c r="D23" s="12" cm="1">
        <f t="array" ref="D23">SUM(OSRRefD20x_0)</f>
        <v>770.79000000000008</v>
      </c>
      <c r="E23" s="12" cm="1">
        <f t="array" ref="E23">SUM(OSRRefD20x_1)</f>
        <v>893.71</v>
      </c>
      <c r="F23" s="12" cm="1">
        <f t="array" ref="F23">SUM(OSRRefD20x_2)</f>
        <v>818.69</v>
      </c>
      <c r="G23" s="12" cm="1">
        <f t="array" ref="G23">SUM(OSRRefD20x_3)</f>
        <v>770.79000000000008</v>
      </c>
      <c r="H23" s="12" cm="1">
        <f t="array" ref="H23">SUM(OSRRefD20x_4)</f>
        <v>1205.79</v>
      </c>
      <c r="I23" s="12" cm="1">
        <f t="array" ref="I23">SUM(OSRRefD20x_5)</f>
        <v>852.91000000000008</v>
      </c>
      <c r="J23" s="12" cm="1">
        <f t="array" ref="J23">SUM(OSRRefD20x_6)</f>
        <v>1178.94</v>
      </c>
      <c r="K23" s="12" cm="1">
        <f t="array" ref="K23">SUM(OSRRefD20x_7)</f>
        <v>7102.7</v>
      </c>
      <c r="L23" s="12" cm="1">
        <f t="array" ref="L23">SUM(OSRRefD20x_8)</f>
        <v>9940.2800000000007</v>
      </c>
      <c r="M23" s="12" cm="1">
        <f t="array" ref="M23">SUM(OSRRefD20x_9)</f>
        <v>8401.27</v>
      </c>
      <c r="N23" s="12" cm="1">
        <f t="array" ref="N23">SUM(OSRRefE20x_0)</f>
        <v>588</v>
      </c>
      <c r="O23" s="12" cm="1">
        <f t="array" ref="O23">SUM(OSRRefE20x_1)</f>
        <v>588</v>
      </c>
      <c r="Q23" s="12" cm="1">
        <f t="array" ref="Q23">SUM(OSRRefG20x)</f>
        <v>33111.870000000003</v>
      </c>
    </row>
    <row r="24" spans="1:17" s="42" customFormat="1" ht="15" customHeight="1" collapsed="1" x14ac:dyDescent="0.3">
      <c r="A24" s="34"/>
      <c r="B24" s="15" t="str">
        <f>CONCATENATE("     ","*Benefits                                         ")</f>
        <v xml:space="preserve">     *Benefits                                         </v>
      </c>
      <c r="C24" s="15"/>
      <c r="D24" s="2">
        <f>SUM(OSRRefD21_0x_0)</f>
        <v>0</v>
      </c>
      <c r="E24" s="2">
        <f>SUM(OSRRefD21_0x_1)</f>
        <v>0</v>
      </c>
      <c r="F24" s="2">
        <f>SUM(OSRRefD21_0x_2)</f>
        <v>0</v>
      </c>
      <c r="G24" s="2">
        <f>SUM(OSRRefD21_0x_3)</f>
        <v>0</v>
      </c>
      <c r="H24" s="2">
        <f>SUM(OSRRefD21_0x_4)</f>
        <v>0</v>
      </c>
      <c r="I24" s="2">
        <f>SUM(OSRRefD21_0x_5)</f>
        <v>0</v>
      </c>
      <c r="J24" s="2">
        <f>SUM(OSRRefD21_0x_6)</f>
        <v>0</v>
      </c>
      <c r="K24" s="2">
        <f>SUM(OSRRefD21_0x_7)</f>
        <v>34.79</v>
      </c>
      <c r="L24" s="2">
        <f>SUM(OSRRefD21_0x_8)</f>
        <v>110.84</v>
      </c>
      <c r="M24" s="2">
        <f>SUM(OSRRefD21_0x_9)</f>
        <v>87.070000000000007</v>
      </c>
      <c r="N24" s="2">
        <f>SUM(OSRRefE21_0x_0)</f>
        <v>0</v>
      </c>
      <c r="O24" s="2">
        <f>SUM(OSRRefE21_0x_1)</f>
        <v>0</v>
      </c>
      <c r="Q24" s="3">
        <f>SUM(OSRRefD20_0x)+IFERROR(SUM(OSRRefE20_0x),0)</f>
        <v>232.7</v>
      </c>
    </row>
    <row r="25" spans="1:17" s="42" customFormat="1" ht="15" hidden="1" customHeight="1" outlineLevel="1" x14ac:dyDescent="0.3">
      <c r="A25" s="34"/>
      <c r="B25" s="11" t="str">
        <f>CONCATENATE("          ","6112"," - ","COMPENSATION INSURANCE")</f>
        <v xml:space="preserve">          6112 - COMPENSATION INSURANCE</v>
      </c>
      <c r="C25" s="15"/>
      <c r="D25" s="3"/>
      <c r="E25" s="3"/>
      <c r="F25" s="3"/>
      <c r="G25" s="3"/>
      <c r="H25" s="3"/>
      <c r="I25" s="3"/>
      <c r="J25" s="3"/>
      <c r="K25" s="3">
        <v>29.59</v>
      </c>
      <c r="L25" s="3">
        <v>94.28</v>
      </c>
      <c r="M25" s="3">
        <v>74.06</v>
      </c>
      <c r="N25" s="3"/>
      <c r="O25" s="3"/>
      <c r="P25" s="10"/>
      <c r="Q25" s="3">
        <f>SUM(OSRRefD21_0_0x)+IFERROR(SUM(OSRRefE21_0_0x),0)</f>
        <v>197.93</v>
      </c>
    </row>
    <row r="26" spans="1:17" s="42" customFormat="1" ht="15" hidden="1" customHeight="1" outlineLevel="1" x14ac:dyDescent="0.3">
      <c r="A26" s="34"/>
      <c r="B26" s="11" t="str">
        <f>CONCATENATE("          ","6114"," - ","STATE UNEMPLOYMENT INSURANCE")</f>
        <v xml:space="preserve">          6114 - STATE UNEMPLOYMENT INSURANCE</v>
      </c>
      <c r="C26" s="15"/>
      <c r="D26" s="3"/>
      <c r="E26" s="3"/>
      <c r="F26" s="3"/>
      <c r="G26" s="3"/>
      <c r="H26" s="3"/>
      <c r="I26" s="3"/>
      <c r="J26" s="3"/>
      <c r="K26" s="3">
        <v>5.2</v>
      </c>
      <c r="L26" s="3">
        <v>16.559999999999999</v>
      </c>
      <c r="M26" s="3">
        <v>13.01</v>
      </c>
      <c r="N26" s="3"/>
      <c r="O26" s="3"/>
      <c r="P26" s="10"/>
      <c r="Q26" s="3">
        <f>SUM(OSRRefD21_0_1x)+IFERROR(SUM(OSRRefE21_0_1x),0)</f>
        <v>34.769999999999996</v>
      </c>
    </row>
    <row r="27" spans="1:17" s="42" customFormat="1" ht="15" customHeight="1" collapsed="1" x14ac:dyDescent="0.3">
      <c r="A27" s="34"/>
      <c r="B27" s="15" t="str">
        <f>CONCATENATE("     ","*Payroll                                          ")</f>
        <v xml:space="preserve">     *Payroll                                          </v>
      </c>
      <c r="C27" s="15"/>
      <c r="D27" s="2">
        <f>SUM(OSRRefD21_1x_0)</f>
        <v>0</v>
      </c>
      <c r="E27" s="2">
        <f>SUM(OSRRefD21_1x_1)</f>
        <v>0</v>
      </c>
      <c r="F27" s="2">
        <f>SUM(OSRRefD21_1x_2)</f>
        <v>0</v>
      </c>
      <c r="G27" s="2">
        <f>SUM(OSRRefD21_1x_3)</f>
        <v>0</v>
      </c>
      <c r="H27" s="2">
        <f>SUM(OSRRefD21_1x_4)</f>
        <v>0</v>
      </c>
      <c r="I27" s="2">
        <f>SUM(OSRRefD21_1x_5)</f>
        <v>0</v>
      </c>
      <c r="J27" s="2">
        <f>SUM(OSRRefD21_1x_6)</f>
        <v>23</v>
      </c>
      <c r="K27" s="2">
        <f>SUM(OSRRefD21_1x_7)</f>
        <v>3138.25</v>
      </c>
      <c r="L27" s="2">
        <f>SUM(OSRRefD21_1x_8)</f>
        <v>6574.83</v>
      </c>
      <c r="M27" s="2">
        <f>SUM(OSRRefD21_1x_9)</f>
        <v>6210.2</v>
      </c>
      <c r="N27" s="2">
        <f>SUM(OSRRefE21_1x_0)</f>
        <v>0</v>
      </c>
      <c r="O27" s="2">
        <f>SUM(OSRRefE21_1x_1)</f>
        <v>0</v>
      </c>
      <c r="Q27" s="3">
        <f>SUM(OSRRefD20_1x)+IFERROR(SUM(OSRRefE20_1x),0)</f>
        <v>15946.279999999999</v>
      </c>
    </row>
    <row r="28" spans="1:17" s="42" customFormat="1" ht="15" hidden="1" customHeight="1" outlineLevel="1" x14ac:dyDescent="0.3">
      <c r="A28" s="34"/>
      <c r="B28" s="11" t="str">
        <f>CONCATENATE("          ","6007"," - ","STUDENT HOURLY")</f>
        <v xml:space="preserve">          6007 - STUDENT HOURLY</v>
      </c>
      <c r="C28" s="15"/>
      <c r="D28" s="3"/>
      <c r="E28" s="3"/>
      <c r="F28" s="3"/>
      <c r="G28" s="3"/>
      <c r="H28" s="3"/>
      <c r="I28" s="3"/>
      <c r="J28" s="3">
        <v>23</v>
      </c>
      <c r="K28" s="3">
        <v>2414.6999999999998</v>
      </c>
      <c r="L28" s="3">
        <v>4361.16</v>
      </c>
      <c r="M28" s="3">
        <v>3258.16</v>
      </c>
      <c r="N28" s="3"/>
      <c r="O28" s="3"/>
      <c r="P28" s="10"/>
      <c r="Q28" s="3">
        <f>SUM(OSRRefD21_1_0x)+IFERROR(SUM(OSRRefE21_1_0x),0)</f>
        <v>10057.02</v>
      </c>
    </row>
    <row r="29" spans="1:17" s="42" customFormat="1" ht="15" hidden="1" customHeight="1" outlineLevel="1" x14ac:dyDescent="0.3">
      <c r="A29" s="34"/>
      <c r="B29" s="11" t="str">
        <f>CONCATENATE("          ","6008"," - ","STUDENT HOURLY-FICA EXEMPT")</f>
        <v xml:space="preserve">          6008 - STUDENT HOURLY-FICA EXEMPT</v>
      </c>
      <c r="C29" s="15"/>
      <c r="D29" s="3"/>
      <c r="E29" s="3"/>
      <c r="F29" s="3"/>
      <c r="G29" s="3"/>
      <c r="H29" s="3"/>
      <c r="I29" s="3"/>
      <c r="J29" s="3"/>
      <c r="K29" s="3">
        <v>723.55</v>
      </c>
      <c r="L29" s="3">
        <v>2213.67</v>
      </c>
      <c r="M29" s="3">
        <v>2952.04</v>
      </c>
      <c r="N29" s="3"/>
      <c r="O29" s="3"/>
      <c r="P29" s="10"/>
      <c r="Q29" s="3">
        <f>SUM(OSRRefD21_1_1x)+IFERROR(SUM(OSRRefE21_1_1x),0)</f>
        <v>5889.26</v>
      </c>
    </row>
    <row r="30" spans="1:17" s="42" customFormat="1" ht="15" customHeight="1" collapsed="1" x14ac:dyDescent="0.3">
      <c r="A30" s="34"/>
      <c r="B30" s="15" t="str">
        <f>CONCATENATE("     ","Advertising/Promo                                 ")</f>
        <v xml:space="preserve">     Advertising/Promo                                 </v>
      </c>
      <c r="C30" s="15"/>
      <c r="D30" s="2">
        <f>SUM(OSRRefD21_2x_0)</f>
        <v>0</v>
      </c>
      <c r="E30" s="2">
        <f>SUM(OSRRefD21_2x_1)</f>
        <v>0</v>
      </c>
      <c r="F30" s="2">
        <f>SUM(OSRRefD21_2x_2)</f>
        <v>0</v>
      </c>
      <c r="G30" s="2">
        <f>SUM(OSRRefD21_2x_3)</f>
        <v>0</v>
      </c>
      <c r="H30" s="2">
        <f>SUM(OSRRefD21_2x_4)</f>
        <v>0</v>
      </c>
      <c r="I30" s="2">
        <f>SUM(OSRRefD21_2x_5)</f>
        <v>0</v>
      </c>
      <c r="J30" s="2">
        <f>SUM(OSRRefD21_2x_6)</f>
        <v>0</v>
      </c>
      <c r="K30" s="2">
        <f>SUM(OSRRefD21_2x_7)</f>
        <v>39.69</v>
      </c>
      <c r="L30" s="2">
        <f>SUM(OSRRefD21_2x_8)</f>
        <v>6.62</v>
      </c>
      <c r="M30" s="2">
        <f>SUM(OSRRefD21_2x_9)</f>
        <v>0</v>
      </c>
      <c r="N30" s="2">
        <f>SUM(OSRRefE21_2x_0)</f>
        <v>0</v>
      </c>
      <c r="O30" s="2">
        <f>SUM(OSRRefE21_2x_1)</f>
        <v>0</v>
      </c>
      <c r="Q30" s="3">
        <f>SUM(OSRRefD20_2x)+IFERROR(SUM(OSRRefE20_2x),0)</f>
        <v>46.309999999999995</v>
      </c>
    </row>
    <row r="31" spans="1:17" s="42" customFormat="1" ht="15" hidden="1" customHeight="1" outlineLevel="1" x14ac:dyDescent="0.3">
      <c r="A31" s="34"/>
      <c r="B31" s="11" t="str">
        <f>CONCATENATE("          ","6362"," - ","ADVERTISING EXPENSE")</f>
        <v xml:space="preserve">          6362 - ADVERTISING EXPENSE</v>
      </c>
      <c r="C31" s="15"/>
      <c r="D31" s="3"/>
      <c r="E31" s="3"/>
      <c r="F31" s="3"/>
      <c r="G31" s="3"/>
      <c r="H31" s="3"/>
      <c r="I31" s="3"/>
      <c r="J31" s="3"/>
      <c r="K31" s="3">
        <v>39.69</v>
      </c>
      <c r="L31" s="3">
        <v>6.62</v>
      </c>
      <c r="M31" s="3"/>
      <c r="N31" s="3"/>
      <c r="O31" s="3"/>
      <c r="P31" s="10"/>
      <c r="Q31" s="3">
        <f>SUM(OSRRefD21_2_0x)+IFERROR(SUM(OSRRefE21_2_0x),0)</f>
        <v>46.309999999999995</v>
      </c>
    </row>
    <row r="32" spans="1:17" s="42" customFormat="1" ht="15" customHeight="1" collapsed="1" x14ac:dyDescent="0.3">
      <c r="A32" s="34"/>
      <c r="B32" s="15" t="str">
        <f>CONCATENATE("     ","Bad Debts/Over/Short                              ")</f>
        <v xml:space="preserve">     Bad Debts/Over/Short                              </v>
      </c>
      <c r="C32" s="15"/>
      <c r="D32" s="2">
        <f>SUM(OSRRefD21_3x_0)</f>
        <v>0</v>
      </c>
      <c r="E32" s="2">
        <f>SUM(OSRRefD21_3x_1)</f>
        <v>0</v>
      </c>
      <c r="F32" s="2">
        <f>SUM(OSRRefD21_3x_2)</f>
        <v>0</v>
      </c>
      <c r="G32" s="2">
        <f>SUM(OSRRefD21_3x_3)</f>
        <v>0</v>
      </c>
      <c r="H32" s="2">
        <f>SUM(OSRRefD21_3x_4)</f>
        <v>0</v>
      </c>
      <c r="I32" s="2">
        <f>SUM(OSRRefD21_3x_5)</f>
        <v>0</v>
      </c>
      <c r="J32" s="2">
        <f>SUM(OSRRefD21_3x_6)</f>
        <v>0</v>
      </c>
      <c r="K32" s="2">
        <f>SUM(OSRRefD21_3x_7)</f>
        <v>-5.1100000000000003</v>
      </c>
      <c r="L32" s="2">
        <f>SUM(OSRRefD21_3x_8)</f>
        <v>2.13</v>
      </c>
      <c r="M32" s="2">
        <f>SUM(OSRRefD21_3x_9)</f>
        <v>0</v>
      </c>
      <c r="N32" s="2">
        <f>SUM(OSRRefE21_3x_0)</f>
        <v>0</v>
      </c>
      <c r="O32" s="2">
        <f>SUM(OSRRefE21_3x_1)</f>
        <v>0</v>
      </c>
      <c r="Q32" s="3">
        <f>SUM(OSRRefD20_3x)+IFERROR(SUM(OSRRefE20_3x),0)</f>
        <v>-2.9800000000000004</v>
      </c>
    </row>
    <row r="33" spans="1:17" s="42" customFormat="1" ht="15" hidden="1" customHeight="1" outlineLevel="1" x14ac:dyDescent="0.3">
      <c r="A33" s="34"/>
      <c r="B33" s="11" t="str">
        <f>CONCATENATE("          ","6272"," - ","CASH (OVER/SHORT)")</f>
        <v xml:space="preserve">          6272 - CASH (OVER/SHORT)</v>
      </c>
      <c r="C33" s="15"/>
      <c r="D33" s="3"/>
      <c r="E33" s="3"/>
      <c r="F33" s="3"/>
      <c r="G33" s="3"/>
      <c r="H33" s="3"/>
      <c r="I33" s="3"/>
      <c r="J33" s="3"/>
      <c r="K33" s="3">
        <v>-5.1100000000000003</v>
      </c>
      <c r="L33" s="3">
        <v>2.13</v>
      </c>
      <c r="M33" s="3"/>
      <c r="N33" s="3"/>
      <c r="O33" s="3"/>
      <c r="P33" s="10"/>
      <c r="Q33" s="3">
        <f>SUM(OSRRefD21_3_0x)+IFERROR(SUM(OSRRefE21_3_0x),0)</f>
        <v>-2.9800000000000004</v>
      </c>
    </row>
    <row r="34" spans="1:17" s="42" customFormat="1" ht="15" customHeight="1" collapsed="1" x14ac:dyDescent="0.3">
      <c r="A34" s="34"/>
      <c r="B34" s="15" t="str">
        <f>CONCATENATE("     ","Bank/card Fees                                    ")</f>
        <v xml:space="preserve">     Bank/card Fees                                    </v>
      </c>
      <c r="C34" s="15"/>
      <c r="D34" s="2">
        <f>SUM(OSRRefD21_4x_0)</f>
        <v>0</v>
      </c>
      <c r="E34" s="2">
        <f>SUM(OSRRefD21_4x_1)</f>
        <v>0</v>
      </c>
      <c r="F34" s="2">
        <f>SUM(OSRRefD21_4x_2)</f>
        <v>0</v>
      </c>
      <c r="G34" s="2">
        <f>SUM(OSRRefD21_4x_3)</f>
        <v>0</v>
      </c>
      <c r="H34" s="2">
        <f>SUM(OSRRefD21_4x_4)</f>
        <v>0</v>
      </c>
      <c r="I34" s="2">
        <f>SUM(OSRRefD21_4x_5)</f>
        <v>0</v>
      </c>
      <c r="J34" s="2">
        <f>SUM(OSRRefD21_4x_6)</f>
        <v>0.2</v>
      </c>
      <c r="K34" s="2">
        <f>SUM(OSRRefD21_4x_7)</f>
        <v>1154.5999999999999</v>
      </c>
      <c r="L34" s="2">
        <f>SUM(OSRRefD21_4x_8)</f>
        <v>1602.07</v>
      </c>
      <c r="M34" s="2">
        <f>SUM(OSRRefD21_4x_9)</f>
        <v>1477.54</v>
      </c>
      <c r="N34" s="2">
        <f>SUM(OSRRefE21_4x_0)</f>
        <v>0</v>
      </c>
      <c r="O34" s="2">
        <f>SUM(OSRRefE21_4x_1)</f>
        <v>0</v>
      </c>
      <c r="Q34" s="3">
        <f>SUM(OSRRefD20_4x)+IFERROR(SUM(OSRRefE20_4x),0)</f>
        <v>4234.41</v>
      </c>
    </row>
    <row r="35" spans="1:17" s="42" customFormat="1" ht="15" hidden="1" customHeight="1" outlineLevel="1" x14ac:dyDescent="0.3">
      <c r="A35" s="34"/>
      <c r="B35" s="11" t="str">
        <f>CONCATENATE("          ","6381"," - ","BANK/CREDIT CARD FEES")</f>
        <v xml:space="preserve">          6381 - BANK/CREDIT CARD FEES</v>
      </c>
      <c r="C35" s="15"/>
      <c r="D35" s="3"/>
      <c r="E35" s="3"/>
      <c r="F35" s="3"/>
      <c r="G35" s="3"/>
      <c r="H35" s="3"/>
      <c r="I35" s="3"/>
      <c r="J35" s="3">
        <v>0.2</v>
      </c>
      <c r="K35" s="3">
        <v>1154.5999999999999</v>
      </c>
      <c r="L35" s="3">
        <v>1602.07</v>
      </c>
      <c r="M35" s="3">
        <v>1477.54</v>
      </c>
      <c r="N35" s="3"/>
      <c r="O35" s="3"/>
      <c r="P35" s="10"/>
      <c r="Q35" s="3">
        <f>SUM(OSRRefD21_4_0x)+IFERROR(SUM(OSRRefE21_4_0x),0)</f>
        <v>4234.41</v>
      </c>
    </row>
    <row r="36" spans="1:17" s="42" customFormat="1" ht="15" customHeight="1" collapsed="1" x14ac:dyDescent="0.3">
      <c r="A36" s="34"/>
      <c r="B36" s="15" t="str">
        <f>CONCATENATE("     ","Depreciation                                      ")</f>
        <v xml:space="preserve">     Depreciation                                      </v>
      </c>
      <c r="C36" s="15"/>
      <c r="D36" s="2">
        <f>SUM(OSRRefD21_5x_0)</f>
        <v>588.94000000000005</v>
      </c>
      <c r="E36" s="2">
        <f>SUM(OSRRefD21_5x_1)</f>
        <v>588.94000000000005</v>
      </c>
      <c r="F36" s="2">
        <f>SUM(OSRRefD21_5x_2)</f>
        <v>588.94000000000005</v>
      </c>
      <c r="G36" s="2">
        <f>SUM(OSRRefD21_5x_3)</f>
        <v>588.94000000000005</v>
      </c>
      <c r="H36" s="2">
        <f>SUM(OSRRefD21_5x_4)</f>
        <v>588.94000000000005</v>
      </c>
      <c r="I36" s="2">
        <f>SUM(OSRRefD21_5x_5)</f>
        <v>588.94000000000005</v>
      </c>
      <c r="J36" s="2">
        <f>SUM(OSRRefD21_5x_6)</f>
        <v>588.94000000000005</v>
      </c>
      <c r="K36" s="2">
        <f>SUM(OSRRefD21_5x_7)</f>
        <v>588.94000000000005</v>
      </c>
      <c r="L36" s="2">
        <f>SUM(OSRRefD21_5x_8)</f>
        <v>588.94000000000005</v>
      </c>
      <c r="M36" s="2">
        <f>SUM(OSRRefD21_5x_9)</f>
        <v>588.94000000000005</v>
      </c>
      <c r="N36" s="2">
        <f>SUM(OSRRefE21_5x_0)</f>
        <v>588</v>
      </c>
      <c r="O36" s="2">
        <f>SUM(OSRRefE21_5x_1)</f>
        <v>588</v>
      </c>
      <c r="Q36" s="3">
        <f>SUM(OSRRefD20_5x)+IFERROR(SUM(OSRRefE20_5x),0)</f>
        <v>7065.4000000000015</v>
      </c>
    </row>
    <row r="37" spans="1:17" s="42" customFormat="1" ht="15" hidden="1" customHeight="1" outlineLevel="1" x14ac:dyDescent="0.3">
      <c r="A37" s="34"/>
      <c r="B37" s="11" t="str">
        <f>CONCATENATE("          ","6322"," - ","EQUIPMENT DEPRECIATION EXPENSE")</f>
        <v xml:space="preserve">          6322 - EQUIPMENT DEPRECIATION EXPENSE</v>
      </c>
      <c r="C37" s="15"/>
      <c r="D37" s="3">
        <v>588.94000000000005</v>
      </c>
      <c r="E37" s="3">
        <v>588.94000000000005</v>
      </c>
      <c r="F37" s="3">
        <v>588.94000000000005</v>
      </c>
      <c r="G37" s="3">
        <v>588.94000000000005</v>
      </c>
      <c r="H37" s="3">
        <v>588.94000000000005</v>
      </c>
      <c r="I37" s="3">
        <v>588.94000000000005</v>
      </c>
      <c r="J37" s="3">
        <v>588.94000000000005</v>
      </c>
      <c r="K37" s="3">
        <v>588.94000000000005</v>
      </c>
      <c r="L37" s="3">
        <v>588.94000000000005</v>
      </c>
      <c r="M37" s="3">
        <v>588.94000000000005</v>
      </c>
      <c r="N37" s="3">
        <v>588</v>
      </c>
      <c r="O37" s="3">
        <v>588</v>
      </c>
      <c r="P37" s="10"/>
      <c r="Q37" s="3">
        <f>SUM(OSRRefD21_5_0x)+IFERROR(SUM(OSRRefE21_5_0x),0)</f>
        <v>7065.4000000000015</v>
      </c>
    </row>
    <row r="38" spans="1:17" s="42" customFormat="1" ht="15" customHeight="1" collapsed="1" x14ac:dyDescent="0.3">
      <c r="A38" s="34"/>
      <c r="B38" s="15" t="str">
        <f>CONCATENATE("     ","Equipment Rental                                  ")</f>
        <v xml:space="preserve">     Equipment Rental                                  </v>
      </c>
      <c r="C38" s="15"/>
      <c r="D38" s="2">
        <f>SUM(OSRRefD21_6x_0)</f>
        <v>0</v>
      </c>
      <c r="E38" s="2">
        <f>SUM(OSRRefD21_6x_1)</f>
        <v>0</v>
      </c>
      <c r="F38" s="2">
        <f>SUM(OSRRefD21_6x_2)</f>
        <v>0</v>
      </c>
      <c r="G38" s="2">
        <f>SUM(OSRRefD21_6x_3)</f>
        <v>0</v>
      </c>
      <c r="H38" s="2">
        <f>SUM(OSRRefD21_6x_4)</f>
        <v>0</v>
      </c>
      <c r="I38" s="2">
        <f>SUM(OSRRefD21_6x_5)</f>
        <v>30</v>
      </c>
      <c r="J38" s="2">
        <f>SUM(OSRRefD21_6x_6)</f>
        <v>0</v>
      </c>
      <c r="K38" s="2">
        <f>SUM(OSRRefD21_6x_7)</f>
        <v>0</v>
      </c>
      <c r="L38" s="2">
        <f>SUM(OSRRefD21_6x_8)</f>
        <v>0</v>
      </c>
      <c r="M38" s="2">
        <f>SUM(OSRRefD21_6x_9)</f>
        <v>0</v>
      </c>
      <c r="N38" s="2">
        <f>SUM(OSRRefE21_6x_0)</f>
        <v>0</v>
      </c>
      <c r="O38" s="2">
        <f>SUM(OSRRefE21_6x_1)</f>
        <v>0</v>
      </c>
      <c r="Q38" s="3">
        <f>SUM(OSRRefD20_6x)+IFERROR(SUM(OSRRefE20_6x),0)</f>
        <v>30</v>
      </c>
    </row>
    <row r="39" spans="1:17" s="42" customFormat="1" ht="15" hidden="1" customHeight="1" outlineLevel="1" x14ac:dyDescent="0.3">
      <c r="A39" s="34"/>
      <c r="B39" s="11" t="str">
        <f>CONCATENATE("          ","6351"," - ","EQUIPMENT RENTAL")</f>
        <v xml:space="preserve">          6351 - EQUIPMENT RENTAL</v>
      </c>
      <c r="C39" s="15"/>
      <c r="D39" s="3"/>
      <c r="E39" s="3"/>
      <c r="F39" s="3"/>
      <c r="G39" s="3"/>
      <c r="H39" s="3"/>
      <c r="I39" s="3">
        <v>30</v>
      </c>
      <c r="J39" s="3"/>
      <c r="K39" s="3"/>
      <c r="L39" s="3"/>
      <c r="M39" s="3"/>
      <c r="N39" s="3"/>
      <c r="O39" s="3"/>
      <c r="P39" s="10"/>
      <c r="Q39" s="3">
        <f>SUM(OSRRefD21_6_0x)+IFERROR(SUM(OSRRefE21_6_0x),0)</f>
        <v>30</v>
      </c>
    </row>
    <row r="40" spans="1:17" s="42" customFormat="1" ht="15" customHeight="1" collapsed="1" x14ac:dyDescent="0.3">
      <c r="A40" s="34"/>
      <c r="B40" s="15" t="str">
        <f>CONCATENATE("     ","General                                           ")</f>
        <v xml:space="preserve">     General                                           </v>
      </c>
      <c r="C40" s="15"/>
      <c r="D40" s="2">
        <f>SUM(OSRRefD21_7x_0)</f>
        <v>0</v>
      </c>
      <c r="E40" s="2">
        <f>SUM(OSRRefD21_7x_1)</f>
        <v>0</v>
      </c>
      <c r="F40" s="2">
        <f>SUM(OSRRefD21_7x_2)</f>
        <v>0</v>
      </c>
      <c r="G40" s="2">
        <f>SUM(OSRRefD21_7x_3)</f>
        <v>0</v>
      </c>
      <c r="H40" s="2">
        <f>SUM(OSRRefD21_7x_4)</f>
        <v>435</v>
      </c>
      <c r="I40" s="2">
        <f>SUM(OSRRefD21_7x_5)</f>
        <v>0</v>
      </c>
      <c r="J40" s="2">
        <f>SUM(OSRRefD21_7x_6)</f>
        <v>0</v>
      </c>
      <c r="K40" s="2">
        <f>SUM(OSRRefD21_7x_7)</f>
        <v>411.65</v>
      </c>
      <c r="L40" s="2">
        <f>SUM(OSRRefD21_7x_8)</f>
        <v>0</v>
      </c>
      <c r="M40" s="2">
        <f>SUM(OSRRefD21_7x_9)</f>
        <v>0</v>
      </c>
      <c r="N40" s="2">
        <f>SUM(OSRRefE21_7x_0)</f>
        <v>0</v>
      </c>
      <c r="O40" s="2">
        <f>SUM(OSRRefE21_7x_1)</f>
        <v>0</v>
      </c>
      <c r="Q40" s="3">
        <f>SUM(OSRRefD20_7x)+IFERROR(SUM(OSRRefE20_7x),0)</f>
        <v>846.65</v>
      </c>
    </row>
    <row r="41" spans="1:17" s="42" customFormat="1" ht="15" hidden="1" customHeight="1" outlineLevel="1" x14ac:dyDescent="0.3">
      <c r="A41" s="34"/>
      <c r="B41" s="11" t="str">
        <f>CONCATENATE("          ","6279"," - ","GENERAL EXPENSE")</f>
        <v xml:space="preserve">          6279 - GENERAL EXPENSE</v>
      </c>
      <c r="C41" s="15"/>
      <c r="D41" s="3"/>
      <c r="E41" s="3"/>
      <c r="F41" s="3"/>
      <c r="G41" s="3"/>
      <c r="H41" s="3">
        <v>435</v>
      </c>
      <c r="I41" s="3"/>
      <c r="J41" s="3"/>
      <c r="K41" s="3">
        <v>411.65</v>
      </c>
      <c r="L41" s="3"/>
      <c r="M41" s="3"/>
      <c r="N41" s="3"/>
      <c r="O41" s="3"/>
      <c r="P41" s="10"/>
      <c r="Q41" s="3">
        <f>SUM(OSRRefD21_7_0x)+IFERROR(SUM(OSRRefE21_7_0x),0)</f>
        <v>846.65</v>
      </c>
    </row>
    <row r="42" spans="1:17" s="42" customFormat="1" ht="15" customHeight="1" collapsed="1" x14ac:dyDescent="0.3">
      <c r="A42" s="34"/>
      <c r="B42" s="15" t="str">
        <f>CONCATENATE("     ","Repair and Maintenance                            ")</f>
        <v xml:space="preserve">     Repair and Maintenance                            </v>
      </c>
      <c r="C42" s="15"/>
      <c r="D42" s="2">
        <f>SUM(OSRRefD21_8x_0)</f>
        <v>0</v>
      </c>
      <c r="E42" s="2">
        <f>SUM(OSRRefD21_8x_1)</f>
        <v>0</v>
      </c>
      <c r="F42" s="2">
        <f>SUM(OSRRefD21_8x_2)</f>
        <v>47.9</v>
      </c>
      <c r="G42" s="2">
        <f>SUM(OSRRefD21_8x_3)</f>
        <v>0</v>
      </c>
      <c r="H42" s="2">
        <f>SUM(OSRRefD21_8x_4)</f>
        <v>0</v>
      </c>
      <c r="I42" s="2">
        <f>SUM(OSRRefD21_8x_5)</f>
        <v>49.93</v>
      </c>
      <c r="J42" s="2">
        <f>SUM(OSRRefD21_8x_6)</f>
        <v>324.95</v>
      </c>
      <c r="K42" s="2">
        <f>SUM(OSRRefD21_8x_7)</f>
        <v>1168.8399999999999</v>
      </c>
      <c r="L42" s="2">
        <f>SUM(OSRRefD21_8x_8)</f>
        <v>428.55</v>
      </c>
      <c r="M42" s="2">
        <f>SUM(OSRRefD21_8x_9)</f>
        <v>0</v>
      </c>
      <c r="N42" s="2">
        <f>SUM(OSRRefE21_8x_0)</f>
        <v>0</v>
      </c>
      <c r="O42" s="2">
        <f>SUM(OSRRefE21_8x_1)</f>
        <v>0</v>
      </c>
      <c r="Q42" s="3">
        <f>SUM(OSRRefD20_8x)+IFERROR(SUM(OSRRefE20_8x),0)</f>
        <v>2020.1699999999998</v>
      </c>
    </row>
    <row r="43" spans="1:17" s="42" customFormat="1" ht="15" hidden="1" customHeight="1" outlineLevel="1" x14ac:dyDescent="0.3">
      <c r="A43" s="34"/>
      <c r="B43" s="11" t="str">
        <f>CONCATENATE("          ","6373"," - ","MAINTENANCE CONTRACTS")</f>
        <v xml:space="preserve">          6373 - MAINTENANCE CONTRACTS</v>
      </c>
      <c r="C43" s="15"/>
      <c r="D43" s="3"/>
      <c r="E43" s="3"/>
      <c r="F43" s="3">
        <v>47.9</v>
      </c>
      <c r="G43" s="3"/>
      <c r="H43" s="3"/>
      <c r="I43" s="3">
        <v>49.93</v>
      </c>
      <c r="J43" s="3"/>
      <c r="K43" s="3"/>
      <c r="L43" s="3">
        <v>49.93</v>
      </c>
      <c r="M43" s="3"/>
      <c r="N43" s="3"/>
      <c r="O43" s="3"/>
      <c r="P43" s="10"/>
      <c r="Q43" s="3">
        <f>SUM(OSRRefD21_8_0x)+IFERROR(SUM(OSRRefE21_8_0x),0)</f>
        <v>147.76</v>
      </c>
    </row>
    <row r="44" spans="1:17" s="42" customFormat="1" ht="15" hidden="1" customHeight="1" outlineLevel="1" x14ac:dyDescent="0.3">
      <c r="A44" s="34"/>
      <c r="B44" s="11" t="str">
        <f>CONCATENATE("          ","6375"," - ","OUTSIDE REPAIRS &amp; MAINTENANCE")</f>
        <v xml:space="preserve">          6375 - OUTSIDE REPAIRS &amp; MAINTENANCE</v>
      </c>
      <c r="C44" s="15"/>
      <c r="D44" s="3"/>
      <c r="E44" s="3"/>
      <c r="F44" s="3"/>
      <c r="G44" s="3"/>
      <c r="H44" s="3"/>
      <c r="I44" s="3"/>
      <c r="J44" s="3">
        <v>324.95</v>
      </c>
      <c r="K44" s="3">
        <v>1168.8399999999999</v>
      </c>
      <c r="L44" s="3">
        <v>378.62</v>
      </c>
      <c r="M44" s="3"/>
      <c r="N44" s="3"/>
      <c r="O44" s="3"/>
      <c r="P44" s="10"/>
      <c r="Q44" s="3">
        <f>SUM(OSRRefD21_8_1x)+IFERROR(SUM(OSRRefE21_8_1x),0)</f>
        <v>1872.4099999999999</v>
      </c>
    </row>
    <row r="45" spans="1:17" s="42" customFormat="1" ht="15" customHeight="1" collapsed="1" x14ac:dyDescent="0.3">
      <c r="A45" s="34"/>
      <c r="B45" s="15" t="str">
        <f>CONCATENATE("     ","Services                                          ")</f>
        <v xml:space="preserve">     Services                                          </v>
      </c>
      <c r="C45" s="15"/>
      <c r="D45" s="2">
        <f>SUM(OSRRefD21_9x_0)</f>
        <v>151.85</v>
      </c>
      <c r="E45" s="2">
        <f>SUM(OSRRefD21_9x_1)</f>
        <v>274.77</v>
      </c>
      <c r="F45" s="2">
        <f>SUM(OSRRefD21_9x_2)</f>
        <v>151.85</v>
      </c>
      <c r="G45" s="2">
        <f>SUM(OSRRefD21_9x_3)</f>
        <v>151.85</v>
      </c>
      <c r="H45" s="2">
        <f>SUM(OSRRefD21_9x_4)</f>
        <v>151.85</v>
      </c>
      <c r="I45" s="2">
        <f>SUM(OSRRefD21_9x_5)</f>
        <v>151.85</v>
      </c>
      <c r="J45" s="2">
        <f>SUM(OSRRefD21_9x_6)</f>
        <v>151.85</v>
      </c>
      <c r="K45" s="2">
        <f>SUM(OSRRefD21_9x_7)</f>
        <v>274.77</v>
      </c>
      <c r="L45" s="2">
        <f>SUM(OSRRefD21_9x_8)</f>
        <v>409.85</v>
      </c>
      <c r="M45" s="2">
        <f>SUM(OSRRefD21_9x_9)</f>
        <v>280.85000000000002</v>
      </c>
      <c r="N45" s="2">
        <f>SUM(OSRRefE21_9x_0)</f>
        <v>0</v>
      </c>
      <c r="O45" s="2">
        <f>SUM(OSRRefE21_9x_1)</f>
        <v>0</v>
      </c>
      <c r="Q45" s="3">
        <f>SUM(OSRRefD20_9x)+IFERROR(SUM(OSRRefE20_9x),0)</f>
        <v>2151.3399999999997</v>
      </c>
    </row>
    <row r="46" spans="1:17" s="42" customFormat="1" ht="15" hidden="1" customHeight="1" outlineLevel="1" x14ac:dyDescent="0.3">
      <c r="A46" s="34"/>
      <c r="B46" s="11" t="str">
        <f>CONCATENATE("          ","6282"," - ","JANITORIAL/EXTERMINATOR EXPENS")</f>
        <v xml:space="preserve">          6282 - JANITORIAL/EXTERMINATOR EXPENS</v>
      </c>
      <c r="C46" s="15"/>
      <c r="D46" s="3">
        <v>151.85</v>
      </c>
      <c r="E46" s="3">
        <v>151.85</v>
      </c>
      <c r="F46" s="3">
        <v>151.85</v>
      </c>
      <c r="G46" s="3">
        <v>151.85</v>
      </c>
      <c r="H46" s="3">
        <v>151.85</v>
      </c>
      <c r="I46" s="3">
        <v>151.85</v>
      </c>
      <c r="J46" s="3">
        <v>151.85</v>
      </c>
      <c r="K46" s="3">
        <v>151.85</v>
      </c>
      <c r="L46" s="3">
        <v>409.85</v>
      </c>
      <c r="M46" s="3">
        <v>280.85000000000002</v>
      </c>
      <c r="N46" s="3"/>
      <c r="O46" s="3"/>
      <c r="P46" s="10"/>
      <c r="Q46" s="3">
        <f>SUM(OSRRefD21_9_0x)+IFERROR(SUM(OSRRefE21_9_0x),0)</f>
        <v>1905.5</v>
      </c>
    </row>
    <row r="47" spans="1:17" s="42" customFormat="1" ht="15" hidden="1" customHeight="1" outlineLevel="1" x14ac:dyDescent="0.3">
      <c r="A47" s="34"/>
      <c r="B47" s="11" t="str">
        <f>CONCATENATE("          ","6285"," - ","JANITORIAL SERVICES")</f>
        <v xml:space="preserve">          6285 - JANITORIAL SERVICES</v>
      </c>
      <c r="C47" s="15"/>
      <c r="D47" s="3"/>
      <c r="E47" s="3">
        <v>122.92</v>
      </c>
      <c r="F47" s="3"/>
      <c r="G47" s="3"/>
      <c r="H47" s="3"/>
      <c r="I47" s="3"/>
      <c r="J47" s="3"/>
      <c r="K47" s="3">
        <v>122.92</v>
      </c>
      <c r="L47" s="3"/>
      <c r="M47" s="3"/>
      <c r="N47" s="3"/>
      <c r="O47" s="3"/>
      <c r="P47" s="10"/>
      <c r="Q47" s="3">
        <f>SUM(OSRRefD21_9_1x)+IFERROR(SUM(OSRRefE21_9_1x),0)</f>
        <v>245.84</v>
      </c>
    </row>
    <row r="48" spans="1:17" s="42" customFormat="1" ht="15" customHeight="1" collapsed="1" x14ac:dyDescent="0.3">
      <c r="A48" s="34"/>
      <c r="B48" s="15" t="str">
        <f>CONCATENATE("     ","Supplies                                          ")</f>
        <v xml:space="preserve">     Supplies                                          </v>
      </c>
      <c r="C48" s="15"/>
      <c r="D48" s="2">
        <f>SUM(OSRRefD21_10x_0)</f>
        <v>0</v>
      </c>
      <c r="E48" s="2">
        <f>SUM(OSRRefD21_10x_1)</f>
        <v>0</v>
      </c>
      <c r="F48" s="2">
        <f>SUM(OSRRefD21_10x_2)</f>
        <v>0</v>
      </c>
      <c r="G48" s="2">
        <f>SUM(OSRRefD21_10x_3)</f>
        <v>0</v>
      </c>
      <c r="H48" s="2">
        <f>SUM(OSRRefD21_10x_4)</f>
        <v>0</v>
      </c>
      <c r="I48" s="2">
        <f>SUM(OSRRefD21_10x_5)</f>
        <v>2.19</v>
      </c>
      <c r="J48" s="2">
        <f>SUM(OSRRefD21_10x_6)</f>
        <v>60</v>
      </c>
      <c r="K48" s="2">
        <f>SUM(OSRRefD21_10x_7)</f>
        <v>146.28</v>
      </c>
      <c r="L48" s="2">
        <f>SUM(OSRRefD21_10x_8)</f>
        <v>186.45</v>
      </c>
      <c r="M48" s="2">
        <f>SUM(OSRRefD21_10x_9)</f>
        <v>-273.33</v>
      </c>
      <c r="N48" s="2">
        <f>SUM(OSRRefE21_10x_0)</f>
        <v>0</v>
      </c>
      <c r="O48" s="2">
        <f>SUM(OSRRefE21_10x_1)</f>
        <v>0</v>
      </c>
      <c r="Q48" s="3">
        <f>SUM(OSRRefD20_10x)+IFERROR(SUM(OSRRefE20_10x),0)</f>
        <v>121.58999999999997</v>
      </c>
    </row>
    <row r="49" spans="1:17" s="42" customFormat="1" ht="15" hidden="1" customHeight="1" outlineLevel="1" x14ac:dyDescent="0.3">
      <c r="A49" s="34"/>
      <c r="B49" s="11" t="str">
        <f>CONCATENATE("          ","6241"," - ","OFFICE EXPENSE")</f>
        <v xml:space="preserve">          6241 - OFFICE EXPENSE</v>
      </c>
      <c r="C49" s="15"/>
      <c r="D49" s="3"/>
      <c r="E49" s="3"/>
      <c r="F49" s="3"/>
      <c r="G49" s="3"/>
      <c r="H49" s="3"/>
      <c r="I49" s="3">
        <v>2.19</v>
      </c>
      <c r="J49" s="3"/>
      <c r="K49" s="3">
        <v>8.82</v>
      </c>
      <c r="L49" s="3">
        <v>17.63</v>
      </c>
      <c r="M49" s="3"/>
      <c r="N49" s="3"/>
      <c r="O49" s="3"/>
      <c r="P49" s="10"/>
      <c r="Q49" s="3">
        <f>SUM(OSRRefD21_10_0x)+IFERROR(SUM(OSRRefE21_10_0x),0)</f>
        <v>28.64</v>
      </c>
    </row>
    <row r="50" spans="1:17" s="42" customFormat="1" ht="15" hidden="1" customHeight="1" outlineLevel="1" x14ac:dyDescent="0.3">
      <c r="A50" s="34"/>
      <c r="B50" s="11" t="str">
        <f>CONCATENATE("          ","6247"," - ","STORE SUPPLIES")</f>
        <v xml:space="preserve">          6247 - STORE SUPPLIES</v>
      </c>
      <c r="C50" s="15"/>
      <c r="D50" s="3"/>
      <c r="E50" s="3"/>
      <c r="F50" s="3"/>
      <c r="G50" s="3"/>
      <c r="H50" s="3"/>
      <c r="I50" s="3"/>
      <c r="J50" s="3">
        <v>60</v>
      </c>
      <c r="K50" s="3">
        <v>137.46</v>
      </c>
      <c r="L50" s="3">
        <v>168.82</v>
      </c>
      <c r="M50" s="3">
        <v>-273.33</v>
      </c>
      <c r="N50" s="3"/>
      <c r="O50" s="3"/>
      <c r="P50" s="10"/>
      <c r="Q50" s="3">
        <f>SUM(OSRRefD21_10_1x)+IFERROR(SUM(OSRRefE21_10_1x),0)</f>
        <v>92.949999999999989</v>
      </c>
    </row>
    <row r="51" spans="1:17" s="42" customFormat="1" ht="15" customHeight="1" collapsed="1" x14ac:dyDescent="0.3">
      <c r="A51" s="34"/>
      <c r="B51" s="15" t="str">
        <f>CONCATENATE("     ","Telephone/Data Lines                              ")</f>
        <v xml:space="preserve">     Telephone/Data Lines                              </v>
      </c>
      <c r="C51" s="15"/>
      <c r="D51" s="2">
        <f>SUM(OSRRefD21_11x_0)</f>
        <v>30</v>
      </c>
      <c r="E51" s="2">
        <f>SUM(OSRRefD21_11x_1)</f>
        <v>30</v>
      </c>
      <c r="F51" s="2">
        <f>SUM(OSRRefD21_11x_2)</f>
        <v>30</v>
      </c>
      <c r="G51" s="2">
        <f>SUM(OSRRefD21_11x_3)</f>
        <v>30</v>
      </c>
      <c r="H51" s="2">
        <f>SUM(OSRRefD21_11x_4)</f>
        <v>30</v>
      </c>
      <c r="I51" s="2">
        <f>SUM(OSRRefD21_11x_5)</f>
        <v>30</v>
      </c>
      <c r="J51" s="2">
        <f>SUM(OSRRefD21_11x_6)</f>
        <v>30</v>
      </c>
      <c r="K51" s="2">
        <f>SUM(OSRRefD21_11x_7)</f>
        <v>30</v>
      </c>
      <c r="L51" s="2">
        <f>SUM(OSRRefD21_11x_8)</f>
        <v>30</v>
      </c>
      <c r="M51" s="2">
        <f>SUM(OSRRefD21_11x_9)</f>
        <v>30</v>
      </c>
      <c r="N51" s="2">
        <f>SUM(OSRRefE21_11x_0)</f>
        <v>0</v>
      </c>
      <c r="O51" s="2">
        <f>SUM(OSRRefE21_11x_1)</f>
        <v>0</v>
      </c>
      <c r="Q51" s="3">
        <f>SUM(OSRRefD20_11x)+IFERROR(SUM(OSRRefE20_11x),0)</f>
        <v>300</v>
      </c>
    </row>
    <row r="52" spans="1:17" s="42" customFormat="1" ht="15" hidden="1" customHeight="1" outlineLevel="1" x14ac:dyDescent="0.3">
      <c r="A52" s="34"/>
      <c r="B52" s="11" t="str">
        <f>CONCATENATE("          ","6309"," - ","TELEPHONE")</f>
        <v xml:space="preserve">          6309 - TELEPHONE</v>
      </c>
      <c r="C52" s="15"/>
      <c r="D52" s="3">
        <v>30</v>
      </c>
      <c r="E52" s="3">
        <v>30</v>
      </c>
      <c r="F52" s="3">
        <v>30</v>
      </c>
      <c r="G52" s="3">
        <v>30</v>
      </c>
      <c r="H52" s="3">
        <v>30</v>
      </c>
      <c r="I52" s="3">
        <v>30</v>
      </c>
      <c r="J52" s="3">
        <v>30</v>
      </c>
      <c r="K52" s="3">
        <v>30</v>
      </c>
      <c r="L52" s="3">
        <v>30</v>
      </c>
      <c r="M52" s="3">
        <v>30</v>
      </c>
      <c r="N52" s="3"/>
      <c r="O52" s="3"/>
      <c r="P52" s="10"/>
      <c r="Q52" s="3">
        <f>SUM(OSRRefD21_11_0x)+IFERROR(SUM(OSRRefE21_11_0x),0)</f>
        <v>300</v>
      </c>
    </row>
    <row r="53" spans="1:17" s="42" customFormat="1" ht="15" customHeight="1" collapsed="1" x14ac:dyDescent="0.3">
      <c r="A53" s="34"/>
      <c r="B53" s="15" t="str">
        <f>CONCATENATE("     ","Training                                          ")</f>
        <v xml:space="preserve">     Training                                          </v>
      </c>
      <c r="C53" s="15"/>
      <c r="D53" s="2">
        <f>SUM(OSRRefD21_12x_0)</f>
        <v>0</v>
      </c>
      <c r="E53" s="2">
        <f>SUM(OSRRefD21_12x_1)</f>
        <v>0</v>
      </c>
      <c r="F53" s="2">
        <f>SUM(OSRRefD21_12x_2)</f>
        <v>0</v>
      </c>
      <c r="G53" s="2">
        <f>SUM(OSRRefD21_12x_3)</f>
        <v>0</v>
      </c>
      <c r="H53" s="2">
        <f>SUM(OSRRefD21_12x_4)</f>
        <v>0</v>
      </c>
      <c r="I53" s="2">
        <f>SUM(OSRRefD21_12x_5)</f>
        <v>0</v>
      </c>
      <c r="J53" s="2">
        <f>SUM(OSRRefD21_12x_6)</f>
        <v>0</v>
      </c>
      <c r="K53" s="2">
        <f>SUM(OSRRefD21_12x_7)</f>
        <v>120</v>
      </c>
      <c r="L53" s="2">
        <f>SUM(OSRRefD21_12x_8)</f>
        <v>0</v>
      </c>
      <c r="M53" s="2">
        <f>SUM(OSRRefD21_12x_9)</f>
        <v>0</v>
      </c>
      <c r="N53" s="2">
        <f>SUM(OSRRefE21_12x_0)</f>
        <v>0</v>
      </c>
      <c r="O53" s="2">
        <f>SUM(OSRRefE21_12x_1)</f>
        <v>0</v>
      </c>
      <c r="Q53" s="3">
        <f>SUM(OSRRefD20_12x)+IFERROR(SUM(OSRRefE20_12x),0)</f>
        <v>120</v>
      </c>
    </row>
    <row r="54" spans="1:17" s="42" customFormat="1" ht="15" hidden="1" customHeight="1" outlineLevel="1" x14ac:dyDescent="0.3">
      <c r="A54" s="34"/>
      <c r="B54" s="11" t="str">
        <f>CONCATENATE("          ","6376"," - ","TRAINING")</f>
        <v xml:space="preserve">          6376 - TRAINING</v>
      </c>
      <c r="C54" s="15"/>
      <c r="D54" s="3"/>
      <c r="E54" s="3"/>
      <c r="F54" s="3"/>
      <c r="G54" s="3"/>
      <c r="H54" s="3"/>
      <c r="I54" s="3"/>
      <c r="J54" s="3"/>
      <c r="K54" s="3">
        <v>120</v>
      </c>
      <c r="L54" s="3"/>
      <c r="M54" s="3"/>
      <c r="N54" s="3"/>
      <c r="O54" s="3"/>
      <c r="P54" s="10"/>
      <c r="Q54" s="3">
        <f>SUM(OSRRefD21_12_0x)+IFERROR(SUM(OSRRefE21_12_0x),0)</f>
        <v>120</v>
      </c>
    </row>
    <row r="55" spans="1:17" s="40" customFormat="1" ht="15" customHeight="1" x14ac:dyDescent="0.3">
      <c r="A55" s="22"/>
      <c r="B55" s="22"/>
      <c r="C55" s="2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Q55" s="2"/>
    </row>
    <row r="56" spans="1:17" s="39" customFormat="1" ht="15" customHeight="1" x14ac:dyDescent="0.3">
      <c r="A56" s="24"/>
      <c r="B56" s="17" t="s">
        <v>287</v>
      </c>
      <c r="C56" s="23"/>
      <c r="D56" s="4">
        <f>0</f>
        <v>0</v>
      </c>
      <c r="E56" s="4">
        <f>0</f>
        <v>0</v>
      </c>
      <c r="F56" s="4">
        <f>0</f>
        <v>0</v>
      </c>
      <c r="G56" s="4">
        <f>0</f>
        <v>0</v>
      </c>
      <c r="H56" s="4">
        <f>0</f>
        <v>0</v>
      </c>
      <c r="I56" s="4">
        <f>0</f>
        <v>0</v>
      </c>
      <c r="J56" s="4">
        <f>0</f>
        <v>0</v>
      </c>
      <c r="K56" s="4">
        <f>0</f>
        <v>0</v>
      </c>
      <c r="L56" s="4">
        <f>0</f>
        <v>0</v>
      </c>
      <c r="M56" s="4">
        <f>0</f>
        <v>0</v>
      </c>
      <c r="N56" s="4"/>
      <c r="O56" s="4"/>
      <c r="Q56" s="3">
        <f>SUM(OSRRefD23_0x)+IFERROR(SUM(OSRRefE23_0x),0)</f>
        <v>0</v>
      </c>
    </row>
    <row r="57" spans="1:17" ht="15" customHeight="1" x14ac:dyDescent="0.3">
      <c r="A57" s="6"/>
      <c r="B57" s="7"/>
      <c r="C57" s="7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Q57" s="4"/>
    </row>
    <row r="58" spans="1:17" s="37" customFormat="1" ht="15" customHeight="1" x14ac:dyDescent="0.3">
      <c r="A58" s="7"/>
      <c r="B58" s="18" t="s">
        <v>288</v>
      </c>
      <c r="C58" s="18"/>
      <c r="D58" s="9">
        <f t="shared" ref="D58:O58" si="2">IFERROR(+D20-D23+D56,0)</f>
        <v>-770.79000000000008</v>
      </c>
      <c r="E58" s="9">
        <f t="shared" si="2"/>
        <v>-893.71</v>
      </c>
      <c r="F58" s="9">
        <f t="shared" si="2"/>
        <v>-818.69</v>
      </c>
      <c r="G58" s="9">
        <f t="shared" si="2"/>
        <v>-770.79000000000008</v>
      </c>
      <c r="H58" s="9">
        <f t="shared" si="2"/>
        <v>-1205.79</v>
      </c>
      <c r="I58" s="9">
        <f t="shared" si="2"/>
        <v>-852.91000000000008</v>
      </c>
      <c r="J58" s="9">
        <f t="shared" si="2"/>
        <v>-4783.3500000000004</v>
      </c>
      <c r="K58" s="9">
        <f t="shared" si="2"/>
        <v>4515.21</v>
      </c>
      <c r="L58" s="9">
        <f t="shared" si="2"/>
        <v>9416.7899999999991</v>
      </c>
      <c r="M58" s="9">
        <f t="shared" si="2"/>
        <v>9765.6899999999987</v>
      </c>
      <c r="N58" s="9">
        <f t="shared" si="2"/>
        <v>-588</v>
      </c>
      <c r="O58" s="9">
        <f t="shared" si="2"/>
        <v>-588</v>
      </c>
      <c r="Q58" s="9">
        <f>IFERROR(+Q20-Q23+Q56,0)</f>
        <v>12425.660000000003</v>
      </c>
    </row>
    <row r="59" spans="1:17" s="38" customFormat="1" ht="15" customHeight="1" x14ac:dyDescent="0.3">
      <c r="B59" s="17"/>
      <c r="C59" s="17"/>
      <c r="D59" s="5">
        <f t="shared" ref="D59:O59" si="3">IFERROR(D58/D10,0)</f>
        <v>0</v>
      </c>
      <c r="E59" s="5">
        <f t="shared" si="3"/>
        <v>0</v>
      </c>
      <c r="F59" s="5">
        <f t="shared" si="3"/>
        <v>0</v>
      </c>
      <c r="G59" s="5">
        <f t="shared" si="3"/>
        <v>0</v>
      </c>
      <c r="H59" s="5">
        <f t="shared" si="3"/>
        <v>0</v>
      </c>
      <c r="I59" s="5">
        <f t="shared" si="3"/>
        <v>0</v>
      </c>
      <c r="J59" s="5">
        <f t="shared" si="3"/>
        <v>0</v>
      </c>
      <c r="K59" s="5">
        <f t="shared" si="3"/>
        <v>0.20473790912236137</v>
      </c>
      <c r="L59" s="5">
        <f t="shared" si="3"/>
        <v>0.30551218961449517</v>
      </c>
      <c r="M59" s="5">
        <f t="shared" si="3"/>
        <v>0.32970876264469523</v>
      </c>
      <c r="N59" s="5">
        <f t="shared" si="3"/>
        <v>0</v>
      </c>
      <c r="O59" s="5">
        <f t="shared" si="3"/>
        <v>0</v>
      </c>
      <c r="P59" s="19"/>
      <c r="Q59" s="5">
        <f>IFERROR(Q58/Q10,0)</f>
        <v>0.15062189294449374</v>
      </c>
    </row>
    <row r="60" spans="1:17" ht="15" customHeight="1" x14ac:dyDescent="0.3">
      <c r="A60" s="6"/>
      <c r="B60" s="7"/>
      <c r="C60" s="6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Q60" s="4"/>
    </row>
    <row r="61" spans="1:17" s="37" customFormat="1" ht="15" customHeight="1" x14ac:dyDescent="0.3">
      <c r="A61" s="26"/>
      <c r="B61" s="7" t="s">
        <v>289</v>
      </c>
      <c r="C61" s="7"/>
      <c r="D61" s="4"/>
      <c r="E61" s="4"/>
      <c r="F61" s="4"/>
      <c r="G61" s="4"/>
      <c r="H61" s="4"/>
      <c r="I61" s="4"/>
      <c r="J61" s="4"/>
      <c r="K61" s="4">
        <v>2752.79</v>
      </c>
      <c r="L61" s="4">
        <v>3557.9</v>
      </c>
      <c r="M61" s="4">
        <v>3034.74</v>
      </c>
      <c r="N61" s="4"/>
      <c r="O61" s="4"/>
      <c r="Q61" s="3">
        <f>SUM(OSRRefD28_0x)+IFERROR(SUM(OSRRefE28_0x),0)</f>
        <v>9345.43</v>
      </c>
    </row>
    <row r="62" spans="1:17" ht="15" customHeight="1" x14ac:dyDescent="0.3">
      <c r="A62" s="6"/>
      <c r="B62" s="7"/>
      <c r="C62" s="7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Q62" s="4"/>
    </row>
    <row r="63" spans="1:17" s="37" customFormat="1" ht="15.75" customHeight="1" x14ac:dyDescent="0.3">
      <c r="A63" s="7"/>
      <c r="B63" s="18" t="s">
        <v>290</v>
      </c>
      <c r="C63" s="18"/>
      <c r="D63" s="8">
        <f t="shared" ref="D63:O63" si="4">IFERROR(+D58-D61,0)</f>
        <v>-770.79000000000008</v>
      </c>
      <c r="E63" s="8">
        <f t="shared" si="4"/>
        <v>-893.71</v>
      </c>
      <c r="F63" s="8">
        <f t="shared" si="4"/>
        <v>-818.69</v>
      </c>
      <c r="G63" s="8">
        <f t="shared" si="4"/>
        <v>-770.79000000000008</v>
      </c>
      <c r="H63" s="8">
        <f t="shared" si="4"/>
        <v>-1205.79</v>
      </c>
      <c r="I63" s="8">
        <f t="shared" si="4"/>
        <v>-852.91000000000008</v>
      </c>
      <c r="J63" s="8">
        <f t="shared" si="4"/>
        <v>-4783.3500000000004</v>
      </c>
      <c r="K63" s="8">
        <f t="shared" si="4"/>
        <v>1762.42</v>
      </c>
      <c r="L63" s="8">
        <f t="shared" si="4"/>
        <v>5858.8899999999994</v>
      </c>
      <c r="M63" s="8">
        <f t="shared" si="4"/>
        <v>6730.9499999999989</v>
      </c>
      <c r="N63" s="8">
        <f t="shared" si="4"/>
        <v>-588</v>
      </c>
      <c r="O63" s="8">
        <f t="shared" si="4"/>
        <v>-588</v>
      </c>
      <c r="Q63" s="8">
        <f>IFERROR(+Q58-Q61,0)</f>
        <v>3080.2300000000032</v>
      </c>
    </row>
    <row r="64" spans="1:17" ht="15.75" customHeight="1" x14ac:dyDescent="0.3">
      <c r="A64" s="6"/>
      <c r="B64" s="6"/>
      <c r="C64" s="6"/>
      <c r="D64" s="5">
        <f t="shared" ref="D64:O64" si="5">IFERROR(D63/D10,0)</f>
        <v>0</v>
      </c>
      <c r="E64" s="5">
        <f t="shared" si="5"/>
        <v>0</v>
      </c>
      <c r="F64" s="5">
        <f t="shared" si="5"/>
        <v>0</v>
      </c>
      <c r="G64" s="5">
        <f t="shared" si="5"/>
        <v>0</v>
      </c>
      <c r="H64" s="5">
        <f t="shared" si="5"/>
        <v>0</v>
      </c>
      <c r="I64" s="5">
        <f t="shared" si="5"/>
        <v>0</v>
      </c>
      <c r="J64" s="5">
        <f t="shared" si="5"/>
        <v>0</v>
      </c>
      <c r="K64" s="5">
        <f t="shared" si="5"/>
        <v>7.991526103889568E-2</v>
      </c>
      <c r="L64" s="5">
        <f t="shared" si="5"/>
        <v>0.19008200380495577</v>
      </c>
      <c r="M64" s="5">
        <f t="shared" si="5"/>
        <v>0.22725001468644934</v>
      </c>
      <c r="N64" s="5">
        <f t="shared" si="5"/>
        <v>0</v>
      </c>
      <c r="O64" s="5">
        <f t="shared" si="5"/>
        <v>0</v>
      </c>
      <c r="P64" s="19"/>
      <c r="Q64" s="5">
        <f>IFERROR(Q63/Q10,0)</f>
        <v>3.7338062791386399E-2</v>
      </c>
    </row>
    <row r="65" spans="1:17" ht="15" customHeight="1" x14ac:dyDescent="0.3">
      <c r="A65" s="6"/>
      <c r="B65" s="6"/>
      <c r="C65" s="6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Q65" s="4"/>
    </row>
    <row r="66" spans="1:17" ht="15" customHeight="1" x14ac:dyDescent="0.3">
      <c r="A66" s="6"/>
      <c r="B66" s="6"/>
      <c r="C66" s="6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Q66" s="4"/>
    </row>
    <row r="67" spans="1:17" s="37" customFormat="1" ht="15.75" customHeight="1" x14ac:dyDescent="0.3">
      <c r="A67" s="7"/>
      <c r="B67" s="18" t="s">
        <v>293</v>
      </c>
      <c r="C67" s="18"/>
      <c r="D67" s="8">
        <f t="shared" ref="D67:O67" si="6">IFERROR(SUM(D63:D66),0)</f>
        <v>-770.79000000000008</v>
      </c>
      <c r="E67" s="8">
        <f t="shared" si="6"/>
        <v>-893.71</v>
      </c>
      <c r="F67" s="8">
        <f t="shared" si="6"/>
        <v>-818.69</v>
      </c>
      <c r="G67" s="8">
        <f t="shared" si="6"/>
        <v>-770.79000000000008</v>
      </c>
      <c r="H67" s="8">
        <f t="shared" si="6"/>
        <v>-1205.79</v>
      </c>
      <c r="I67" s="8">
        <f t="shared" si="6"/>
        <v>-852.91000000000008</v>
      </c>
      <c r="J67" s="8">
        <f t="shared" si="6"/>
        <v>-4783.3500000000004</v>
      </c>
      <c r="K67" s="8">
        <f t="shared" si="6"/>
        <v>1762.499915261039</v>
      </c>
      <c r="L67" s="8">
        <f t="shared" si="6"/>
        <v>5859.0800820038048</v>
      </c>
      <c r="M67" s="8">
        <f t="shared" si="6"/>
        <v>6731.1772500146853</v>
      </c>
      <c r="N67" s="8">
        <f t="shared" si="6"/>
        <v>-588</v>
      </c>
      <c r="O67" s="8">
        <f t="shared" si="6"/>
        <v>-588</v>
      </c>
      <c r="Q67" s="8">
        <f>IFERROR(SUM(Q63:Q66),0)</f>
        <v>3080.2673380627948</v>
      </c>
    </row>
    <row r="68" spans="1:17" ht="15.75" customHeight="1" x14ac:dyDescent="0.3">
      <c r="A68" s="6"/>
      <c r="C68" s="6"/>
      <c r="D68" s="5">
        <f t="shared" ref="D68:O68" si="7">IFERROR(D67/D10,0)</f>
        <v>0</v>
      </c>
      <c r="E68" s="5">
        <f t="shared" si="7"/>
        <v>0</v>
      </c>
      <c r="F68" s="5">
        <f t="shared" si="7"/>
        <v>0</v>
      </c>
      <c r="G68" s="5">
        <f t="shared" si="7"/>
        <v>0</v>
      </c>
      <c r="H68" s="5">
        <f t="shared" si="7"/>
        <v>0</v>
      </c>
      <c r="I68" s="5">
        <f t="shared" si="7"/>
        <v>0</v>
      </c>
      <c r="J68" s="5">
        <f t="shared" si="7"/>
        <v>0</v>
      </c>
      <c r="K68" s="5">
        <f t="shared" si="7"/>
        <v>7.9918884720507843E-2</v>
      </c>
      <c r="L68" s="5">
        <f t="shared" si="7"/>
        <v>0.19008817070144479</v>
      </c>
      <c r="M68" s="5">
        <f t="shared" si="7"/>
        <v>0.2272576870906679</v>
      </c>
      <c r="N68" s="5">
        <f t="shared" si="7"/>
        <v>0</v>
      </c>
      <c r="O68" s="5">
        <f t="shared" si="7"/>
        <v>0</v>
      </c>
      <c r="P68" s="19"/>
      <c r="Q68" s="5">
        <f>IFERROR(Q67/Q10,0)</f>
        <v>3.7338515397501208E-2</v>
      </c>
    </row>
    <row r="69" spans="1:17" ht="15" customHeight="1" x14ac:dyDescent="0.3">
      <c r="A69" s="6"/>
      <c r="B69" s="33">
        <v>44694.892891863426</v>
      </c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Q69" s="14"/>
    </row>
    <row r="70" spans="1:17" ht="15" customHeight="1" x14ac:dyDescent="0.3">
      <c r="A70" s="6"/>
      <c r="B70" s="31" t="s">
        <v>294</v>
      </c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Q70" s="14"/>
    </row>
    <row r="71" spans="1:17" ht="15" customHeight="1" x14ac:dyDescent="0.3">
      <c r="A71" s="6"/>
      <c r="B71" s="27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Q71" s="14"/>
    </row>
    <row r="72" spans="1:17" ht="15" customHeight="1" x14ac:dyDescent="0.3"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Q72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92564-8F9C-13CF-22C8-74286334880E}">
  <sheetPr>
    <tabColor rgb="FF92D050"/>
    <outlinePr summaryBelow="0" summaryRight="0"/>
    <pageSetUpPr fitToPage="1"/>
  </sheetPr>
  <dimension ref="A2:R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","313"," - ","Convenience Store")</f>
        <v>Department 313 - Convenience Store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9">
        <f t="shared" ref="D14:O14" si="2">IFERROR(+D10-D12,0)</f>
        <v>0</v>
      </c>
      <c r="E14" s="9">
        <f t="shared" si="2"/>
        <v>0</v>
      </c>
      <c r="F14" s="9">
        <f t="shared" si="2"/>
        <v>0</v>
      </c>
      <c r="G14" s="9">
        <f t="shared" si="2"/>
        <v>0</v>
      </c>
      <c r="H14" s="9">
        <f t="shared" si="2"/>
        <v>0</v>
      </c>
      <c r="I14" s="9">
        <f t="shared" si="2"/>
        <v>0</v>
      </c>
      <c r="J14" s="9">
        <f t="shared" si="2"/>
        <v>0</v>
      </c>
      <c r="K14" s="9">
        <f t="shared" si="2"/>
        <v>0</v>
      </c>
      <c r="L14" s="9">
        <f t="shared" si="2"/>
        <v>0</v>
      </c>
      <c r="M14" s="9">
        <f t="shared" si="2"/>
        <v>0</v>
      </c>
      <c r="N14" s="9">
        <f t="shared" si="2"/>
        <v>0</v>
      </c>
      <c r="O14" s="9">
        <f t="shared" si="2"/>
        <v>0</v>
      </c>
      <c r="Q14" s="9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2" cm="1">
        <f t="array" ref="D17">SUM(OSRRefD20x_0)</f>
        <v>-47.7</v>
      </c>
      <c r="E17" s="12" cm="1">
        <f t="array" ref="E17">SUM(OSRRefD20x_1)</f>
        <v>47.7</v>
      </c>
      <c r="F17" s="12" cm="1">
        <f t="array" ref="F17">SUM(OSRRefD20x_2)</f>
        <v>0</v>
      </c>
      <c r="G17" s="12" cm="1">
        <f t="array" ref="G17">SUM(OSRRefD20x_3)</f>
        <v>0</v>
      </c>
      <c r="H17" s="12" cm="1">
        <f t="array" ref="H17">SUM(OSRRefD20x_4)</f>
        <v>0</v>
      </c>
      <c r="I17" s="12" cm="1">
        <f t="array" ref="I17">SUM(OSRRefD20x_5)</f>
        <v>0</v>
      </c>
      <c r="J17" s="12" cm="1">
        <f t="array" ref="J17">SUM(OSRRefD20x_6)</f>
        <v>0</v>
      </c>
      <c r="K17" s="12" cm="1">
        <f t="array" ref="K17">SUM(OSRRefD20x_7)</f>
        <v>0</v>
      </c>
      <c r="L17" s="12" cm="1">
        <f t="array" ref="L17">SUM(OSRRefD20x_8)</f>
        <v>0</v>
      </c>
      <c r="M17" s="12" cm="1">
        <f t="array" ref="M17">SUM(OSRRefD20x_9)</f>
        <v>0</v>
      </c>
      <c r="N17" s="12" cm="1">
        <f t="array" ref="N17">SUM(OSRRefE20x_0)</f>
        <v>0</v>
      </c>
      <c r="O17" s="12" cm="1">
        <f t="array" ref="O17">SUM(OSRRefE20x_1)</f>
        <v>0</v>
      </c>
      <c r="Q17" s="12" cm="1">
        <f t="array" ref="Q17">SUM(OSRRefG20x)</f>
        <v>0</v>
      </c>
    </row>
    <row r="18" spans="1:17" s="42" customFormat="1" ht="15" customHeight="1" collapsed="1" x14ac:dyDescent="0.3">
      <c r="A18" s="34"/>
      <c r="B18" s="15" t="str">
        <f>CONCATENATE("     ","Repair and Maintenance                            ")</f>
        <v xml:space="preserve">     Repair and Maintenance                            </v>
      </c>
      <c r="C18" s="15"/>
      <c r="D18" s="2">
        <f>SUM(OSRRefD21_0x_0)</f>
        <v>0</v>
      </c>
      <c r="E18" s="2">
        <f>SUM(OSRRefD21_0x_1)</f>
        <v>0</v>
      </c>
      <c r="F18" s="2">
        <f>SUM(OSRRefD21_0x_2)</f>
        <v>0</v>
      </c>
      <c r="G18" s="2">
        <f>SUM(OSRRefD21_0x_3)</f>
        <v>0</v>
      </c>
      <c r="H18" s="2">
        <f>SUM(OSRRefD21_0x_4)</f>
        <v>0</v>
      </c>
      <c r="I18" s="2">
        <f>SUM(OSRRefD21_0x_5)</f>
        <v>0</v>
      </c>
      <c r="J18" s="2">
        <f>SUM(OSRRefD21_0x_6)</f>
        <v>0</v>
      </c>
      <c r="K18" s="2">
        <f>SUM(OSRRefD21_0x_7)</f>
        <v>0</v>
      </c>
      <c r="L18" s="2">
        <f>SUM(OSRRefD21_0x_8)</f>
        <v>0</v>
      </c>
      <c r="M18" s="2">
        <f>SUM(OSRRefD21_0x_9)</f>
        <v>0</v>
      </c>
      <c r="N18" s="2">
        <f>SUM(OSRRefE21_0x_0)</f>
        <v>0</v>
      </c>
      <c r="O18" s="2">
        <f>SUM(OSRRefE21_0x_1)</f>
        <v>0</v>
      </c>
      <c r="Q18" s="3">
        <f>SUM(OSRRefD20_0x)+IFERROR(SUM(OSRRefE20_0x),0)</f>
        <v>0</v>
      </c>
    </row>
    <row r="19" spans="1:17" s="42" customFormat="1" ht="15" hidden="1" customHeight="1" outlineLevel="1" x14ac:dyDescent="0.3">
      <c r="A19" s="34"/>
      <c r="B19" s="11" t="str">
        <f>CONCATENATE("          ","6373"," - ","MAINTENANCE CONTRACTS")</f>
        <v xml:space="preserve">          6373 - MAINTENANCE CONTRACTS</v>
      </c>
      <c r="C19" s="15"/>
      <c r="D19" s="3"/>
      <c r="E19" s="3"/>
      <c r="F19" s="3">
        <v>0</v>
      </c>
      <c r="G19" s="3"/>
      <c r="H19" s="3"/>
      <c r="I19" s="3"/>
      <c r="J19" s="3"/>
      <c r="K19" s="3"/>
      <c r="L19" s="3"/>
      <c r="M19" s="3"/>
      <c r="N19" s="3"/>
      <c r="O19" s="3"/>
      <c r="P19" s="10"/>
      <c r="Q19" s="3">
        <f>SUM(OSRRefD21_0_0x)+IFERROR(SUM(OSRRefE21_0_0x),0)</f>
        <v>0</v>
      </c>
    </row>
    <row r="20" spans="1:17" s="42" customFormat="1" ht="15" customHeight="1" collapsed="1" x14ac:dyDescent="0.3">
      <c r="A20" s="34"/>
      <c r="B20" s="15" t="str">
        <f>CONCATENATE("     ","Supplies                                          ")</f>
        <v xml:space="preserve">     Supplies                                          </v>
      </c>
      <c r="C20" s="15"/>
      <c r="D20" s="2">
        <f>SUM(OSRRefD21_1x_0)</f>
        <v>0</v>
      </c>
      <c r="E20" s="2">
        <f>SUM(OSRRefD21_1x_1)</f>
        <v>0</v>
      </c>
      <c r="F20" s="2">
        <f>SUM(OSRRefD21_1x_2)</f>
        <v>0</v>
      </c>
      <c r="G20" s="2">
        <f>SUM(OSRRefD21_1x_3)</f>
        <v>0</v>
      </c>
      <c r="H20" s="2">
        <f>SUM(OSRRefD21_1x_4)</f>
        <v>0</v>
      </c>
      <c r="I20" s="2">
        <f>SUM(OSRRefD21_1x_5)</f>
        <v>0</v>
      </c>
      <c r="J20" s="2">
        <f>SUM(OSRRefD21_1x_6)</f>
        <v>0</v>
      </c>
      <c r="K20" s="2">
        <f>SUM(OSRRefD21_1x_7)</f>
        <v>0</v>
      </c>
      <c r="L20" s="2">
        <f>SUM(OSRRefD21_1x_8)</f>
        <v>0</v>
      </c>
      <c r="M20" s="2">
        <f>SUM(OSRRefD21_1x_9)</f>
        <v>0</v>
      </c>
      <c r="N20" s="2">
        <f>SUM(OSRRefE21_1x_0)</f>
        <v>0</v>
      </c>
      <c r="O20" s="2">
        <f>SUM(OSRRefE21_1x_1)</f>
        <v>0</v>
      </c>
      <c r="Q20" s="3">
        <f>SUM(OSRRefD20_1x)+IFERROR(SUM(OSRRefE20_1x),0)</f>
        <v>0</v>
      </c>
    </row>
    <row r="21" spans="1:17" s="42" customFormat="1" ht="15" hidden="1" customHeight="1" outlineLevel="1" x14ac:dyDescent="0.3">
      <c r="A21" s="34"/>
      <c r="B21" s="11" t="str">
        <f>CONCATENATE("          ","6247"," - ","STORE SUPPLIES")</f>
        <v xml:space="preserve">          6247 - STORE SUPPLIES</v>
      </c>
      <c r="C21" s="15"/>
      <c r="D21" s="3"/>
      <c r="E21" s="3">
        <v>0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10"/>
      <c r="Q21" s="3">
        <f>SUM(OSRRefD21_1_0x)+IFERROR(SUM(OSRRefE21_1_0x),0)</f>
        <v>0</v>
      </c>
    </row>
    <row r="22" spans="1:17" s="42" customFormat="1" ht="15" customHeight="1" collapsed="1" x14ac:dyDescent="0.3">
      <c r="A22" s="34"/>
      <c r="B22" s="15" t="str">
        <f>CONCATENATE("     ","Telephone/Data Lines                              ")</f>
        <v xml:space="preserve">     Telephone/Data Lines                              </v>
      </c>
      <c r="C22" s="15"/>
      <c r="D22" s="2">
        <f>SUM(OSRRefD21_2x_0)</f>
        <v>-47.7</v>
      </c>
      <c r="E22" s="2">
        <f>SUM(OSRRefD21_2x_1)</f>
        <v>47.7</v>
      </c>
      <c r="F22" s="2">
        <f>SUM(OSRRefD21_2x_2)</f>
        <v>0</v>
      </c>
      <c r="G22" s="2">
        <f>SUM(OSRRefD21_2x_3)</f>
        <v>0</v>
      </c>
      <c r="H22" s="2">
        <f>SUM(OSRRefD21_2x_4)</f>
        <v>0</v>
      </c>
      <c r="I22" s="2">
        <f>SUM(OSRRefD21_2x_5)</f>
        <v>0</v>
      </c>
      <c r="J22" s="2">
        <f>SUM(OSRRefD21_2x_6)</f>
        <v>0</v>
      </c>
      <c r="K22" s="2">
        <f>SUM(OSRRefD21_2x_7)</f>
        <v>0</v>
      </c>
      <c r="L22" s="2">
        <f>SUM(OSRRefD21_2x_8)</f>
        <v>0</v>
      </c>
      <c r="M22" s="2">
        <f>SUM(OSRRefD21_2x_9)</f>
        <v>0</v>
      </c>
      <c r="N22" s="2">
        <f>SUM(OSRRefE21_2x_0)</f>
        <v>0</v>
      </c>
      <c r="O22" s="2">
        <f>SUM(OSRRefE21_2x_1)</f>
        <v>0</v>
      </c>
      <c r="Q22" s="3">
        <f>SUM(OSRRefD20_2x)+IFERROR(SUM(OSRRefE20_2x),0)</f>
        <v>0</v>
      </c>
    </row>
    <row r="23" spans="1:17" s="42" customFormat="1" ht="15" hidden="1" customHeight="1" outlineLevel="1" x14ac:dyDescent="0.3">
      <c r="A23" s="34"/>
      <c r="B23" s="11" t="str">
        <f>CONCATENATE("          ","6309"," - ","TELEPHONE")</f>
        <v xml:space="preserve">          6309 - TELEPHONE</v>
      </c>
      <c r="C23" s="15"/>
      <c r="D23" s="3">
        <v>-47.7</v>
      </c>
      <c r="E23" s="3">
        <v>47.7</v>
      </c>
      <c r="F23" s="3">
        <v>0</v>
      </c>
      <c r="G23" s="3"/>
      <c r="H23" s="3"/>
      <c r="I23" s="3"/>
      <c r="J23" s="3"/>
      <c r="K23" s="3"/>
      <c r="L23" s="3"/>
      <c r="M23" s="3"/>
      <c r="N23" s="3"/>
      <c r="O23" s="3"/>
      <c r="P23" s="10"/>
      <c r="Q23" s="3">
        <f>SUM(OSRRefD21_2_0x)+IFERROR(SUM(OSRRefE21_2_0x),0)</f>
        <v>0</v>
      </c>
    </row>
    <row r="24" spans="1:17" s="40" customFormat="1" ht="15" customHeight="1" x14ac:dyDescent="0.3">
      <c r="A24" s="22"/>
      <c r="B24" s="22"/>
      <c r="C24" s="2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Q24" s="2"/>
    </row>
    <row r="25" spans="1:17" s="39" customFormat="1" ht="15" customHeight="1" x14ac:dyDescent="0.3">
      <c r="A25" s="24"/>
      <c r="B25" s="17" t="s">
        <v>287</v>
      </c>
      <c r="C25" s="23"/>
      <c r="D25" s="4">
        <f>0</f>
        <v>0</v>
      </c>
      <c r="E25" s="4">
        <f>0</f>
        <v>0</v>
      </c>
      <c r="F25" s="4">
        <f>0</f>
        <v>0</v>
      </c>
      <c r="G25" s="4">
        <f>0</f>
        <v>0</v>
      </c>
      <c r="H25" s="4">
        <f>0</f>
        <v>0</v>
      </c>
      <c r="I25" s="4">
        <f>0</f>
        <v>0</v>
      </c>
      <c r="J25" s="4">
        <f>0</f>
        <v>0</v>
      </c>
      <c r="K25" s="4">
        <f>0</f>
        <v>0</v>
      </c>
      <c r="L25" s="4">
        <f>0</f>
        <v>0</v>
      </c>
      <c r="M25" s="4">
        <f>0</f>
        <v>0</v>
      </c>
      <c r="N25" s="4"/>
      <c r="O25" s="4"/>
      <c r="Q25" s="3">
        <f>SUM(OSRRefD23_0x)+IFERROR(SUM(OSRRefE23_0x),0)</f>
        <v>0</v>
      </c>
    </row>
    <row r="26" spans="1:17" ht="15" customHeight="1" x14ac:dyDescent="0.3">
      <c r="A26" s="6"/>
      <c r="B26" s="7"/>
      <c r="C26" s="7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Q26" s="4"/>
    </row>
    <row r="27" spans="1:17" s="37" customFormat="1" ht="15" customHeight="1" x14ac:dyDescent="0.3">
      <c r="A27" s="7"/>
      <c r="B27" s="18" t="s">
        <v>288</v>
      </c>
      <c r="C27" s="18"/>
      <c r="D27" s="9">
        <f t="shared" ref="D27:O27" si="4">IFERROR(+D14-D17+D25,0)</f>
        <v>47.7</v>
      </c>
      <c r="E27" s="9">
        <f t="shared" si="4"/>
        <v>-47.7</v>
      </c>
      <c r="F27" s="9">
        <f t="shared" si="4"/>
        <v>0</v>
      </c>
      <c r="G27" s="9">
        <f t="shared" si="4"/>
        <v>0</v>
      </c>
      <c r="H27" s="9">
        <f t="shared" si="4"/>
        <v>0</v>
      </c>
      <c r="I27" s="9">
        <f t="shared" si="4"/>
        <v>0</v>
      </c>
      <c r="J27" s="9">
        <f t="shared" si="4"/>
        <v>0</v>
      </c>
      <c r="K27" s="9">
        <f t="shared" si="4"/>
        <v>0</v>
      </c>
      <c r="L27" s="9">
        <f t="shared" si="4"/>
        <v>0</v>
      </c>
      <c r="M27" s="9">
        <f t="shared" si="4"/>
        <v>0</v>
      </c>
      <c r="N27" s="9">
        <f t="shared" si="4"/>
        <v>0</v>
      </c>
      <c r="O27" s="9">
        <f t="shared" si="4"/>
        <v>0</v>
      </c>
      <c r="Q27" s="9">
        <f>IFERROR(+Q14-Q17+Q25,0)</f>
        <v>0</v>
      </c>
    </row>
    <row r="28" spans="1:17" s="38" customFormat="1" ht="15" customHeight="1" x14ac:dyDescent="0.3">
      <c r="B28" s="17"/>
      <c r="C28" s="17"/>
      <c r="D28" s="5">
        <f t="shared" ref="D28:O28" si="5">IFERROR(D27/D10,0)</f>
        <v>0</v>
      </c>
      <c r="E28" s="5">
        <f t="shared" si="5"/>
        <v>0</v>
      </c>
      <c r="F28" s="5">
        <f t="shared" si="5"/>
        <v>0</v>
      </c>
      <c r="G28" s="5">
        <f t="shared" si="5"/>
        <v>0</v>
      </c>
      <c r="H28" s="5">
        <f t="shared" si="5"/>
        <v>0</v>
      </c>
      <c r="I28" s="5">
        <f t="shared" si="5"/>
        <v>0</v>
      </c>
      <c r="J28" s="5">
        <f t="shared" si="5"/>
        <v>0</v>
      </c>
      <c r="K28" s="5">
        <f t="shared" si="5"/>
        <v>0</v>
      </c>
      <c r="L28" s="5">
        <f t="shared" si="5"/>
        <v>0</v>
      </c>
      <c r="M28" s="5">
        <f t="shared" si="5"/>
        <v>0</v>
      </c>
      <c r="N28" s="5">
        <f t="shared" si="5"/>
        <v>0</v>
      </c>
      <c r="O28" s="5">
        <f t="shared" si="5"/>
        <v>0</v>
      </c>
      <c r="P28" s="19"/>
      <c r="Q28" s="5">
        <f>IFERROR(Q27/Q10,0)</f>
        <v>0</v>
      </c>
    </row>
    <row r="29" spans="1:17" ht="15" customHeight="1" x14ac:dyDescent="0.3">
      <c r="A29" s="6"/>
      <c r="B29" s="7"/>
      <c r="C29" s="6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Q29" s="4"/>
    </row>
    <row r="30" spans="1:17" s="37" customFormat="1" ht="15" customHeight="1" x14ac:dyDescent="0.3">
      <c r="A30" s="26"/>
      <c r="B30" s="7" t="s">
        <v>289</v>
      </c>
      <c r="C30" s="7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Q30" s="3">
        <f>SUM(OSRRefD28_0x)+IFERROR(SUM(OSRRefE28_0x),0)</f>
        <v>0</v>
      </c>
    </row>
    <row r="31" spans="1:17" ht="15" customHeight="1" x14ac:dyDescent="0.3">
      <c r="A31" s="6"/>
      <c r="B31" s="7"/>
      <c r="C31" s="7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Q31" s="4"/>
    </row>
    <row r="32" spans="1:17" s="37" customFormat="1" ht="15.75" customHeight="1" x14ac:dyDescent="0.3">
      <c r="A32" s="7"/>
      <c r="B32" s="18" t="s">
        <v>290</v>
      </c>
      <c r="C32" s="18"/>
      <c r="D32" s="8">
        <f t="shared" ref="D32:O32" si="6">IFERROR(+D27-D30,0)</f>
        <v>47.7</v>
      </c>
      <c r="E32" s="8">
        <f t="shared" si="6"/>
        <v>-47.7</v>
      </c>
      <c r="F32" s="8">
        <f t="shared" si="6"/>
        <v>0</v>
      </c>
      <c r="G32" s="8">
        <f t="shared" si="6"/>
        <v>0</v>
      </c>
      <c r="H32" s="8">
        <f t="shared" si="6"/>
        <v>0</v>
      </c>
      <c r="I32" s="8">
        <f t="shared" si="6"/>
        <v>0</v>
      </c>
      <c r="J32" s="8">
        <f t="shared" si="6"/>
        <v>0</v>
      </c>
      <c r="K32" s="8">
        <f t="shared" si="6"/>
        <v>0</v>
      </c>
      <c r="L32" s="8">
        <f t="shared" si="6"/>
        <v>0</v>
      </c>
      <c r="M32" s="8">
        <f t="shared" si="6"/>
        <v>0</v>
      </c>
      <c r="N32" s="8">
        <f t="shared" si="6"/>
        <v>0</v>
      </c>
      <c r="O32" s="8">
        <f t="shared" si="6"/>
        <v>0</v>
      </c>
      <c r="Q32" s="8">
        <f>IFERROR(+Q27-Q30,0)</f>
        <v>0</v>
      </c>
    </row>
    <row r="33" spans="1:17" ht="15.75" customHeight="1" x14ac:dyDescent="0.3">
      <c r="A33" s="6"/>
      <c r="B33" s="6"/>
      <c r="C33" s="6"/>
      <c r="D33" s="5">
        <f t="shared" ref="D33:O33" si="7">IFERROR(D32/D10,0)</f>
        <v>0</v>
      </c>
      <c r="E33" s="5">
        <f t="shared" si="7"/>
        <v>0</v>
      </c>
      <c r="F33" s="5">
        <f t="shared" si="7"/>
        <v>0</v>
      </c>
      <c r="G33" s="5">
        <f t="shared" si="7"/>
        <v>0</v>
      </c>
      <c r="H33" s="5">
        <f t="shared" si="7"/>
        <v>0</v>
      </c>
      <c r="I33" s="5">
        <f t="shared" si="7"/>
        <v>0</v>
      </c>
      <c r="J33" s="5">
        <f t="shared" si="7"/>
        <v>0</v>
      </c>
      <c r="K33" s="5">
        <f t="shared" si="7"/>
        <v>0</v>
      </c>
      <c r="L33" s="5">
        <f t="shared" si="7"/>
        <v>0</v>
      </c>
      <c r="M33" s="5">
        <f t="shared" si="7"/>
        <v>0</v>
      </c>
      <c r="N33" s="5">
        <f t="shared" si="7"/>
        <v>0</v>
      </c>
      <c r="O33" s="5">
        <f t="shared" si="7"/>
        <v>0</v>
      </c>
      <c r="P33" s="19"/>
      <c r="Q33" s="5">
        <f>IFERROR(Q32/Q10,0)</f>
        <v>0</v>
      </c>
    </row>
    <row r="34" spans="1:17" ht="15" customHeight="1" x14ac:dyDescent="0.3">
      <c r="A34" s="6"/>
      <c r="B34" s="6"/>
      <c r="C34" s="6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Q34" s="4"/>
    </row>
    <row r="35" spans="1:17" ht="15" customHeight="1" x14ac:dyDescent="0.3">
      <c r="A35" s="6"/>
      <c r="B35" s="6"/>
      <c r="C35" s="6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Q35" s="4"/>
    </row>
    <row r="36" spans="1:17" s="37" customFormat="1" ht="15.75" customHeight="1" x14ac:dyDescent="0.3">
      <c r="A36" s="7"/>
      <c r="B36" s="18" t="s">
        <v>293</v>
      </c>
      <c r="C36" s="18"/>
      <c r="D36" s="8">
        <f t="shared" ref="D36:O36" si="8">IFERROR(SUM(D32:D35),0)</f>
        <v>47.7</v>
      </c>
      <c r="E36" s="8">
        <f t="shared" si="8"/>
        <v>-47.7</v>
      </c>
      <c r="F36" s="8">
        <f t="shared" si="8"/>
        <v>0</v>
      </c>
      <c r="G36" s="8">
        <f t="shared" si="8"/>
        <v>0</v>
      </c>
      <c r="H36" s="8">
        <f t="shared" si="8"/>
        <v>0</v>
      </c>
      <c r="I36" s="8">
        <f t="shared" si="8"/>
        <v>0</v>
      </c>
      <c r="J36" s="8">
        <f t="shared" si="8"/>
        <v>0</v>
      </c>
      <c r="K36" s="8">
        <f t="shared" si="8"/>
        <v>0</v>
      </c>
      <c r="L36" s="8">
        <f t="shared" si="8"/>
        <v>0</v>
      </c>
      <c r="M36" s="8">
        <f t="shared" si="8"/>
        <v>0</v>
      </c>
      <c r="N36" s="8">
        <f t="shared" si="8"/>
        <v>0</v>
      </c>
      <c r="O36" s="8">
        <f t="shared" si="8"/>
        <v>0</v>
      </c>
      <c r="Q36" s="8">
        <f>IFERROR(SUM(Q32:Q35),0)</f>
        <v>0</v>
      </c>
    </row>
    <row r="37" spans="1:17" ht="15.75" customHeight="1" x14ac:dyDescent="0.3">
      <c r="A37" s="6"/>
      <c r="C37" s="6"/>
      <c r="D37" s="5">
        <f t="shared" ref="D37:O37" si="9">IFERROR(D36/D10,0)</f>
        <v>0</v>
      </c>
      <c r="E37" s="5">
        <f t="shared" si="9"/>
        <v>0</v>
      </c>
      <c r="F37" s="5">
        <f t="shared" si="9"/>
        <v>0</v>
      </c>
      <c r="G37" s="5">
        <f t="shared" si="9"/>
        <v>0</v>
      </c>
      <c r="H37" s="5">
        <f t="shared" si="9"/>
        <v>0</v>
      </c>
      <c r="I37" s="5">
        <f t="shared" si="9"/>
        <v>0</v>
      </c>
      <c r="J37" s="5">
        <f t="shared" si="9"/>
        <v>0</v>
      </c>
      <c r="K37" s="5">
        <f t="shared" si="9"/>
        <v>0</v>
      </c>
      <c r="L37" s="5">
        <f t="shared" si="9"/>
        <v>0</v>
      </c>
      <c r="M37" s="5">
        <f t="shared" si="9"/>
        <v>0</v>
      </c>
      <c r="N37" s="5">
        <f t="shared" si="9"/>
        <v>0</v>
      </c>
      <c r="O37" s="5">
        <f t="shared" si="9"/>
        <v>0</v>
      </c>
      <c r="P37" s="19"/>
      <c r="Q37" s="5">
        <f>IFERROR(Q36/Q10,0)</f>
        <v>0</v>
      </c>
    </row>
    <row r="38" spans="1:17" ht="15" customHeight="1" x14ac:dyDescent="0.3">
      <c r="A38" s="6"/>
      <c r="B38" s="33">
        <v>44694.892891863426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Q38" s="14"/>
    </row>
    <row r="39" spans="1:17" ht="15" customHeight="1" x14ac:dyDescent="0.3">
      <c r="A39" s="6"/>
      <c r="B39" s="31" t="s">
        <v>294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Q39" s="14"/>
    </row>
    <row r="40" spans="1:17" ht="15" customHeight="1" x14ac:dyDescent="0.3">
      <c r="A40" s="6"/>
      <c r="B40" s="27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Q40" s="14"/>
    </row>
    <row r="41" spans="1:17" ht="15" customHeight="1" x14ac:dyDescent="0.3"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Q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CD74B-B8CF-06A9-34B9-53836383512E}">
  <sheetPr>
    <tabColor rgb="FF92D050"/>
    <outlinePr summaryBelow="0" summaryRight="0"/>
    <pageSetUpPr fitToPage="1"/>
  </sheetPr>
  <dimension ref="A2:R90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","321"," - ","Corner Market")</f>
        <v>Department 321 - Corner Market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0</v>
      </c>
      <c r="E10" s="4">
        <f>SUM(OSRRefD11x_1)</f>
        <v>0</v>
      </c>
      <c r="F10" s="4">
        <f>SUM(OSRRefD11x_2)</f>
        <v>0</v>
      </c>
      <c r="G10" s="4">
        <f>SUM(OSRRefD11x_3)</f>
        <v>0</v>
      </c>
      <c r="H10" s="4">
        <f>SUM(OSRRefD11x_4)</f>
        <v>0</v>
      </c>
      <c r="I10" s="4">
        <f>SUM(OSRRefD11x_5)</f>
        <v>0</v>
      </c>
      <c r="J10" s="4">
        <f>SUM(OSRRefD11x_6)</f>
        <v>0</v>
      </c>
      <c r="K10" s="4">
        <f>SUM(OSRRefD11x_7)</f>
        <v>25746.41</v>
      </c>
      <c r="L10" s="4">
        <f>SUM(OSRRefD11x_8)</f>
        <v>36646.61</v>
      </c>
      <c r="M10" s="4">
        <f>SUM(OSRRefD11x_9)</f>
        <v>37647.72</v>
      </c>
      <c r="N10" s="4">
        <f>SUM(OSRRefE11x_0)</f>
        <v>13768</v>
      </c>
      <c r="O10" s="4">
        <f>SUM(OSRRefE11x_1)</f>
        <v>3734</v>
      </c>
      <c r="P10" s="25"/>
      <c r="Q10" s="4">
        <f>SUM(OSRRefG11x)</f>
        <v>117542.74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0</f>
        <v>0</v>
      </c>
      <c r="E11" s="3">
        <f>0</f>
        <v>0</v>
      </c>
      <c r="F11" s="3">
        <f>0</f>
        <v>0</v>
      </c>
      <c r="G11" s="3">
        <f>0</f>
        <v>0</v>
      </c>
      <c r="H11" s="3">
        <f>0</f>
        <v>0</v>
      </c>
      <c r="I11" s="3">
        <f>0</f>
        <v>0</v>
      </c>
      <c r="J11" s="3">
        <f>0</f>
        <v>0</v>
      </c>
      <c r="K11" s="3">
        <f>--4375.81</f>
        <v>4375.8100000000004</v>
      </c>
      <c r="L11" s="3">
        <f>--5809.27</f>
        <v>5809.27</v>
      </c>
      <c r="M11" s="3">
        <f>--5619.42</f>
        <v>5619.42</v>
      </c>
      <c r="N11" s="3">
        <v>3197</v>
      </c>
      <c r="O11" s="3">
        <v>867</v>
      </c>
      <c r="Q11" s="3">
        <f>SUM(OSRRefD11_0x)+IFERROR(SUM(OSRRefE11_0x),0)</f>
        <v>19868.5</v>
      </c>
    </row>
    <row r="12" spans="1:18" s="39" customFormat="1" ht="15" hidden="1" customHeight="1" outlineLevel="1" x14ac:dyDescent="0.3">
      <c r="A12" s="24"/>
      <c r="B12" s="11" t="str">
        <f>CONCATENATE("          ","4100"," - ","NON-TAXABLE SALES")</f>
        <v xml:space="preserve">          4100 - NON-TAXABLE SALES</v>
      </c>
      <c r="C12" s="23"/>
      <c r="D12" s="3">
        <f>0</f>
        <v>0</v>
      </c>
      <c r="E12" s="3">
        <f>0</f>
        <v>0</v>
      </c>
      <c r="F12" s="3">
        <f>0</f>
        <v>0</v>
      </c>
      <c r="G12" s="3">
        <f>0</f>
        <v>0</v>
      </c>
      <c r="H12" s="3">
        <f>0</f>
        <v>0</v>
      </c>
      <c r="I12" s="3">
        <f>0</f>
        <v>0</v>
      </c>
      <c r="J12" s="3">
        <f>0</f>
        <v>0</v>
      </c>
      <c r="K12" s="3">
        <f>--21370.6</f>
        <v>21370.6</v>
      </c>
      <c r="L12" s="3">
        <f>--30837.34</f>
        <v>30837.34</v>
      </c>
      <c r="M12" s="3">
        <f>--32028.3</f>
        <v>32028.3</v>
      </c>
      <c r="N12" s="3">
        <v>10571</v>
      </c>
      <c r="O12" s="3">
        <v>2867</v>
      </c>
      <c r="Q12" s="3">
        <f>SUM(OSRRefD11_1x)+IFERROR(SUM(OSRRefE11_1x),0)</f>
        <v>97674.240000000005</v>
      </c>
    </row>
    <row r="13" spans="1:18" ht="15" customHeight="1" x14ac:dyDescent="0.3">
      <c r="A13" s="6"/>
      <c r="B13" s="7"/>
      <c r="C13" s="6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9" customFormat="1" ht="15" customHeight="1" collapsed="1" x14ac:dyDescent="0.3">
      <c r="A14" s="24"/>
      <c r="B14" s="17" t="s">
        <v>284</v>
      </c>
      <c r="C14" s="23"/>
      <c r="D14" s="4">
        <f>SUM(OSRRefD14x_0)</f>
        <v>0</v>
      </c>
      <c r="E14" s="4">
        <f>SUM(OSRRefD14x_1)</f>
        <v>0</v>
      </c>
      <c r="F14" s="4">
        <f>SUM(OSRRefD14x_2)</f>
        <v>0</v>
      </c>
      <c r="G14" s="4">
        <f>SUM(OSRRefD14x_3)</f>
        <v>0</v>
      </c>
      <c r="H14" s="4">
        <f>SUM(OSRRefD14x_4)</f>
        <v>8639</v>
      </c>
      <c r="I14" s="4">
        <f>SUM(OSRRefD14x_5)</f>
        <v>0</v>
      </c>
      <c r="J14" s="4">
        <f>SUM(OSRRefD14x_6)</f>
        <v>0</v>
      </c>
      <c r="K14" s="4">
        <f>SUM(OSRRefD14x_7)</f>
        <v>12616.060000000001</v>
      </c>
      <c r="L14" s="4">
        <f>SUM(OSRRefD14x_8)</f>
        <v>17846.71</v>
      </c>
      <c r="M14" s="4">
        <f>SUM(OSRRefD14x_9)</f>
        <v>18447.939999999999</v>
      </c>
      <c r="N14" s="4">
        <f>SUM(OSRRefE14x_0)</f>
        <v>6746</v>
      </c>
      <c r="O14" s="4">
        <f>SUM(OSRRefE14x_1)</f>
        <v>1830</v>
      </c>
      <c r="Q14" s="4">
        <f>SUM(OSRRefG14x)</f>
        <v>66125.710000000006</v>
      </c>
    </row>
    <row r="15" spans="1:18" s="39" customFormat="1" ht="15" hidden="1" customHeight="1" outlineLevel="1" x14ac:dyDescent="0.3">
      <c r="A15" s="24"/>
      <c r="B15" s="11" t="str">
        <f>CONCATENATE("          ","5000"," - ","PURCHASES @ COST")</f>
        <v xml:space="preserve">          5000 - PURCHASES @ COST</v>
      </c>
      <c r="C15" s="23"/>
      <c r="D15" s="3"/>
      <c r="E15" s="3"/>
      <c r="F15" s="3"/>
      <c r="G15" s="3"/>
      <c r="H15" s="3"/>
      <c r="I15" s="3"/>
      <c r="J15" s="3"/>
      <c r="K15" s="3">
        <v>-10213</v>
      </c>
      <c r="L15" s="3">
        <v>4647</v>
      </c>
      <c r="M15" s="3">
        <v>-2496</v>
      </c>
      <c r="N15" s="3">
        <v>6746</v>
      </c>
      <c r="O15" s="3">
        <v>1830</v>
      </c>
      <c r="Q15" s="3">
        <f>SUM(OSRRefD14_0x)+IFERROR(SUM(OSRRefE14_0x),0)</f>
        <v>514</v>
      </c>
    </row>
    <row r="16" spans="1:18" s="39" customFormat="1" ht="15" hidden="1" customHeight="1" outlineLevel="1" x14ac:dyDescent="0.3">
      <c r="A16" s="24"/>
      <c r="B16" s="11" t="str">
        <f>CONCATENATE("          ","5059"," - ","PURCHASES @ COST-FOOD")</f>
        <v xml:space="preserve">          5059 - PURCHASES @ COST-FOOD</v>
      </c>
      <c r="C16" s="23"/>
      <c r="D16" s="3"/>
      <c r="E16" s="3"/>
      <c r="F16" s="3"/>
      <c r="G16" s="3"/>
      <c r="H16" s="3">
        <v>8639</v>
      </c>
      <c r="I16" s="3"/>
      <c r="J16" s="3"/>
      <c r="K16" s="3">
        <v>22829.06</v>
      </c>
      <c r="L16" s="3">
        <v>13199.71</v>
      </c>
      <c r="M16" s="3">
        <v>20943.939999999999</v>
      </c>
      <c r="N16" s="3"/>
      <c r="O16" s="3"/>
      <c r="Q16" s="3">
        <f>SUM(OSRRefD14_1x)+IFERROR(SUM(OSRRefE14_1x),0)</f>
        <v>65611.710000000006</v>
      </c>
    </row>
    <row r="17" spans="1:17" ht="15" customHeight="1" x14ac:dyDescent="0.3">
      <c r="A17" s="6"/>
      <c r="B17" s="7"/>
      <c r="C17" s="7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Q17" s="4"/>
    </row>
    <row r="18" spans="1:17" s="37" customFormat="1" ht="15" customHeight="1" x14ac:dyDescent="0.3">
      <c r="A18" s="7"/>
      <c r="B18" s="18" t="s">
        <v>285</v>
      </c>
      <c r="C18" s="18"/>
      <c r="D18" s="9">
        <f t="shared" ref="D18:O18" si="0">IFERROR(+D10-D14,0)</f>
        <v>0</v>
      </c>
      <c r="E18" s="9">
        <f t="shared" si="0"/>
        <v>0</v>
      </c>
      <c r="F18" s="9">
        <f t="shared" si="0"/>
        <v>0</v>
      </c>
      <c r="G18" s="9">
        <f t="shared" si="0"/>
        <v>0</v>
      </c>
      <c r="H18" s="9">
        <f t="shared" si="0"/>
        <v>-8639</v>
      </c>
      <c r="I18" s="9">
        <f t="shared" si="0"/>
        <v>0</v>
      </c>
      <c r="J18" s="9">
        <f t="shared" si="0"/>
        <v>0</v>
      </c>
      <c r="K18" s="9">
        <f t="shared" si="0"/>
        <v>13130.349999999999</v>
      </c>
      <c r="L18" s="9">
        <f t="shared" si="0"/>
        <v>18799.900000000001</v>
      </c>
      <c r="M18" s="9">
        <f t="shared" si="0"/>
        <v>19199.780000000002</v>
      </c>
      <c r="N18" s="9">
        <f t="shared" si="0"/>
        <v>7022</v>
      </c>
      <c r="O18" s="9">
        <f t="shared" si="0"/>
        <v>1904</v>
      </c>
      <c r="Q18" s="9">
        <f>IFERROR(+Q10-Q14,0)</f>
        <v>51417.03</v>
      </c>
    </row>
    <row r="19" spans="1:17" s="38" customFormat="1" ht="15" customHeight="1" x14ac:dyDescent="0.3">
      <c r="B19" s="17"/>
      <c r="C19" s="17"/>
      <c r="D19" s="5">
        <f t="shared" ref="D19:O19" si="1">IFERROR(D18/D10,0)</f>
        <v>0</v>
      </c>
      <c r="E19" s="5">
        <f t="shared" si="1"/>
        <v>0</v>
      </c>
      <c r="F19" s="5">
        <f t="shared" si="1"/>
        <v>0</v>
      </c>
      <c r="G19" s="5">
        <f t="shared" si="1"/>
        <v>0</v>
      </c>
      <c r="H19" s="5">
        <f t="shared" si="1"/>
        <v>0</v>
      </c>
      <c r="I19" s="5">
        <f t="shared" si="1"/>
        <v>0</v>
      </c>
      <c r="J19" s="5">
        <f t="shared" si="1"/>
        <v>0</v>
      </c>
      <c r="K19" s="5">
        <f t="shared" si="1"/>
        <v>0.50998760603905546</v>
      </c>
      <c r="L19" s="5">
        <f t="shared" si="1"/>
        <v>0.51300515927666979</v>
      </c>
      <c r="M19" s="5">
        <f t="shared" si="1"/>
        <v>0.5099851996349315</v>
      </c>
      <c r="N19" s="5">
        <f t="shared" si="1"/>
        <v>0.51002324230098783</v>
      </c>
      <c r="O19" s="5">
        <f t="shared" si="1"/>
        <v>0.50990894483128013</v>
      </c>
      <c r="P19" s="19"/>
      <c r="Q19" s="5">
        <f>IFERROR(Q18/Q10,0)</f>
        <v>0.43743263088813478</v>
      </c>
    </row>
    <row r="20" spans="1:17" ht="15" customHeight="1" x14ac:dyDescent="0.3">
      <c r="A20" s="6"/>
      <c r="B20" s="7"/>
      <c r="C20" s="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Q20" s="2"/>
    </row>
    <row r="21" spans="1:17" s="37" customFormat="1" ht="15" customHeight="1" x14ac:dyDescent="0.3">
      <c r="A21" s="7"/>
      <c r="B21" s="17" t="s">
        <v>286</v>
      </c>
      <c r="C21" s="7"/>
      <c r="D21" s="12" cm="1">
        <f t="array" ref="D21">SUM(OSRRefD20x_0)</f>
        <v>1184.5100000000002</v>
      </c>
      <c r="E21" s="12" cm="1">
        <f t="array" ref="E21">SUM(OSRRefD20x_1)</f>
        <v>2313.6099999999997</v>
      </c>
      <c r="F21" s="12" cm="1">
        <f t="array" ref="F21">SUM(OSRRefD20x_2)</f>
        <v>1274.7300000000002</v>
      </c>
      <c r="G21" s="12" cm="1">
        <f t="array" ref="G21">SUM(OSRRefD20x_3)</f>
        <v>1610.94</v>
      </c>
      <c r="H21" s="12" cm="1">
        <f t="array" ref="H21">SUM(OSRRefD20x_4)</f>
        <v>1101.8700000000001</v>
      </c>
      <c r="I21" s="12" cm="1">
        <f t="array" ref="I21">SUM(OSRRefD20x_5)</f>
        <v>5106.0700000000006</v>
      </c>
      <c r="J21" s="12" cm="1">
        <f t="array" ref="J21">SUM(OSRRefD20x_6)</f>
        <v>7377.6</v>
      </c>
      <c r="K21" s="12" cm="1">
        <f t="array" ref="K21">SUM(OSRRefD20x_7)</f>
        <v>15080.74</v>
      </c>
      <c r="L21" s="12" cm="1">
        <f t="array" ref="L21">SUM(OSRRefD20x_8)</f>
        <v>15319.380000000003</v>
      </c>
      <c r="M21" s="12" cm="1">
        <f t="array" ref="M21">SUM(OSRRefD20x_9)</f>
        <v>19694.060000000001</v>
      </c>
      <c r="N21" s="12" cm="1">
        <f t="array" ref="N21">SUM(OSRRefE20x_0)</f>
        <v>4809.0832547499995</v>
      </c>
      <c r="O21" s="12" cm="1">
        <f t="array" ref="O21">SUM(OSRRefE20x_1)</f>
        <v>4053.9526240000005</v>
      </c>
      <c r="Q21" s="12" cm="1">
        <f t="array" ref="Q21">SUM(OSRRefG20x)</f>
        <v>78926.545878749981</v>
      </c>
    </row>
    <row r="22" spans="1:17" s="42" customFormat="1" ht="15" customHeight="1" collapsed="1" x14ac:dyDescent="0.3">
      <c r="A22" s="34"/>
      <c r="B22" s="15" t="str">
        <f>CONCATENATE("     ","*Benefits                                         ")</f>
        <v xml:space="preserve">     *Benefits                                         </v>
      </c>
      <c r="C22" s="15"/>
      <c r="D22" s="2">
        <f>SUM(OSRRefD21_0x_0)</f>
        <v>0</v>
      </c>
      <c r="E22" s="2">
        <f>SUM(OSRRefD21_0x_1)</f>
        <v>84.99</v>
      </c>
      <c r="F22" s="2">
        <f>SUM(OSRRefD21_0x_2)</f>
        <v>0</v>
      </c>
      <c r="G22" s="2">
        <f>SUM(OSRRefD21_0x_3)</f>
        <v>0</v>
      </c>
      <c r="H22" s="2">
        <f>SUM(OSRRefD21_0x_4)</f>
        <v>233.15000000000003</v>
      </c>
      <c r="I22" s="2">
        <f>SUM(OSRRefD21_0x_5)</f>
        <v>868.76</v>
      </c>
      <c r="J22" s="2">
        <f>SUM(OSRRefD21_0x_6)</f>
        <v>2447.38</v>
      </c>
      <c r="K22" s="2">
        <f>SUM(OSRRefD21_0x_7)</f>
        <v>2653.41</v>
      </c>
      <c r="L22" s="2">
        <f>SUM(OSRRefD21_0x_8)</f>
        <v>2967.29</v>
      </c>
      <c r="M22" s="2">
        <f>SUM(OSRRefD21_0x_9)</f>
        <v>3110.8800000000006</v>
      </c>
      <c r="N22" s="2">
        <f>SUM(OSRRefE21_0x_0)</f>
        <v>134.90070474999999</v>
      </c>
      <c r="O22" s="2">
        <f>SUM(OSRRefE21_0x_1)</f>
        <v>326.43902400000002</v>
      </c>
      <c r="Q22" s="3">
        <f>SUM(OSRRefD20_0x)+IFERROR(SUM(OSRRefE20_0x),0)</f>
        <v>12827.19972875</v>
      </c>
    </row>
    <row r="23" spans="1:17" s="42" customFormat="1" ht="15" hidden="1" customHeight="1" outlineLevel="1" x14ac:dyDescent="0.3">
      <c r="A23" s="34"/>
      <c r="B23" s="11" t="str">
        <f>CONCATENATE("          ","6111"," - ","F.I.C.A.")</f>
        <v xml:space="preserve">          6111 - F.I.C.A.</v>
      </c>
      <c r="C23" s="15"/>
      <c r="D23" s="3"/>
      <c r="E23" s="3">
        <v>6.91</v>
      </c>
      <c r="F23" s="3"/>
      <c r="G23" s="3"/>
      <c r="H23" s="3">
        <v>35.72</v>
      </c>
      <c r="I23" s="3">
        <v>235.51</v>
      </c>
      <c r="J23" s="3">
        <v>323.83</v>
      </c>
      <c r="K23" s="3">
        <v>425.65</v>
      </c>
      <c r="L23" s="3">
        <v>629.99</v>
      </c>
      <c r="M23" s="3">
        <v>716.14</v>
      </c>
      <c r="N23" s="3">
        <v>38.691654749999998</v>
      </c>
      <c r="O23" s="3">
        <v>117.917424</v>
      </c>
      <c r="P23" s="10"/>
      <c r="Q23" s="3">
        <f>SUM(OSRRefD21_0_0x)+IFERROR(SUM(OSRRefE21_0_0x),0)</f>
        <v>2530.3590787499998</v>
      </c>
    </row>
    <row r="24" spans="1:17" s="42" customFormat="1" ht="15" hidden="1" customHeight="1" outlineLevel="1" x14ac:dyDescent="0.3">
      <c r="A24" s="34"/>
      <c r="B24" s="11" t="str">
        <f>CONCATENATE("          ","6112"," - ","COMPENSATION INSURANCE")</f>
        <v xml:space="preserve">          6112 - COMPENSATION INSURANCE</v>
      </c>
      <c r="C24" s="15"/>
      <c r="D24" s="3"/>
      <c r="E24" s="3"/>
      <c r="F24" s="3"/>
      <c r="G24" s="3"/>
      <c r="H24" s="3">
        <v>16.809999999999999</v>
      </c>
      <c r="I24" s="3">
        <v>45.46</v>
      </c>
      <c r="J24" s="3">
        <v>62.65</v>
      </c>
      <c r="K24" s="3">
        <v>96.74</v>
      </c>
      <c r="L24" s="3">
        <v>152.65</v>
      </c>
      <c r="M24" s="3">
        <v>119.92</v>
      </c>
      <c r="N24" s="3">
        <v>52.090328499999998</v>
      </c>
      <c r="O24" s="3">
        <v>112.899552</v>
      </c>
      <c r="P24" s="10"/>
      <c r="Q24" s="3">
        <f>SUM(OSRRefD21_0_1x)+IFERROR(SUM(OSRRefE21_0_1x),0)</f>
        <v>659.21988049999993</v>
      </c>
    </row>
    <row r="25" spans="1:17" s="42" customFormat="1" ht="15" hidden="1" customHeight="1" outlineLevel="1" x14ac:dyDescent="0.3">
      <c r="A25" s="34"/>
      <c r="B25" s="11" t="str">
        <f>CONCATENATE("          ","6113"," - ","GROUP INSURANCE")</f>
        <v xml:space="preserve">          6113 - GROUP INSURANCE</v>
      </c>
      <c r="C25" s="15"/>
      <c r="D25" s="3"/>
      <c r="E25" s="3"/>
      <c r="F25" s="3"/>
      <c r="G25" s="3"/>
      <c r="H25" s="3"/>
      <c r="I25" s="3">
        <v>33.81</v>
      </c>
      <c r="J25" s="3">
        <v>1284.4100000000001</v>
      </c>
      <c r="K25" s="3">
        <v>1284.44</v>
      </c>
      <c r="L25" s="3">
        <v>1284.4100000000001</v>
      </c>
      <c r="M25" s="3">
        <v>1284.4100000000001</v>
      </c>
      <c r="N25" s="3">
        <v>0</v>
      </c>
      <c r="O25" s="3">
        <v>0</v>
      </c>
      <c r="P25" s="10"/>
      <c r="Q25" s="3">
        <f>SUM(OSRRefD21_0_2x)+IFERROR(SUM(OSRRefE21_0_2x),0)</f>
        <v>5171.4799999999996</v>
      </c>
    </row>
    <row r="26" spans="1:17" s="42" customFormat="1" ht="15" hidden="1" customHeight="1" outlineLevel="1" x14ac:dyDescent="0.3">
      <c r="A26" s="34"/>
      <c r="B26" s="11" t="str">
        <f>CONCATENATE("          ","6114"," - ","STATE UNEMPLOYMENT INSURANCE")</f>
        <v xml:space="preserve">          6114 - STATE UNEMPLOYMENT INSURANCE</v>
      </c>
      <c r="C26" s="15"/>
      <c r="D26" s="3"/>
      <c r="E26" s="3"/>
      <c r="F26" s="3"/>
      <c r="G26" s="3"/>
      <c r="H26" s="3">
        <v>1.21</v>
      </c>
      <c r="I26" s="3">
        <v>7.99</v>
      </c>
      <c r="J26" s="3">
        <v>11.01</v>
      </c>
      <c r="K26" s="3">
        <v>16.989999999999998</v>
      </c>
      <c r="L26" s="3">
        <v>26.82</v>
      </c>
      <c r="M26" s="3">
        <v>21.07</v>
      </c>
      <c r="N26" s="3">
        <v>2.8862714999999999</v>
      </c>
      <c r="O26" s="3">
        <v>6.2556479999999999</v>
      </c>
      <c r="P26" s="10"/>
      <c r="Q26" s="3">
        <f>SUM(OSRRefD21_0_3x)+IFERROR(SUM(OSRRefE21_0_3x),0)</f>
        <v>94.231919500000004</v>
      </c>
    </row>
    <row r="27" spans="1:17" s="42" customFormat="1" ht="15" hidden="1" customHeight="1" outlineLevel="1" x14ac:dyDescent="0.3">
      <c r="A27" s="34"/>
      <c r="B27" s="11" t="str">
        <f>CONCATENATE("          ","6115"," - ","P.E.R.S.")</f>
        <v xml:space="preserve">          6115 - P.E.R.S.</v>
      </c>
      <c r="C27" s="15"/>
      <c r="D27" s="3"/>
      <c r="E27" s="3"/>
      <c r="F27" s="3"/>
      <c r="G27" s="3"/>
      <c r="H27" s="3"/>
      <c r="I27" s="3"/>
      <c r="J27" s="3"/>
      <c r="K27" s="3"/>
      <c r="L27" s="3"/>
      <c r="M27" s="3"/>
      <c r="N27" s="3">
        <v>0</v>
      </c>
      <c r="O27" s="3">
        <v>0</v>
      </c>
      <c r="P27" s="10"/>
      <c r="Q27" s="3">
        <f>SUM(OSRRefD21_0_4x)+IFERROR(SUM(OSRRefE21_0_4x),0)</f>
        <v>0</v>
      </c>
    </row>
    <row r="28" spans="1:17" s="42" customFormat="1" ht="15" hidden="1" customHeight="1" outlineLevel="1" x14ac:dyDescent="0.3">
      <c r="A28" s="34"/>
      <c r="B28" s="11" t="str">
        <f>CONCATENATE("          ","6116"," - ","EDUCATIONAL BENEFITS")</f>
        <v xml:space="preserve">          6116 - EDUCATIONAL BENEFITS</v>
      </c>
      <c r="C28" s="15"/>
      <c r="D28" s="3"/>
      <c r="E28" s="3"/>
      <c r="F28" s="3"/>
      <c r="G28" s="3"/>
      <c r="H28" s="3"/>
      <c r="I28" s="3"/>
      <c r="J28" s="3"/>
      <c r="K28" s="3"/>
      <c r="L28" s="3"/>
      <c r="M28" s="3"/>
      <c r="N28" s="3">
        <v>0</v>
      </c>
      <c r="O28" s="3">
        <v>0</v>
      </c>
      <c r="P28" s="10"/>
      <c r="Q28" s="3">
        <f>SUM(OSRRefD21_0_5x)+IFERROR(SUM(OSRRefE21_0_5x),0)</f>
        <v>0</v>
      </c>
    </row>
    <row r="29" spans="1:17" s="42" customFormat="1" ht="15" hidden="1" customHeight="1" outlineLevel="1" x14ac:dyDescent="0.3">
      <c r="A29" s="34"/>
      <c r="B29" s="11" t="str">
        <f>CONCATENATE("          ","6117"," - ","RETIREMENT STAFF HOURLY")</f>
        <v xml:space="preserve">          6117 - RETIREMENT STAFF HOURLY</v>
      </c>
      <c r="C29" s="15"/>
      <c r="D29" s="3"/>
      <c r="E29" s="3"/>
      <c r="F29" s="3"/>
      <c r="G29" s="3"/>
      <c r="H29" s="3"/>
      <c r="I29" s="3"/>
      <c r="J29" s="3">
        <v>211.66</v>
      </c>
      <c r="K29" s="3">
        <v>250.77</v>
      </c>
      <c r="L29" s="3">
        <v>294.60000000000002</v>
      </c>
      <c r="M29" s="3">
        <v>211.63</v>
      </c>
      <c r="N29" s="3"/>
      <c r="O29" s="3"/>
      <c r="P29" s="10"/>
      <c r="Q29" s="3">
        <f>SUM(OSRRefD21_0_6x)+IFERROR(SUM(OSRRefE21_0_6x),0)</f>
        <v>968.66</v>
      </c>
    </row>
    <row r="30" spans="1:17" s="42" customFormat="1" ht="15" hidden="1" customHeight="1" outlineLevel="1" x14ac:dyDescent="0.3">
      <c r="A30" s="34"/>
      <c r="B30" s="11" t="str">
        <f>CONCATENATE("          ","6118"," - ","VACATION")</f>
        <v xml:space="preserve">          6118 - VACATION</v>
      </c>
      <c r="C30" s="15"/>
      <c r="D30" s="3"/>
      <c r="E30" s="3"/>
      <c r="F30" s="3"/>
      <c r="G30" s="3"/>
      <c r="H30" s="3">
        <v>81.62</v>
      </c>
      <c r="I30" s="3">
        <v>163.24</v>
      </c>
      <c r="J30" s="3">
        <v>163.24</v>
      </c>
      <c r="K30" s="3">
        <v>163.24</v>
      </c>
      <c r="L30" s="3">
        <v>163.24</v>
      </c>
      <c r="M30" s="3">
        <v>244.86</v>
      </c>
      <c r="N30" s="3">
        <v>0</v>
      </c>
      <c r="O30" s="3">
        <v>0</v>
      </c>
      <c r="P30" s="10"/>
      <c r="Q30" s="3">
        <f>SUM(OSRRefD21_0_7x)+IFERROR(SUM(OSRRefE21_0_7x),0)</f>
        <v>979.44</v>
      </c>
    </row>
    <row r="31" spans="1:17" s="42" customFormat="1" ht="15" hidden="1" customHeight="1" outlineLevel="1" x14ac:dyDescent="0.3">
      <c r="A31" s="34"/>
      <c r="B31" s="11" t="str">
        <f>CONCATENATE("          ","6119"," - ","SICK LEAVE")</f>
        <v xml:space="preserve">          6119 - SICK LEAVE</v>
      </c>
      <c r="C31" s="15"/>
      <c r="D31" s="3"/>
      <c r="E31" s="3"/>
      <c r="F31" s="3"/>
      <c r="G31" s="3"/>
      <c r="H31" s="3">
        <v>97.79</v>
      </c>
      <c r="I31" s="3">
        <v>195.58</v>
      </c>
      <c r="J31" s="3">
        <v>195.58</v>
      </c>
      <c r="K31" s="3">
        <v>195.58</v>
      </c>
      <c r="L31" s="3">
        <v>195.58</v>
      </c>
      <c r="M31" s="3">
        <v>293.37</v>
      </c>
      <c r="N31" s="3">
        <v>41.23245</v>
      </c>
      <c r="O31" s="3">
        <v>89.366399999999999</v>
      </c>
      <c r="P31" s="10"/>
      <c r="Q31" s="3">
        <f>SUM(OSRRefD21_0_8x)+IFERROR(SUM(OSRRefE21_0_8x),0)</f>
        <v>1304.0788500000001</v>
      </c>
    </row>
    <row r="32" spans="1:17" s="42" customFormat="1" ht="15" hidden="1" customHeight="1" outlineLevel="1" x14ac:dyDescent="0.3">
      <c r="A32" s="34"/>
      <c r="B32" s="11" t="str">
        <f>CONCATENATE("          ","6156"," - ","EMPLOYEE MEALS")</f>
        <v xml:space="preserve">          6156 - EMPLOYEE MEALS</v>
      </c>
      <c r="C32" s="15"/>
      <c r="D32" s="3"/>
      <c r="E32" s="3">
        <v>78.08</v>
      </c>
      <c r="F32" s="3"/>
      <c r="G32" s="3"/>
      <c r="H32" s="3"/>
      <c r="I32" s="3">
        <v>187.17</v>
      </c>
      <c r="J32" s="3">
        <v>195</v>
      </c>
      <c r="K32" s="3">
        <v>220</v>
      </c>
      <c r="L32" s="3">
        <v>220</v>
      </c>
      <c r="M32" s="3">
        <v>219.48</v>
      </c>
      <c r="N32" s="3"/>
      <c r="O32" s="3"/>
      <c r="P32" s="10"/>
      <c r="Q32" s="3">
        <f>SUM(OSRRefD21_0_9x)+IFERROR(SUM(OSRRefE21_0_9x),0)</f>
        <v>1119.73</v>
      </c>
    </row>
    <row r="33" spans="1:17" s="42" customFormat="1" ht="15" customHeight="1" collapsed="1" x14ac:dyDescent="0.3">
      <c r="A33" s="34"/>
      <c r="B33" s="15" t="str">
        <f>CONCATENATE("     ","*Payroll                                          ")</f>
        <v xml:space="preserve">     *Payroll                                          </v>
      </c>
      <c r="C33" s="15"/>
      <c r="D33" s="2">
        <f>SUM(OSRRefD21_1x_0)</f>
        <v>0</v>
      </c>
      <c r="E33" s="2">
        <f>SUM(OSRRefD21_1x_1)</f>
        <v>90.3</v>
      </c>
      <c r="F33" s="2">
        <f>SUM(OSRRefD21_1x_2)</f>
        <v>0</v>
      </c>
      <c r="G33" s="2">
        <f>SUM(OSRRefD21_1x_3)</f>
        <v>0</v>
      </c>
      <c r="H33" s="2">
        <f>SUM(OSRRefD21_1x_4)</f>
        <v>466.93</v>
      </c>
      <c r="I33" s="2">
        <f>SUM(OSRRefD21_1x_5)</f>
        <v>3071.88</v>
      </c>
      <c r="J33" s="2">
        <f>SUM(OSRRefD21_1x_6)</f>
        <v>5089.12</v>
      </c>
      <c r="K33" s="2">
        <f>SUM(OSRRefD21_1x_7)</f>
        <v>8437.4</v>
      </c>
      <c r="L33" s="2">
        <f>SUM(OSRRefD21_1x_8)</f>
        <v>10505.5</v>
      </c>
      <c r="M33" s="2">
        <f>SUM(OSRRefD21_1x_9)</f>
        <v>10161.66</v>
      </c>
      <c r="N33" s="2">
        <f>SUM(OSRRefE21_1x_0)</f>
        <v>1333.18255</v>
      </c>
      <c r="O33" s="2">
        <f>SUM(OSRRefE21_1x_1)</f>
        <v>2889.5136000000002</v>
      </c>
      <c r="Q33" s="3">
        <f>SUM(OSRRefD20_1x)+IFERROR(SUM(OSRRefE20_1x),0)</f>
        <v>42045.486149999997</v>
      </c>
    </row>
    <row r="34" spans="1:17" s="42" customFormat="1" ht="15" hidden="1" customHeight="1" outlineLevel="1" x14ac:dyDescent="0.3">
      <c r="A34" s="34"/>
      <c r="B34" s="11" t="str">
        <f>CONCATENATE("          ","6001"," - ","ADMINISTRATIVE SALARIES")</f>
        <v xml:space="preserve">          6001 - ADMINISTRATIVE SALARIES</v>
      </c>
      <c r="C34" s="15"/>
      <c r="D34" s="3"/>
      <c r="E34" s="3"/>
      <c r="F34" s="3"/>
      <c r="G34" s="3"/>
      <c r="H34" s="3"/>
      <c r="I34" s="3"/>
      <c r="J34" s="3"/>
      <c r="K34" s="3"/>
      <c r="L34" s="3"/>
      <c r="M34" s="3"/>
      <c r="N34" s="3">
        <v>0</v>
      </c>
      <c r="O34" s="3">
        <v>0</v>
      </c>
      <c r="P34" s="10"/>
      <c r="Q34" s="3">
        <f>SUM(OSRRefD21_1_0x)+IFERROR(SUM(OSRRefE21_1_0x),0)</f>
        <v>0</v>
      </c>
    </row>
    <row r="35" spans="1:17" s="42" customFormat="1" ht="15" hidden="1" customHeight="1" outlineLevel="1" x14ac:dyDescent="0.3">
      <c r="A35" s="34"/>
      <c r="B35" s="11" t="str">
        <f>CONCATENATE("          ","6002"," - ","STAFF SALARIES")</f>
        <v xml:space="preserve">          6002 - STAFF SALARIES</v>
      </c>
      <c r="C35" s="15"/>
      <c r="D35" s="3"/>
      <c r="E35" s="3"/>
      <c r="F35" s="3"/>
      <c r="G35" s="3"/>
      <c r="H35" s="3"/>
      <c r="I35" s="3"/>
      <c r="J35" s="3"/>
      <c r="K35" s="3"/>
      <c r="L35" s="3"/>
      <c r="M35" s="3"/>
      <c r="N35" s="3">
        <v>0</v>
      </c>
      <c r="O35" s="3">
        <v>0</v>
      </c>
      <c r="P35" s="10"/>
      <c r="Q35" s="3">
        <f>SUM(OSRRefD21_1_1x)+IFERROR(SUM(OSRRefE21_1_1x),0)</f>
        <v>0</v>
      </c>
    </row>
    <row r="36" spans="1:17" s="42" customFormat="1" ht="15" hidden="1" customHeight="1" outlineLevel="1" x14ac:dyDescent="0.3">
      <c r="A36" s="34"/>
      <c r="B36" s="11" t="str">
        <f>CONCATENATE("          ","6003"," - ","STAFF HOURLY-9 MONTH")</f>
        <v xml:space="preserve">          6003 - STAFF HOURLY-9 MONTH</v>
      </c>
      <c r="C36" s="15"/>
      <c r="D36" s="3"/>
      <c r="E36" s="3"/>
      <c r="F36" s="3"/>
      <c r="G36" s="3"/>
      <c r="H36" s="3"/>
      <c r="I36" s="3"/>
      <c r="J36" s="3"/>
      <c r="K36" s="3"/>
      <c r="L36" s="3"/>
      <c r="M36" s="3"/>
      <c r="N36" s="3">
        <v>0</v>
      </c>
      <c r="O36" s="3">
        <v>0</v>
      </c>
      <c r="P36" s="10"/>
      <c r="Q36" s="3">
        <f>SUM(OSRRefD21_1_2x)+IFERROR(SUM(OSRRefE21_1_2x),0)</f>
        <v>0</v>
      </c>
    </row>
    <row r="37" spans="1:17" s="42" customFormat="1" ht="15" hidden="1" customHeight="1" outlineLevel="1" x14ac:dyDescent="0.3">
      <c r="A37" s="34"/>
      <c r="B37" s="11" t="str">
        <f>CONCATENATE("          ","6004"," - ","STAFF HOURLY")</f>
        <v xml:space="preserve">          6004 - STAFF HOURLY</v>
      </c>
      <c r="C37" s="15"/>
      <c r="D37" s="3"/>
      <c r="E37" s="3"/>
      <c r="F37" s="3"/>
      <c r="G37" s="3"/>
      <c r="H37" s="3">
        <v>466.93</v>
      </c>
      <c r="I37" s="3">
        <v>3071.88</v>
      </c>
      <c r="J37" s="3">
        <v>4021.12</v>
      </c>
      <c r="K37" s="3">
        <v>6601.4</v>
      </c>
      <c r="L37" s="3">
        <v>4230.8900000000003</v>
      </c>
      <c r="M37" s="3">
        <v>6240.77</v>
      </c>
      <c r="N37" s="3">
        <v>490.40775000000002</v>
      </c>
      <c r="O37" s="3">
        <v>1494.576</v>
      </c>
      <c r="P37" s="10"/>
      <c r="Q37" s="3">
        <f>SUM(OSRRefD21_1_3x)+IFERROR(SUM(OSRRefE21_1_3x),0)</f>
        <v>26617.973750000001</v>
      </c>
    </row>
    <row r="38" spans="1:17" s="42" customFormat="1" ht="15" hidden="1" customHeight="1" outlineLevel="1" x14ac:dyDescent="0.3">
      <c r="A38" s="34"/>
      <c r="B38" s="11" t="str">
        <f>CONCATENATE("          ","6005"," - ","TEMPORARY WAGES-HOURLY")</f>
        <v xml:space="preserve">          6005 - TEMPORARY WAGES-HOURLY</v>
      </c>
      <c r="C38" s="15"/>
      <c r="D38" s="3"/>
      <c r="E38" s="3">
        <v>90.3</v>
      </c>
      <c r="F38" s="3"/>
      <c r="G38" s="3"/>
      <c r="H38" s="3"/>
      <c r="I38" s="3"/>
      <c r="J38" s="3"/>
      <c r="K38" s="3">
        <v>548.64</v>
      </c>
      <c r="L38" s="3"/>
      <c r="M38" s="3"/>
      <c r="N38" s="3">
        <v>0</v>
      </c>
      <c r="O38" s="3">
        <v>0</v>
      </c>
      <c r="P38" s="10"/>
      <c r="Q38" s="3">
        <f>SUM(OSRRefD21_1_4x)+IFERROR(SUM(OSRRefE21_1_4x),0)</f>
        <v>638.93999999999994</v>
      </c>
    </row>
    <row r="39" spans="1:17" s="42" customFormat="1" ht="15" hidden="1" customHeight="1" outlineLevel="1" x14ac:dyDescent="0.3">
      <c r="A39" s="34"/>
      <c r="B39" s="11" t="str">
        <f>CONCATENATE("          ","6006"," - ","TEMPORARY PART TIME")</f>
        <v xml:space="preserve">          6006 - TEMPORARY PART TIME</v>
      </c>
      <c r="C39" s="15"/>
      <c r="D39" s="3"/>
      <c r="E39" s="3"/>
      <c r="F39" s="3"/>
      <c r="G39" s="3"/>
      <c r="H39" s="3"/>
      <c r="I39" s="3"/>
      <c r="J39" s="3"/>
      <c r="K39" s="3">
        <v>641</v>
      </c>
      <c r="L39" s="3">
        <v>1702.24</v>
      </c>
      <c r="M39" s="3">
        <v>2858.76</v>
      </c>
      <c r="N39" s="3">
        <v>0</v>
      </c>
      <c r="O39" s="3">
        <v>0</v>
      </c>
      <c r="P39" s="10"/>
      <c r="Q39" s="3">
        <f>SUM(OSRRefD21_1_5x)+IFERROR(SUM(OSRRefE21_1_5x),0)</f>
        <v>5202</v>
      </c>
    </row>
    <row r="40" spans="1:17" s="42" customFormat="1" ht="15" hidden="1" customHeight="1" outlineLevel="1" x14ac:dyDescent="0.3">
      <c r="A40" s="34"/>
      <c r="B40" s="11" t="str">
        <f>CONCATENATE("          ","6007"," - ","STUDENT HOURLY")</f>
        <v xml:space="preserve">          6007 - STUDENT HOURLY</v>
      </c>
      <c r="C40" s="15"/>
      <c r="D40" s="3"/>
      <c r="E40" s="3"/>
      <c r="F40" s="3"/>
      <c r="G40" s="3"/>
      <c r="H40" s="3"/>
      <c r="I40" s="3"/>
      <c r="J40" s="3">
        <v>1068</v>
      </c>
      <c r="K40" s="3">
        <v>225.11</v>
      </c>
      <c r="L40" s="3">
        <v>4041.27</v>
      </c>
      <c r="M40" s="3">
        <v>288.88</v>
      </c>
      <c r="N40" s="3">
        <v>0</v>
      </c>
      <c r="O40" s="3">
        <v>0</v>
      </c>
      <c r="P40" s="10"/>
      <c r="Q40" s="3">
        <f>SUM(OSRRefD21_1_6x)+IFERROR(SUM(OSRRefE21_1_6x),0)</f>
        <v>5623.26</v>
      </c>
    </row>
    <row r="41" spans="1:17" s="42" customFormat="1" ht="15" hidden="1" customHeight="1" outlineLevel="1" x14ac:dyDescent="0.3">
      <c r="A41" s="34"/>
      <c r="B41" s="11" t="str">
        <f>CONCATENATE("          ","6008"," - ","STUDENT HOURLY-FICA EXEMPT")</f>
        <v xml:space="preserve">          6008 - STUDENT HOURLY-FICA EXEMPT</v>
      </c>
      <c r="C41" s="15"/>
      <c r="D41" s="3"/>
      <c r="E41" s="3"/>
      <c r="F41" s="3"/>
      <c r="G41" s="3"/>
      <c r="H41" s="3"/>
      <c r="I41" s="3"/>
      <c r="J41" s="3"/>
      <c r="K41" s="3">
        <v>421.25</v>
      </c>
      <c r="L41" s="3">
        <v>531.1</v>
      </c>
      <c r="M41" s="3">
        <v>773.25</v>
      </c>
      <c r="N41" s="3">
        <v>842.77480000000003</v>
      </c>
      <c r="O41" s="3">
        <v>1394.9376</v>
      </c>
      <c r="P41" s="10"/>
      <c r="Q41" s="3">
        <f>SUM(OSRRefD21_1_7x)+IFERROR(SUM(OSRRefE21_1_7x),0)</f>
        <v>3963.3123999999998</v>
      </c>
    </row>
    <row r="42" spans="1:17" s="42" customFormat="1" ht="15" hidden="1" customHeight="1" outlineLevel="1" x14ac:dyDescent="0.3">
      <c r="A42" s="34"/>
      <c r="B42" s="11" t="str">
        <f>CONCATENATE("          ","6009"," - ","TEMPORARY-SEASONAL")</f>
        <v xml:space="preserve">          6009 - TEMPORARY-SEASONAL</v>
      </c>
      <c r="C42" s="15"/>
      <c r="D42" s="3"/>
      <c r="E42" s="3"/>
      <c r="F42" s="3"/>
      <c r="G42" s="3"/>
      <c r="H42" s="3"/>
      <c r="I42" s="3"/>
      <c r="J42" s="3"/>
      <c r="K42" s="3"/>
      <c r="L42" s="3"/>
      <c r="M42" s="3"/>
      <c r="N42" s="3">
        <v>0</v>
      </c>
      <c r="O42" s="3">
        <v>0</v>
      </c>
      <c r="P42" s="10"/>
      <c r="Q42" s="3">
        <f>SUM(OSRRefD21_1_8x)+IFERROR(SUM(OSRRefE21_1_8x),0)</f>
        <v>0</v>
      </c>
    </row>
    <row r="43" spans="1:17" s="42" customFormat="1" ht="15" hidden="1" customHeight="1" outlineLevel="1" x14ac:dyDescent="0.3">
      <c r="A43" s="34"/>
      <c r="B43" s="11" t="str">
        <f>CONCATENATE("          ","6010"," - ","GRATUITY")</f>
        <v xml:space="preserve">          6010 - GRATUITY</v>
      </c>
      <c r="C43" s="15"/>
      <c r="D43" s="3"/>
      <c r="E43" s="3"/>
      <c r="F43" s="3"/>
      <c r="G43" s="3"/>
      <c r="H43" s="3"/>
      <c r="I43" s="3"/>
      <c r="J43" s="3"/>
      <c r="K43" s="3"/>
      <c r="L43" s="3"/>
      <c r="M43" s="3"/>
      <c r="N43" s="3">
        <v>0</v>
      </c>
      <c r="O43" s="3">
        <v>0</v>
      </c>
      <c r="P43" s="10"/>
      <c r="Q43" s="3">
        <f>SUM(OSRRefD21_1_9x)+IFERROR(SUM(OSRRefE21_1_9x),0)</f>
        <v>0</v>
      </c>
    </row>
    <row r="44" spans="1:17" s="42" customFormat="1" ht="15" customHeight="1" collapsed="1" x14ac:dyDescent="0.3">
      <c r="A44" s="34"/>
      <c r="B44" s="15" t="str">
        <f>CONCATENATE("     ","Advertising/Promo                                 ")</f>
        <v xml:space="preserve">     Advertising/Promo                                 </v>
      </c>
      <c r="C44" s="15"/>
      <c r="D44" s="2">
        <f>SUM(OSRRefD21_2x_0)</f>
        <v>0</v>
      </c>
      <c r="E44" s="2">
        <f>SUM(OSRRefD21_2x_1)</f>
        <v>0</v>
      </c>
      <c r="F44" s="2">
        <f>SUM(OSRRefD21_2x_2)</f>
        <v>0</v>
      </c>
      <c r="G44" s="2">
        <f>SUM(OSRRefD21_2x_3)</f>
        <v>0</v>
      </c>
      <c r="H44" s="2">
        <f>SUM(OSRRefD21_2x_4)</f>
        <v>0</v>
      </c>
      <c r="I44" s="2">
        <f>SUM(OSRRefD21_2x_5)</f>
        <v>0</v>
      </c>
      <c r="J44" s="2">
        <f>SUM(OSRRefD21_2x_6)</f>
        <v>0</v>
      </c>
      <c r="K44" s="2">
        <f>SUM(OSRRefD21_2x_7)</f>
        <v>485.45</v>
      </c>
      <c r="L44" s="2">
        <f>SUM(OSRRefD21_2x_8)</f>
        <v>2.19</v>
      </c>
      <c r="M44" s="2">
        <f>SUM(OSRRefD21_2x_9)</f>
        <v>0</v>
      </c>
      <c r="N44" s="2">
        <f>SUM(OSRRefE21_2x_0)</f>
        <v>0</v>
      </c>
      <c r="O44" s="2">
        <f>SUM(OSRRefE21_2x_1)</f>
        <v>0</v>
      </c>
      <c r="Q44" s="3">
        <f>SUM(OSRRefD20_2x)+IFERROR(SUM(OSRRefE20_2x),0)</f>
        <v>487.64</v>
      </c>
    </row>
    <row r="45" spans="1:17" s="42" customFormat="1" ht="15" hidden="1" customHeight="1" outlineLevel="1" x14ac:dyDescent="0.3">
      <c r="A45" s="34"/>
      <c r="B45" s="11" t="str">
        <f>CONCATENATE("          ","6362"," - ","ADVERTISING EXPENSE")</f>
        <v xml:space="preserve">          6362 - ADVERTISING EXPENSE</v>
      </c>
      <c r="C45" s="15"/>
      <c r="D45" s="3"/>
      <c r="E45" s="3"/>
      <c r="F45" s="3"/>
      <c r="G45" s="3"/>
      <c r="H45" s="3"/>
      <c r="I45" s="3"/>
      <c r="J45" s="3"/>
      <c r="K45" s="3">
        <v>485.45</v>
      </c>
      <c r="L45" s="3">
        <v>2.19</v>
      </c>
      <c r="M45" s="3"/>
      <c r="N45" s="3"/>
      <c r="O45" s="3"/>
      <c r="P45" s="10"/>
      <c r="Q45" s="3">
        <f>SUM(OSRRefD21_2_0x)+IFERROR(SUM(OSRRefE21_2_0x),0)</f>
        <v>487.64</v>
      </c>
    </row>
    <row r="46" spans="1:17" s="42" customFormat="1" ht="15" customHeight="1" collapsed="1" x14ac:dyDescent="0.3">
      <c r="A46" s="34"/>
      <c r="B46" s="15" t="str">
        <f>CONCATENATE("     ","Bad Debts/Over/Short                              ")</f>
        <v xml:space="preserve">     Bad Debts/Over/Short                              </v>
      </c>
      <c r="C46" s="15"/>
      <c r="D46" s="2">
        <f>SUM(OSRRefD21_3x_0)</f>
        <v>0</v>
      </c>
      <c r="E46" s="2">
        <f>SUM(OSRRefD21_3x_1)</f>
        <v>0</v>
      </c>
      <c r="F46" s="2">
        <f>SUM(OSRRefD21_3x_2)</f>
        <v>0</v>
      </c>
      <c r="G46" s="2">
        <f>SUM(OSRRefD21_3x_3)</f>
        <v>0</v>
      </c>
      <c r="H46" s="2">
        <f>SUM(OSRRefD21_3x_4)</f>
        <v>0</v>
      </c>
      <c r="I46" s="2">
        <f>SUM(OSRRefD21_3x_5)</f>
        <v>0</v>
      </c>
      <c r="J46" s="2">
        <f>SUM(OSRRefD21_3x_6)</f>
        <v>0</v>
      </c>
      <c r="K46" s="2">
        <f>SUM(OSRRefD21_3x_7)</f>
        <v>-5.69</v>
      </c>
      <c r="L46" s="2">
        <f>SUM(OSRRefD21_3x_8)</f>
        <v>-0.96</v>
      </c>
      <c r="M46" s="2">
        <f>SUM(OSRRefD21_3x_9)</f>
        <v>0.27</v>
      </c>
      <c r="N46" s="2">
        <f>SUM(OSRRefE21_3x_0)</f>
        <v>0</v>
      </c>
      <c r="O46" s="2">
        <f>SUM(OSRRefE21_3x_1)</f>
        <v>0</v>
      </c>
      <c r="Q46" s="3">
        <f>SUM(OSRRefD20_3x)+IFERROR(SUM(OSRRefE20_3x),0)</f>
        <v>-6.3800000000000008</v>
      </c>
    </row>
    <row r="47" spans="1:17" s="42" customFormat="1" ht="15" hidden="1" customHeight="1" outlineLevel="1" x14ac:dyDescent="0.3">
      <c r="A47" s="34"/>
      <c r="B47" s="11" t="str">
        <f>CONCATENATE("          ","6272"," - ","CASH (OVER/SHORT)")</f>
        <v xml:space="preserve">          6272 - CASH (OVER/SHORT)</v>
      </c>
      <c r="C47" s="15"/>
      <c r="D47" s="3"/>
      <c r="E47" s="3"/>
      <c r="F47" s="3"/>
      <c r="G47" s="3"/>
      <c r="H47" s="3"/>
      <c r="I47" s="3"/>
      <c r="J47" s="3"/>
      <c r="K47" s="3">
        <v>-5.69</v>
      </c>
      <c r="L47" s="3">
        <v>-0.96</v>
      </c>
      <c r="M47" s="3">
        <v>0.27</v>
      </c>
      <c r="N47" s="3"/>
      <c r="O47" s="3"/>
      <c r="P47" s="10"/>
      <c r="Q47" s="3">
        <f>SUM(OSRRefD21_3_0x)+IFERROR(SUM(OSRRefE21_3_0x),0)</f>
        <v>-6.3800000000000008</v>
      </c>
    </row>
    <row r="48" spans="1:17" s="42" customFormat="1" ht="15" customHeight="1" collapsed="1" x14ac:dyDescent="0.3">
      <c r="A48" s="34"/>
      <c r="B48" s="15" t="str">
        <f>CONCATENATE("     ","Bank/card Fees                                    ")</f>
        <v xml:space="preserve">     Bank/card Fees                                    </v>
      </c>
      <c r="C48" s="15"/>
      <c r="D48" s="2">
        <f>SUM(OSRRefD21_4x_0)</f>
        <v>75.12</v>
      </c>
      <c r="E48" s="2">
        <f>SUM(OSRRefD21_4x_1)</f>
        <v>100.34</v>
      </c>
      <c r="F48" s="2">
        <f>SUM(OSRRefD21_4x_2)</f>
        <v>99.95</v>
      </c>
      <c r="G48" s="2">
        <f>SUM(OSRRefD21_4x_3)</f>
        <v>99.95</v>
      </c>
      <c r="H48" s="2">
        <f>SUM(OSRRefD21_4x_4)</f>
        <v>25</v>
      </c>
      <c r="I48" s="2">
        <f>SUM(OSRRefD21_4x_5)</f>
        <v>25</v>
      </c>
      <c r="J48" s="2">
        <f>SUM(OSRRefD21_4x_6)</f>
        <v>25</v>
      </c>
      <c r="K48" s="2">
        <f>SUM(OSRRefD21_4x_7)</f>
        <v>995.57</v>
      </c>
      <c r="L48" s="2">
        <f>SUM(OSRRefD21_4x_8)</f>
        <v>1462</v>
      </c>
      <c r="M48" s="2">
        <f>SUM(OSRRefD21_4x_9)</f>
        <v>1444.34</v>
      </c>
      <c r="N48" s="2">
        <f>SUM(OSRRefE21_4x_0)</f>
        <v>469</v>
      </c>
      <c r="O48" s="2">
        <f>SUM(OSRRefE21_4x_1)</f>
        <v>127</v>
      </c>
      <c r="Q48" s="3">
        <f>SUM(OSRRefD20_4x)+IFERROR(SUM(OSRRefE20_4x),0)</f>
        <v>4948.2700000000004</v>
      </c>
    </row>
    <row r="49" spans="1:17" s="42" customFormat="1" ht="15" hidden="1" customHeight="1" outlineLevel="1" x14ac:dyDescent="0.3">
      <c r="A49" s="34"/>
      <c r="B49" s="11" t="str">
        <f>CONCATENATE("          ","6381"," - ","BANK/CREDIT CARD FEES")</f>
        <v xml:space="preserve">          6381 - BANK/CREDIT CARD FEES</v>
      </c>
      <c r="C49" s="15"/>
      <c r="D49" s="3">
        <v>75.12</v>
      </c>
      <c r="E49" s="3">
        <v>100.34</v>
      </c>
      <c r="F49" s="3">
        <v>99.95</v>
      </c>
      <c r="G49" s="3">
        <v>99.95</v>
      </c>
      <c r="H49" s="3">
        <v>25</v>
      </c>
      <c r="I49" s="3">
        <v>25</v>
      </c>
      <c r="J49" s="3">
        <v>25</v>
      </c>
      <c r="K49" s="3">
        <v>995.57</v>
      </c>
      <c r="L49" s="3">
        <v>1462</v>
      </c>
      <c r="M49" s="3">
        <v>1444.34</v>
      </c>
      <c r="N49" s="3">
        <v>469</v>
      </c>
      <c r="O49" s="3">
        <v>127</v>
      </c>
      <c r="P49" s="10"/>
      <c r="Q49" s="3">
        <f>SUM(OSRRefD21_4_0x)+IFERROR(SUM(OSRRefE21_4_0x),0)</f>
        <v>4948.2700000000004</v>
      </c>
    </row>
    <row r="50" spans="1:17" s="42" customFormat="1" ht="15" customHeight="1" collapsed="1" x14ac:dyDescent="0.3">
      <c r="A50" s="34"/>
      <c r="B50" s="15" t="str">
        <f>CONCATENATE("     ","Depreciation                                      ")</f>
        <v xml:space="preserve">     Depreciation                                      </v>
      </c>
      <c r="C50" s="15"/>
      <c r="D50" s="2">
        <f>SUM(OSRRefD21_5x_0)</f>
        <v>1075.3900000000001</v>
      </c>
      <c r="E50" s="2">
        <f>SUM(OSRRefD21_5x_1)</f>
        <v>1075.3900000000001</v>
      </c>
      <c r="F50" s="2">
        <f>SUM(OSRRefD21_5x_2)</f>
        <v>1075.3800000000001</v>
      </c>
      <c r="G50" s="2">
        <f>SUM(OSRRefD21_5x_3)</f>
        <v>264.60000000000002</v>
      </c>
      <c r="H50" s="2">
        <f>SUM(OSRRefD21_5x_4)</f>
        <v>264.60000000000002</v>
      </c>
      <c r="I50" s="2">
        <f>SUM(OSRRefD21_5x_5)</f>
        <v>264.60000000000002</v>
      </c>
      <c r="J50" s="2">
        <f>SUM(OSRRefD21_5x_6)</f>
        <v>264.60000000000002</v>
      </c>
      <c r="K50" s="2">
        <f>SUM(OSRRefD21_5x_7)</f>
        <v>264.60000000000002</v>
      </c>
      <c r="L50" s="2">
        <f>SUM(OSRRefD21_5x_8)</f>
        <v>264.60000000000002</v>
      </c>
      <c r="M50" s="2">
        <f>SUM(OSRRefD21_5x_9)</f>
        <v>264.60000000000002</v>
      </c>
      <c r="N50" s="2">
        <f>SUM(OSRRefE21_5x_0)</f>
        <v>265</v>
      </c>
      <c r="O50" s="2">
        <f>SUM(OSRRefE21_5x_1)</f>
        <v>107</v>
      </c>
      <c r="Q50" s="3">
        <f>SUM(OSRRefD20_5x)+IFERROR(SUM(OSRRefE20_5x),0)</f>
        <v>5450.3600000000015</v>
      </c>
    </row>
    <row r="51" spans="1:17" s="42" customFormat="1" ht="15" hidden="1" customHeight="1" outlineLevel="1" x14ac:dyDescent="0.3">
      <c r="A51" s="34"/>
      <c r="B51" s="11" t="str">
        <f>CONCATENATE("          ","6322"," - ","EQUIPMENT DEPRECIATION EXPENSE")</f>
        <v xml:space="preserve">          6322 - EQUIPMENT DEPRECIATION EXPENSE</v>
      </c>
      <c r="C51" s="15"/>
      <c r="D51" s="3">
        <v>1075.3900000000001</v>
      </c>
      <c r="E51" s="3">
        <v>1075.3900000000001</v>
      </c>
      <c r="F51" s="3">
        <v>1075.3800000000001</v>
      </c>
      <c r="G51" s="3">
        <v>264.60000000000002</v>
      </c>
      <c r="H51" s="3">
        <v>264.60000000000002</v>
      </c>
      <c r="I51" s="3">
        <v>264.60000000000002</v>
      </c>
      <c r="J51" s="3">
        <v>264.60000000000002</v>
      </c>
      <c r="K51" s="3">
        <v>264.60000000000002</v>
      </c>
      <c r="L51" s="3">
        <v>264.60000000000002</v>
      </c>
      <c r="M51" s="3">
        <v>264.60000000000002</v>
      </c>
      <c r="N51" s="3">
        <v>265</v>
      </c>
      <c r="O51" s="3">
        <v>107</v>
      </c>
      <c r="P51" s="10"/>
      <c r="Q51" s="3">
        <f>SUM(OSRRefD21_5_0x)+IFERROR(SUM(OSRRefE21_5_0x),0)</f>
        <v>5450.3600000000015</v>
      </c>
    </row>
    <row r="52" spans="1:17" s="42" customFormat="1" ht="15" customHeight="1" collapsed="1" x14ac:dyDescent="0.3">
      <c r="A52" s="34"/>
      <c r="B52" s="15" t="str">
        <f>CONCATENATE("     ","General                                           ")</f>
        <v xml:space="preserve">     General                                           </v>
      </c>
      <c r="C52" s="15"/>
      <c r="D52" s="2">
        <f>SUM(OSRRefD21_6x_0)</f>
        <v>0</v>
      </c>
      <c r="E52" s="2">
        <f>SUM(OSRRefD21_6x_1)</f>
        <v>769.55</v>
      </c>
      <c r="F52" s="2">
        <f>SUM(OSRRefD21_6x_2)</f>
        <v>0</v>
      </c>
      <c r="G52" s="2">
        <f>SUM(OSRRefD21_6x_3)</f>
        <v>0</v>
      </c>
      <c r="H52" s="2">
        <f>SUM(OSRRefD21_6x_4)</f>
        <v>112.19</v>
      </c>
      <c r="I52" s="2">
        <f>SUM(OSRRefD21_6x_5)</f>
        <v>272.19</v>
      </c>
      <c r="J52" s="2">
        <f>SUM(OSRRefD21_6x_6)</f>
        <v>0</v>
      </c>
      <c r="K52" s="2">
        <f>SUM(OSRRefD21_6x_7)</f>
        <v>0</v>
      </c>
      <c r="L52" s="2">
        <f>SUM(OSRRefD21_6x_8)</f>
        <v>0</v>
      </c>
      <c r="M52" s="2">
        <f>SUM(OSRRefD21_6x_9)</f>
        <v>0</v>
      </c>
      <c r="N52" s="2">
        <f>SUM(OSRRefE21_6x_0)</f>
        <v>0</v>
      </c>
      <c r="O52" s="2">
        <f>SUM(OSRRefE21_6x_1)</f>
        <v>0</v>
      </c>
      <c r="Q52" s="3">
        <f>SUM(OSRRefD20_6x)+IFERROR(SUM(OSRRefE20_6x),0)</f>
        <v>1153.93</v>
      </c>
    </row>
    <row r="53" spans="1:17" s="42" customFormat="1" ht="15" hidden="1" customHeight="1" outlineLevel="1" x14ac:dyDescent="0.3">
      <c r="A53" s="34"/>
      <c r="B53" s="11" t="str">
        <f>CONCATENATE("          ","6279"," - ","GENERAL EXPENSE")</f>
        <v xml:space="preserve">          6279 - GENERAL EXPENSE</v>
      </c>
      <c r="C53" s="15"/>
      <c r="D53" s="3"/>
      <c r="E53" s="3">
        <v>769.55</v>
      </c>
      <c r="F53" s="3"/>
      <c r="G53" s="3"/>
      <c r="H53" s="3">
        <v>112.19</v>
      </c>
      <c r="I53" s="3">
        <v>272.19</v>
      </c>
      <c r="J53" s="3"/>
      <c r="K53" s="3"/>
      <c r="L53" s="3"/>
      <c r="M53" s="3"/>
      <c r="N53" s="3"/>
      <c r="O53" s="3"/>
      <c r="P53" s="10"/>
      <c r="Q53" s="3">
        <f>SUM(OSRRefD21_6_0x)+IFERROR(SUM(OSRRefE21_6_0x),0)</f>
        <v>1153.93</v>
      </c>
    </row>
    <row r="54" spans="1:17" s="42" customFormat="1" ht="15" customHeight="1" collapsed="1" x14ac:dyDescent="0.3">
      <c r="A54" s="34"/>
      <c r="B54" s="15" t="str">
        <f>CONCATENATE("     ","Repair and Maintenance                            ")</f>
        <v xml:space="preserve">     Repair and Maintenance                            </v>
      </c>
      <c r="C54" s="15"/>
      <c r="D54" s="2">
        <f>SUM(OSRRefD21_7x_0)</f>
        <v>0</v>
      </c>
      <c r="E54" s="2">
        <f>SUM(OSRRefD21_7x_1)</f>
        <v>0</v>
      </c>
      <c r="F54" s="2">
        <f>SUM(OSRRefD21_7x_2)</f>
        <v>47.9</v>
      </c>
      <c r="G54" s="2">
        <f>SUM(OSRRefD21_7x_3)</f>
        <v>0</v>
      </c>
      <c r="H54" s="2">
        <f>SUM(OSRRefD21_7x_4)</f>
        <v>0</v>
      </c>
      <c r="I54" s="2">
        <f>SUM(OSRRefD21_7x_5)</f>
        <v>49.93</v>
      </c>
      <c r="J54" s="2">
        <f>SUM(OSRRefD21_7x_6)</f>
        <v>0</v>
      </c>
      <c r="K54" s="2">
        <f>SUM(OSRRefD21_7x_7)</f>
        <v>1570.67</v>
      </c>
      <c r="L54" s="2">
        <f>SUM(OSRRefD21_7x_8)</f>
        <v>66.92</v>
      </c>
      <c r="M54" s="2">
        <f>SUM(OSRRefD21_7x_9)</f>
        <v>7.87</v>
      </c>
      <c r="N54" s="2">
        <f>SUM(OSRRefE21_7x_0)</f>
        <v>115</v>
      </c>
      <c r="O54" s="2">
        <f>SUM(OSRRefE21_7x_1)</f>
        <v>115</v>
      </c>
      <c r="Q54" s="3">
        <f>SUM(OSRRefD20_7x)+IFERROR(SUM(OSRRefE20_7x),0)</f>
        <v>1973.29</v>
      </c>
    </row>
    <row r="55" spans="1:17" s="42" customFormat="1" ht="15" hidden="1" customHeight="1" outlineLevel="1" x14ac:dyDescent="0.3">
      <c r="A55" s="34"/>
      <c r="B55" s="11" t="str">
        <f>CONCATENATE("          ","6373"," - ","MAINTENANCE CONTRACTS")</f>
        <v xml:space="preserve">          6373 - MAINTENANCE CONTRACTS</v>
      </c>
      <c r="C55" s="15"/>
      <c r="D55" s="3"/>
      <c r="E55" s="3"/>
      <c r="F55" s="3">
        <v>47.9</v>
      </c>
      <c r="G55" s="3"/>
      <c r="H55" s="3"/>
      <c r="I55" s="3">
        <v>49.93</v>
      </c>
      <c r="J55" s="3"/>
      <c r="K55" s="3"/>
      <c r="L55" s="3">
        <v>49.93</v>
      </c>
      <c r="M55" s="3"/>
      <c r="N55" s="3"/>
      <c r="O55" s="3"/>
      <c r="P55" s="10"/>
      <c r="Q55" s="3">
        <f>SUM(OSRRefD21_7_0x)+IFERROR(SUM(OSRRefE21_7_0x),0)</f>
        <v>147.76</v>
      </c>
    </row>
    <row r="56" spans="1:17" s="42" customFormat="1" ht="15" hidden="1" customHeight="1" outlineLevel="1" x14ac:dyDescent="0.3">
      <c r="A56" s="34"/>
      <c r="B56" s="11" t="str">
        <f>CONCATENATE("          ","6375"," - ","OUTSIDE REPAIRS &amp; MAINTENANCE")</f>
        <v xml:space="preserve">          6375 - OUTSIDE REPAIRS &amp; MAINTENANCE</v>
      </c>
      <c r="C56" s="15"/>
      <c r="D56" s="3"/>
      <c r="E56" s="3"/>
      <c r="F56" s="3"/>
      <c r="G56" s="3"/>
      <c r="H56" s="3"/>
      <c r="I56" s="3"/>
      <c r="J56" s="3"/>
      <c r="K56" s="3">
        <v>1570.67</v>
      </c>
      <c r="L56" s="3">
        <v>16.989999999999998</v>
      </c>
      <c r="M56" s="3">
        <v>7.87</v>
      </c>
      <c r="N56" s="3">
        <v>115</v>
      </c>
      <c r="O56" s="3">
        <v>115</v>
      </c>
      <c r="P56" s="10"/>
      <c r="Q56" s="3">
        <f>SUM(OSRRefD21_7_1x)+IFERROR(SUM(OSRRefE21_7_1x),0)</f>
        <v>1825.53</v>
      </c>
    </row>
    <row r="57" spans="1:17" s="42" customFormat="1" ht="15" customHeight="1" collapsed="1" x14ac:dyDescent="0.3">
      <c r="A57" s="34"/>
      <c r="B57" s="15" t="str">
        <f>CONCATENATE("     ","Royalty &amp; Commissions                             ")</f>
        <v xml:space="preserve">     Royalty &amp; Commissions                             </v>
      </c>
      <c r="C57" s="15"/>
      <c r="D57" s="2">
        <f>SUM(OSRRefD21_8x_0)</f>
        <v>0</v>
      </c>
      <c r="E57" s="2">
        <f>SUM(OSRRefD21_8x_1)</f>
        <v>0</v>
      </c>
      <c r="F57" s="2">
        <f>SUM(OSRRefD21_8x_2)</f>
        <v>0</v>
      </c>
      <c r="G57" s="2">
        <f>SUM(OSRRefD21_8x_3)</f>
        <v>0</v>
      </c>
      <c r="H57" s="2">
        <f>SUM(OSRRefD21_8x_4)</f>
        <v>0</v>
      </c>
      <c r="I57" s="2">
        <f>SUM(OSRRefD21_8x_5)</f>
        <v>0</v>
      </c>
      <c r="J57" s="2">
        <f>SUM(OSRRefD21_8x_6)</f>
        <v>0</v>
      </c>
      <c r="K57" s="2">
        <f>SUM(OSRRefD21_8x_7)</f>
        <v>0</v>
      </c>
      <c r="L57" s="2">
        <f>SUM(OSRRefD21_8x_8)</f>
        <v>0</v>
      </c>
      <c r="M57" s="2">
        <f>SUM(OSRRefD21_8x_9)</f>
        <v>4367.51</v>
      </c>
      <c r="N57" s="2">
        <f>SUM(OSRRefE21_8x_0)</f>
        <v>1239</v>
      </c>
      <c r="O57" s="2">
        <f>SUM(OSRRefE21_8x_1)</f>
        <v>336</v>
      </c>
      <c r="Q57" s="3">
        <f>SUM(OSRRefD20_8x)+IFERROR(SUM(OSRRefE20_8x),0)</f>
        <v>5942.51</v>
      </c>
    </row>
    <row r="58" spans="1:17" s="42" customFormat="1" ht="15" hidden="1" customHeight="1" outlineLevel="1" x14ac:dyDescent="0.3">
      <c r="A58" s="34"/>
      <c r="B58" s="11" t="str">
        <f>CONCATENATE("          ","6254"," - ","ROYALTY &amp; COMMISSIONS")</f>
        <v xml:space="preserve">          6254 - ROYALTY &amp; COMMISSIONS</v>
      </c>
      <c r="C58" s="15"/>
      <c r="D58" s="3"/>
      <c r="E58" s="3"/>
      <c r="F58" s="3"/>
      <c r="G58" s="3"/>
      <c r="H58" s="3"/>
      <c r="I58" s="3"/>
      <c r="J58" s="3"/>
      <c r="K58" s="3"/>
      <c r="L58" s="3"/>
      <c r="M58" s="3">
        <v>4367.51</v>
      </c>
      <c r="N58" s="3"/>
      <c r="O58" s="3"/>
      <c r="P58" s="10"/>
      <c r="Q58" s="3">
        <f>SUM(OSRRefD21_8_0x)+IFERROR(SUM(OSRRefE21_8_0x),0)</f>
        <v>4367.51</v>
      </c>
    </row>
    <row r="59" spans="1:17" s="42" customFormat="1" ht="15" hidden="1" customHeight="1" outlineLevel="1" x14ac:dyDescent="0.3">
      <c r="A59" s="34"/>
      <c r="B59" s="11" t="str">
        <f>CONCATENATE("          ","6259"," - ","ROYALTY &amp; COMMISSIONS")</f>
        <v xml:space="preserve">          6259 - ROYALTY &amp; COMMISSIONS</v>
      </c>
      <c r="C59" s="15"/>
      <c r="D59" s="3"/>
      <c r="E59" s="3"/>
      <c r="F59" s="3"/>
      <c r="G59" s="3"/>
      <c r="H59" s="3"/>
      <c r="I59" s="3"/>
      <c r="J59" s="3"/>
      <c r="K59" s="3"/>
      <c r="L59" s="3"/>
      <c r="M59" s="3"/>
      <c r="N59" s="3">
        <v>1239</v>
      </c>
      <c r="O59" s="3">
        <v>336</v>
      </c>
      <c r="P59" s="10"/>
      <c r="Q59" s="3">
        <f>SUM(OSRRefD21_8_1x)+IFERROR(SUM(OSRRefE21_8_1x),0)</f>
        <v>1575</v>
      </c>
    </row>
    <row r="60" spans="1:17" s="42" customFormat="1" ht="15" customHeight="1" collapsed="1" x14ac:dyDescent="0.3">
      <c r="A60" s="34"/>
      <c r="B60" s="15" t="str">
        <f>CONCATENATE("     ","Services                                          ")</f>
        <v xml:space="preserve">     Services                                          </v>
      </c>
      <c r="C60" s="15"/>
      <c r="D60" s="2">
        <f>SUM(OSRRefD21_9x_0)</f>
        <v>0</v>
      </c>
      <c r="E60" s="2">
        <f>SUM(OSRRefD21_9x_1)</f>
        <v>103.2</v>
      </c>
      <c r="F60" s="2">
        <f>SUM(OSRRefD21_9x_2)</f>
        <v>0</v>
      </c>
      <c r="G60" s="2">
        <f>SUM(OSRRefD21_9x_3)</f>
        <v>0</v>
      </c>
      <c r="H60" s="2">
        <f>SUM(OSRRefD21_9x_4)</f>
        <v>0</v>
      </c>
      <c r="I60" s="2">
        <f>SUM(OSRRefD21_9x_5)</f>
        <v>0</v>
      </c>
      <c r="J60" s="2">
        <f>SUM(OSRRefD21_9x_6)</f>
        <v>0</v>
      </c>
      <c r="K60" s="2">
        <f>SUM(OSRRefD21_9x_7)</f>
        <v>103.2</v>
      </c>
      <c r="L60" s="2">
        <f>SUM(OSRRefD21_9x_8)</f>
        <v>57.08</v>
      </c>
      <c r="M60" s="2">
        <f>SUM(OSRRefD21_9x_9)</f>
        <v>158.76</v>
      </c>
      <c r="N60" s="2">
        <f>SUM(OSRRefE21_9x_0)</f>
        <v>100</v>
      </c>
      <c r="O60" s="2">
        <f>SUM(OSRRefE21_9x_1)</f>
        <v>100</v>
      </c>
      <c r="Q60" s="3">
        <f>SUM(OSRRefD20_9x)+IFERROR(SUM(OSRRefE20_9x),0)</f>
        <v>622.24</v>
      </c>
    </row>
    <row r="61" spans="1:17" s="42" customFormat="1" ht="15" hidden="1" customHeight="1" outlineLevel="1" x14ac:dyDescent="0.3">
      <c r="A61" s="34"/>
      <c r="B61" s="11" t="str">
        <f>CONCATENATE("          ","6282"," - ","JANITORIAL/EXTERMINATOR EXPENS")</f>
        <v xml:space="preserve">          6282 - JANITORIAL/EXTERMINATOR EXPENS</v>
      </c>
      <c r="C61" s="15"/>
      <c r="D61" s="3"/>
      <c r="E61" s="3"/>
      <c r="F61" s="3"/>
      <c r="G61" s="3"/>
      <c r="H61" s="3"/>
      <c r="I61" s="3"/>
      <c r="J61" s="3"/>
      <c r="K61" s="3"/>
      <c r="L61" s="3"/>
      <c r="M61" s="3"/>
      <c r="N61" s="3">
        <v>100</v>
      </c>
      <c r="O61" s="3">
        <v>100</v>
      </c>
      <c r="P61" s="10"/>
      <c r="Q61" s="3">
        <f>SUM(OSRRefD21_9_0x)+IFERROR(SUM(OSRRefE21_9_0x),0)</f>
        <v>200</v>
      </c>
    </row>
    <row r="62" spans="1:17" s="42" customFormat="1" ht="15" hidden="1" customHeight="1" outlineLevel="1" x14ac:dyDescent="0.3">
      <c r="A62" s="34"/>
      <c r="B62" s="11" t="str">
        <f>CONCATENATE("          ","6285"," - ","JANITORIAL SERVICES")</f>
        <v xml:space="preserve">          6285 - JANITORIAL SERVICES</v>
      </c>
      <c r="C62" s="15"/>
      <c r="D62" s="3"/>
      <c r="E62" s="3">
        <v>103.2</v>
      </c>
      <c r="F62" s="3"/>
      <c r="G62" s="3"/>
      <c r="H62" s="3"/>
      <c r="I62" s="3"/>
      <c r="J62" s="3"/>
      <c r="K62" s="3">
        <v>103.2</v>
      </c>
      <c r="L62" s="3"/>
      <c r="M62" s="3"/>
      <c r="N62" s="3"/>
      <c r="O62" s="3"/>
      <c r="P62" s="10"/>
      <c r="Q62" s="3">
        <f>SUM(OSRRefD21_9_1x)+IFERROR(SUM(OSRRefE21_9_1x),0)</f>
        <v>206.4</v>
      </c>
    </row>
    <row r="63" spans="1:17" s="42" customFormat="1" ht="15" hidden="1" customHeight="1" outlineLevel="1" x14ac:dyDescent="0.3">
      <c r="A63" s="34"/>
      <c r="B63" s="11" t="str">
        <f>CONCATENATE("          ","6286"," - ","LAUNDRY EXPENSE")</f>
        <v xml:space="preserve">          6286 - LAUNDRY EXPENSE</v>
      </c>
      <c r="C63" s="15"/>
      <c r="D63" s="3"/>
      <c r="E63" s="3"/>
      <c r="F63" s="3"/>
      <c r="G63" s="3"/>
      <c r="H63" s="3"/>
      <c r="I63" s="3"/>
      <c r="J63" s="3"/>
      <c r="K63" s="3"/>
      <c r="L63" s="3">
        <v>57.08</v>
      </c>
      <c r="M63" s="3">
        <v>158.76</v>
      </c>
      <c r="N63" s="3"/>
      <c r="O63" s="3"/>
      <c r="P63" s="10"/>
      <c r="Q63" s="3">
        <f>SUM(OSRRefD21_9_2x)+IFERROR(SUM(OSRRefE21_9_2x),0)</f>
        <v>215.83999999999997</v>
      </c>
    </row>
    <row r="64" spans="1:17" s="42" customFormat="1" ht="15" customHeight="1" collapsed="1" x14ac:dyDescent="0.3">
      <c r="A64" s="34"/>
      <c r="B64" s="15" t="str">
        <f>CONCATENATE("     ","Supplies                                          ")</f>
        <v xml:space="preserve">     Supplies                                          </v>
      </c>
      <c r="C64" s="15"/>
      <c r="D64" s="2">
        <f>SUM(OSRRefD21_10x_0)</f>
        <v>4.5</v>
      </c>
      <c r="E64" s="2">
        <f>SUM(OSRRefD21_10x_1)</f>
        <v>38.340000000000003</v>
      </c>
      <c r="F64" s="2">
        <f>SUM(OSRRefD21_10x_2)</f>
        <v>0</v>
      </c>
      <c r="G64" s="2">
        <f>SUM(OSRRefD21_10x_3)</f>
        <v>1194.8900000000001</v>
      </c>
      <c r="H64" s="2">
        <f>SUM(OSRRefD21_10x_4)</f>
        <v>0</v>
      </c>
      <c r="I64" s="2">
        <f>SUM(OSRRefD21_10x_5)</f>
        <v>2.21</v>
      </c>
      <c r="J64" s="2">
        <f>SUM(OSRRefD21_10x_6)</f>
        <v>0</v>
      </c>
      <c r="K64" s="2">
        <f>SUM(OSRRefD21_10x_7)</f>
        <v>444.63</v>
      </c>
      <c r="L64" s="2">
        <f>SUM(OSRRefD21_10x_8)</f>
        <v>-131.74</v>
      </c>
      <c r="M64" s="2">
        <f>SUM(OSRRefD21_10x_9)</f>
        <v>-23.33</v>
      </c>
      <c r="N64" s="2">
        <f>SUM(OSRRefE21_10x_0)</f>
        <v>1100</v>
      </c>
      <c r="O64" s="2">
        <f>SUM(OSRRefE21_10x_1)</f>
        <v>0</v>
      </c>
      <c r="Q64" s="3">
        <f>SUM(OSRRefD20_10x)+IFERROR(SUM(OSRRefE20_10x),0)</f>
        <v>2629.5</v>
      </c>
    </row>
    <row r="65" spans="1:17" s="42" customFormat="1" ht="15" hidden="1" customHeight="1" outlineLevel="1" x14ac:dyDescent="0.3">
      <c r="A65" s="34"/>
      <c r="B65" s="11" t="str">
        <f>CONCATENATE("          ","6234"," - ","EXPENDABLE SUPPLIES &amp; EQUIPMEN")</f>
        <v xml:space="preserve">          6234 - EXPENDABLE SUPPLIES &amp; EQUIPMEN</v>
      </c>
      <c r="C65" s="15"/>
      <c r="D65" s="3"/>
      <c r="E65" s="3"/>
      <c r="F65" s="3"/>
      <c r="G65" s="3">
        <v>1194.8900000000001</v>
      </c>
      <c r="H65" s="3"/>
      <c r="I65" s="3"/>
      <c r="J65" s="3"/>
      <c r="K65" s="3"/>
      <c r="L65" s="3"/>
      <c r="M65" s="3"/>
      <c r="N65" s="3"/>
      <c r="O65" s="3"/>
      <c r="P65" s="10"/>
      <c r="Q65" s="3">
        <f>SUM(OSRRefD21_10_0x)+IFERROR(SUM(OSRRefE21_10_0x),0)</f>
        <v>1194.8900000000001</v>
      </c>
    </row>
    <row r="66" spans="1:17" s="42" customFormat="1" ht="15" hidden="1" customHeight="1" outlineLevel="1" x14ac:dyDescent="0.3">
      <c r="A66" s="34"/>
      <c r="B66" s="11" t="str">
        <f>CONCATENATE("          ","6237"," - ","JANITORIAL SUPPLIES")</f>
        <v xml:space="preserve">          6237 - JANITORIAL SUPPLIES</v>
      </c>
      <c r="C66" s="15"/>
      <c r="D66" s="3"/>
      <c r="E66" s="3">
        <v>38.340000000000003</v>
      </c>
      <c r="F66" s="3"/>
      <c r="G66" s="3"/>
      <c r="H66" s="3"/>
      <c r="I66" s="3"/>
      <c r="J66" s="3"/>
      <c r="K66" s="3"/>
      <c r="L66" s="3">
        <v>-90</v>
      </c>
      <c r="M66" s="3"/>
      <c r="N66" s="3"/>
      <c r="O66" s="3"/>
      <c r="P66" s="10"/>
      <c r="Q66" s="3">
        <f>SUM(OSRRefD21_10_1x)+IFERROR(SUM(OSRRefE21_10_1x),0)</f>
        <v>-51.66</v>
      </c>
    </row>
    <row r="67" spans="1:17" s="42" customFormat="1" ht="15" hidden="1" customHeight="1" outlineLevel="1" x14ac:dyDescent="0.3">
      <c r="A67" s="34"/>
      <c r="B67" s="11" t="str">
        <f>CONCATENATE("          ","6241"," - ","OFFICE EXPENSE")</f>
        <v xml:space="preserve">          6241 - OFFICE EXPENSE</v>
      </c>
      <c r="C67" s="15"/>
      <c r="D67" s="3">
        <v>4.5</v>
      </c>
      <c r="E67" s="3"/>
      <c r="F67" s="3"/>
      <c r="G67" s="3"/>
      <c r="H67" s="3"/>
      <c r="I67" s="3">
        <v>2.21</v>
      </c>
      <c r="J67" s="3"/>
      <c r="K67" s="3">
        <v>13.23</v>
      </c>
      <c r="L67" s="3"/>
      <c r="M67" s="3"/>
      <c r="N67" s="3"/>
      <c r="O67" s="3"/>
      <c r="P67" s="10"/>
      <c r="Q67" s="3">
        <f>SUM(OSRRefD21_10_2x)+IFERROR(SUM(OSRRefE21_10_2x),0)</f>
        <v>19.940000000000001</v>
      </c>
    </row>
    <row r="68" spans="1:17" s="42" customFormat="1" ht="15" hidden="1" customHeight="1" outlineLevel="1" x14ac:dyDescent="0.3">
      <c r="A68" s="34"/>
      <c r="B68" s="11" t="str">
        <f>CONCATENATE("          ","6247"," - ","STORE SUPPLIES")</f>
        <v xml:space="preserve">          6247 - STORE SUPPLIES</v>
      </c>
      <c r="C68" s="15"/>
      <c r="D68" s="3"/>
      <c r="E68" s="3"/>
      <c r="F68" s="3"/>
      <c r="G68" s="3"/>
      <c r="H68" s="3"/>
      <c r="I68" s="3"/>
      <c r="J68" s="3"/>
      <c r="K68" s="3">
        <v>431.4</v>
      </c>
      <c r="L68" s="3">
        <v>-41.74</v>
      </c>
      <c r="M68" s="3">
        <v>-23.33</v>
      </c>
      <c r="N68" s="3">
        <v>1100</v>
      </c>
      <c r="O68" s="3">
        <v>0</v>
      </c>
      <c r="P68" s="10"/>
      <c r="Q68" s="3">
        <f>SUM(OSRRefD21_10_3x)+IFERROR(SUM(OSRRefE21_10_3x),0)</f>
        <v>1466.33</v>
      </c>
    </row>
    <row r="69" spans="1:17" s="42" customFormat="1" ht="15" customHeight="1" collapsed="1" x14ac:dyDescent="0.3">
      <c r="A69" s="34"/>
      <c r="B69" s="15" t="str">
        <f>CONCATENATE("     ","Telephone/Data Lines                              ")</f>
        <v xml:space="preserve">     Telephone/Data Lines                              </v>
      </c>
      <c r="C69" s="15"/>
      <c r="D69" s="2">
        <f>SUM(OSRRefD21_11x_0)</f>
        <v>29.5</v>
      </c>
      <c r="E69" s="2">
        <f>SUM(OSRRefD21_11x_1)</f>
        <v>51.5</v>
      </c>
      <c r="F69" s="2">
        <f>SUM(OSRRefD21_11x_2)</f>
        <v>51.5</v>
      </c>
      <c r="G69" s="2">
        <f>SUM(OSRRefD21_11x_3)</f>
        <v>51.5</v>
      </c>
      <c r="H69" s="2">
        <f>SUM(OSRRefD21_11x_4)</f>
        <v>0</v>
      </c>
      <c r="I69" s="2">
        <f>SUM(OSRRefD21_11x_5)</f>
        <v>551.5</v>
      </c>
      <c r="J69" s="2">
        <f>SUM(OSRRefD21_11x_6)</f>
        <v>-448.5</v>
      </c>
      <c r="K69" s="2">
        <f>SUM(OSRRefD21_11x_7)</f>
        <v>51.5</v>
      </c>
      <c r="L69" s="2">
        <f>SUM(OSRRefD21_11x_8)</f>
        <v>126.5</v>
      </c>
      <c r="M69" s="2">
        <f>SUM(OSRRefD21_11x_9)</f>
        <v>201.5</v>
      </c>
      <c r="N69" s="2">
        <f>SUM(OSRRefE21_11x_0)</f>
        <v>53</v>
      </c>
      <c r="O69" s="2">
        <f>SUM(OSRRefE21_11x_1)</f>
        <v>53</v>
      </c>
      <c r="Q69" s="3">
        <f>SUM(OSRRefD20_11x)+IFERROR(SUM(OSRRefE20_11x),0)</f>
        <v>772.5</v>
      </c>
    </row>
    <row r="70" spans="1:17" s="42" customFormat="1" ht="15" hidden="1" customHeight="1" outlineLevel="1" x14ac:dyDescent="0.3">
      <c r="A70" s="34"/>
      <c r="B70" s="11" t="str">
        <f>CONCATENATE("          ","6309"," - ","TELEPHONE")</f>
        <v xml:space="preserve">          6309 - TELEPHONE</v>
      </c>
      <c r="C70" s="15"/>
      <c r="D70" s="3">
        <v>29.5</v>
      </c>
      <c r="E70" s="3">
        <v>51.5</v>
      </c>
      <c r="F70" s="3">
        <v>51.5</v>
      </c>
      <c r="G70" s="3">
        <v>51.5</v>
      </c>
      <c r="H70" s="3">
        <v>0</v>
      </c>
      <c r="I70" s="3">
        <v>551.5</v>
      </c>
      <c r="J70" s="3">
        <v>-448.5</v>
      </c>
      <c r="K70" s="3">
        <v>51.5</v>
      </c>
      <c r="L70" s="3">
        <v>126.5</v>
      </c>
      <c r="M70" s="3">
        <v>201.5</v>
      </c>
      <c r="N70" s="3">
        <v>53</v>
      </c>
      <c r="O70" s="3">
        <v>53</v>
      </c>
      <c r="P70" s="10"/>
      <c r="Q70" s="3">
        <f>SUM(OSRRefD21_11_0x)+IFERROR(SUM(OSRRefE21_11_0x),0)</f>
        <v>772.5</v>
      </c>
    </row>
    <row r="71" spans="1:17" s="42" customFormat="1" ht="15" customHeight="1" collapsed="1" x14ac:dyDescent="0.3">
      <c r="A71" s="34"/>
      <c r="B71" s="15" t="str">
        <f>CONCATENATE("     ","Training                                          ")</f>
        <v xml:space="preserve">     Training                                          </v>
      </c>
      <c r="C71" s="15"/>
      <c r="D71" s="2">
        <f>SUM(OSRRefD21_12x_0)</f>
        <v>0</v>
      </c>
      <c r="E71" s="2">
        <f>SUM(OSRRefD21_12x_1)</f>
        <v>0</v>
      </c>
      <c r="F71" s="2">
        <f>SUM(OSRRefD21_12x_2)</f>
        <v>0</v>
      </c>
      <c r="G71" s="2">
        <f>SUM(OSRRefD21_12x_3)</f>
        <v>0</v>
      </c>
      <c r="H71" s="2">
        <f>SUM(OSRRefD21_12x_4)</f>
        <v>0</v>
      </c>
      <c r="I71" s="2">
        <f>SUM(OSRRefD21_12x_5)</f>
        <v>0</v>
      </c>
      <c r="J71" s="2">
        <f>SUM(OSRRefD21_12x_6)</f>
        <v>0</v>
      </c>
      <c r="K71" s="2">
        <f>SUM(OSRRefD21_12x_7)</f>
        <v>80</v>
      </c>
      <c r="L71" s="2">
        <f>SUM(OSRRefD21_12x_8)</f>
        <v>0</v>
      </c>
      <c r="M71" s="2">
        <f>SUM(OSRRefD21_12x_9)</f>
        <v>0</v>
      </c>
      <c r="N71" s="2">
        <f>SUM(OSRRefE21_12x_0)</f>
        <v>0</v>
      </c>
      <c r="O71" s="2">
        <f>SUM(OSRRefE21_12x_1)</f>
        <v>0</v>
      </c>
      <c r="Q71" s="3">
        <f>SUM(OSRRefD20_12x)+IFERROR(SUM(OSRRefE20_12x),0)</f>
        <v>80</v>
      </c>
    </row>
    <row r="72" spans="1:17" s="42" customFormat="1" ht="15" hidden="1" customHeight="1" outlineLevel="1" x14ac:dyDescent="0.3">
      <c r="A72" s="34"/>
      <c r="B72" s="11" t="str">
        <f>CONCATENATE("          ","6376"," - ","TRAINING")</f>
        <v xml:space="preserve">          6376 - TRAINING</v>
      </c>
      <c r="C72" s="15"/>
      <c r="D72" s="3"/>
      <c r="E72" s="3"/>
      <c r="F72" s="3"/>
      <c r="G72" s="3"/>
      <c r="H72" s="3"/>
      <c r="I72" s="3"/>
      <c r="J72" s="3"/>
      <c r="K72" s="3">
        <v>80</v>
      </c>
      <c r="L72" s="3"/>
      <c r="M72" s="3"/>
      <c r="N72" s="3"/>
      <c r="O72" s="3"/>
      <c r="P72" s="10"/>
      <c r="Q72" s="3">
        <f>SUM(OSRRefD21_12_0x)+IFERROR(SUM(OSRRefE21_12_0x),0)</f>
        <v>80</v>
      </c>
    </row>
    <row r="73" spans="1:17" s="40" customFormat="1" ht="15" customHeight="1" x14ac:dyDescent="0.3">
      <c r="A73" s="22"/>
      <c r="B73" s="22"/>
      <c r="C73" s="2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Q73" s="2"/>
    </row>
    <row r="74" spans="1:17" s="39" customFormat="1" ht="15" customHeight="1" x14ac:dyDescent="0.3">
      <c r="A74" s="24"/>
      <c r="B74" s="17" t="s">
        <v>287</v>
      </c>
      <c r="C74" s="23"/>
      <c r="D74" s="4">
        <f>0</f>
        <v>0</v>
      </c>
      <c r="E74" s="4">
        <f>0</f>
        <v>0</v>
      </c>
      <c r="F74" s="4">
        <f>0</f>
        <v>0</v>
      </c>
      <c r="G74" s="4">
        <f>0</f>
        <v>0</v>
      </c>
      <c r="H74" s="4">
        <f>0</f>
        <v>0</v>
      </c>
      <c r="I74" s="4">
        <f>0</f>
        <v>0</v>
      </c>
      <c r="J74" s="4">
        <f>0</f>
        <v>0</v>
      </c>
      <c r="K74" s="4">
        <f>0</f>
        <v>0</v>
      </c>
      <c r="L74" s="4">
        <f>0</f>
        <v>0</v>
      </c>
      <c r="M74" s="4">
        <f>0</f>
        <v>0</v>
      </c>
      <c r="N74" s="4"/>
      <c r="O74" s="4"/>
      <c r="Q74" s="3">
        <f>SUM(OSRRefD23_0x)+IFERROR(SUM(OSRRefE23_0x),0)</f>
        <v>0</v>
      </c>
    </row>
    <row r="75" spans="1:17" ht="15" customHeight="1" x14ac:dyDescent="0.3">
      <c r="A75" s="6"/>
      <c r="B75" s="7"/>
      <c r="C75" s="7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Q75" s="4"/>
    </row>
    <row r="76" spans="1:17" s="37" customFormat="1" ht="15" customHeight="1" x14ac:dyDescent="0.3">
      <c r="A76" s="7"/>
      <c r="B76" s="18" t="s">
        <v>288</v>
      </c>
      <c r="C76" s="18"/>
      <c r="D76" s="9">
        <f t="shared" ref="D76:O76" si="2">IFERROR(+D18-D21+D74,0)</f>
        <v>-1184.5100000000002</v>
      </c>
      <c r="E76" s="9">
        <f t="shared" si="2"/>
        <v>-2313.6099999999997</v>
      </c>
      <c r="F76" s="9">
        <f t="shared" si="2"/>
        <v>-1274.7300000000002</v>
      </c>
      <c r="G76" s="9">
        <f t="shared" si="2"/>
        <v>-1610.94</v>
      </c>
      <c r="H76" s="9">
        <f t="shared" si="2"/>
        <v>-9740.8700000000008</v>
      </c>
      <c r="I76" s="9">
        <f t="shared" si="2"/>
        <v>-5106.0700000000006</v>
      </c>
      <c r="J76" s="9">
        <f t="shared" si="2"/>
        <v>-7377.6</v>
      </c>
      <c r="K76" s="9">
        <f t="shared" si="2"/>
        <v>-1950.3900000000012</v>
      </c>
      <c r="L76" s="9">
        <f t="shared" si="2"/>
        <v>3480.5199999999986</v>
      </c>
      <c r="M76" s="9">
        <f t="shared" si="2"/>
        <v>-494.27999999999884</v>
      </c>
      <c r="N76" s="9">
        <f t="shared" si="2"/>
        <v>2212.9167452500005</v>
      </c>
      <c r="O76" s="9">
        <f t="shared" si="2"/>
        <v>-2149.9526240000005</v>
      </c>
      <c r="Q76" s="9">
        <f>IFERROR(+Q18-Q21+Q74,0)</f>
        <v>-27509.515878749982</v>
      </c>
    </row>
    <row r="77" spans="1:17" s="38" customFormat="1" ht="15" customHeight="1" x14ac:dyDescent="0.3">
      <c r="B77" s="17"/>
      <c r="C77" s="17"/>
      <c r="D77" s="5">
        <f t="shared" ref="D77:O77" si="3">IFERROR(D76/D10,0)</f>
        <v>0</v>
      </c>
      <c r="E77" s="5">
        <f t="shared" si="3"/>
        <v>0</v>
      </c>
      <c r="F77" s="5">
        <f t="shared" si="3"/>
        <v>0</v>
      </c>
      <c r="G77" s="5">
        <f t="shared" si="3"/>
        <v>0</v>
      </c>
      <c r="H77" s="5">
        <f t="shared" si="3"/>
        <v>0</v>
      </c>
      <c r="I77" s="5">
        <f t="shared" si="3"/>
        <v>0</v>
      </c>
      <c r="J77" s="5">
        <f t="shared" si="3"/>
        <v>0</v>
      </c>
      <c r="K77" s="5">
        <f t="shared" si="3"/>
        <v>-7.5753862383143952E-2</v>
      </c>
      <c r="L77" s="5">
        <f t="shared" si="3"/>
        <v>9.4975224174896358E-2</v>
      </c>
      <c r="M77" s="5">
        <f t="shared" si="3"/>
        <v>-1.3129081920498741E-2</v>
      </c>
      <c r="N77" s="5">
        <f t="shared" si="3"/>
        <v>0.16072899079386987</v>
      </c>
      <c r="O77" s="5">
        <f t="shared" si="3"/>
        <v>-0.57577734975897177</v>
      </c>
      <c r="P77" s="19"/>
      <c r="Q77" s="5">
        <f>IFERROR(Q76/Q10,0)</f>
        <v>-0.23403840916716745</v>
      </c>
    </row>
    <row r="78" spans="1:17" ht="15" customHeight="1" x14ac:dyDescent="0.3">
      <c r="A78" s="6"/>
      <c r="B78" s="7"/>
      <c r="C78" s="6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Q78" s="4"/>
    </row>
    <row r="79" spans="1:17" s="37" customFormat="1" ht="15" customHeight="1" x14ac:dyDescent="0.3">
      <c r="A79" s="26"/>
      <c r="B79" s="7" t="s">
        <v>289</v>
      </c>
      <c r="C79" s="7"/>
      <c r="D79" s="4"/>
      <c r="E79" s="4"/>
      <c r="F79" s="4"/>
      <c r="G79" s="4"/>
      <c r="H79" s="4"/>
      <c r="I79" s="4"/>
      <c r="J79" s="4"/>
      <c r="K79" s="4">
        <v>3213.74</v>
      </c>
      <c r="L79" s="4">
        <v>4232.71</v>
      </c>
      <c r="M79" s="4">
        <v>3886.55</v>
      </c>
      <c r="N79" s="4">
        <v>1839</v>
      </c>
      <c r="O79" s="4">
        <v>-1201</v>
      </c>
      <c r="Q79" s="3">
        <f>SUM(OSRRefD28_0x)+IFERROR(SUM(OSRRefE28_0x),0)</f>
        <v>11971</v>
      </c>
    </row>
    <row r="80" spans="1:17" ht="15" customHeight="1" x14ac:dyDescent="0.3">
      <c r="A80" s="6"/>
      <c r="B80" s="7"/>
      <c r="C80" s="7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Q80" s="4"/>
    </row>
    <row r="81" spans="1:17" s="37" customFormat="1" ht="15.75" customHeight="1" x14ac:dyDescent="0.3">
      <c r="A81" s="7"/>
      <c r="B81" s="18" t="s">
        <v>290</v>
      </c>
      <c r="C81" s="18"/>
      <c r="D81" s="8">
        <f t="shared" ref="D81:O81" si="4">IFERROR(+D76-D79,0)</f>
        <v>-1184.5100000000002</v>
      </c>
      <c r="E81" s="8">
        <f t="shared" si="4"/>
        <v>-2313.6099999999997</v>
      </c>
      <c r="F81" s="8">
        <f t="shared" si="4"/>
        <v>-1274.7300000000002</v>
      </c>
      <c r="G81" s="8">
        <f t="shared" si="4"/>
        <v>-1610.94</v>
      </c>
      <c r="H81" s="8">
        <f t="shared" si="4"/>
        <v>-9740.8700000000008</v>
      </c>
      <c r="I81" s="8">
        <f t="shared" si="4"/>
        <v>-5106.0700000000006</v>
      </c>
      <c r="J81" s="8">
        <f t="shared" si="4"/>
        <v>-7377.6</v>
      </c>
      <c r="K81" s="8">
        <f t="shared" si="4"/>
        <v>-5164.130000000001</v>
      </c>
      <c r="L81" s="8">
        <f t="shared" si="4"/>
        <v>-752.19000000000142</v>
      </c>
      <c r="M81" s="8">
        <f t="shared" si="4"/>
        <v>-4380.829999999999</v>
      </c>
      <c r="N81" s="8">
        <f t="shared" si="4"/>
        <v>373.91674525000053</v>
      </c>
      <c r="O81" s="8">
        <f t="shared" si="4"/>
        <v>-948.95262400000047</v>
      </c>
      <c r="Q81" s="8">
        <f>IFERROR(+Q76-Q79,0)</f>
        <v>-39480.515878749982</v>
      </c>
    </row>
    <row r="82" spans="1:17" ht="15.75" customHeight="1" x14ac:dyDescent="0.3">
      <c r="A82" s="6"/>
      <c r="B82" s="6"/>
      <c r="C82" s="6"/>
      <c r="D82" s="5">
        <f t="shared" ref="D82:O82" si="5">IFERROR(D81/D10,0)</f>
        <v>0</v>
      </c>
      <c r="E82" s="5">
        <f t="shared" si="5"/>
        <v>0</v>
      </c>
      <c r="F82" s="5">
        <f t="shared" si="5"/>
        <v>0</v>
      </c>
      <c r="G82" s="5">
        <f t="shared" si="5"/>
        <v>0</v>
      </c>
      <c r="H82" s="5">
        <f t="shared" si="5"/>
        <v>0</v>
      </c>
      <c r="I82" s="5">
        <f t="shared" si="5"/>
        <v>0</v>
      </c>
      <c r="J82" s="5">
        <f t="shared" si="5"/>
        <v>0</v>
      </c>
      <c r="K82" s="5">
        <f t="shared" si="5"/>
        <v>-0.20057670176152717</v>
      </c>
      <c r="L82" s="5">
        <f t="shared" si="5"/>
        <v>-2.0525500175868967E-2</v>
      </c>
      <c r="M82" s="5">
        <f t="shared" si="5"/>
        <v>-0.11636375323658375</v>
      </c>
      <c r="N82" s="5">
        <f t="shared" si="5"/>
        <v>2.7158392304619444E-2</v>
      </c>
      <c r="O82" s="5">
        <f t="shared" si="5"/>
        <v>-0.25413835672201407</v>
      </c>
      <c r="P82" s="19"/>
      <c r="Q82" s="5">
        <f>IFERROR(Q81/Q10,0)</f>
        <v>-0.33588221508831578</v>
      </c>
    </row>
    <row r="83" spans="1:17" ht="15" customHeight="1" x14ac:dyDescent="0.3">
      <c r="A83" s="6"/>
      <c r="B83" s="6"/>
      <c r="C83" s="6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Q83" s="4"/>
    </row>
    <row r="84" spans="1:17" ht="15" customHeight="1" x14ac:dyDescent="0.3">
      <c r="A84" s="6"/>
      <c r="B84" s="6"/>
      <c r="C84" s="6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Q84" s="4"/>
    </row>
    <row r="85" spans="1:17" s="37" customFormat="1" ht="15.75" customHeight="1" x14ac:dyDescent="0.3">
      <c r="A85" s="7"/>
      <c r="B85" s="18" t="s">
        <v>293</v>
      </c>
      <c r="C85" s="18"/>
      <c r="D85" s="8">
        <f t="shared" ref="D85:O85" si="6">IFERROR(SUM(D81:D84),0)</f>
        <v>-1184.5100000000002</v>
      </c>
      <c r="E85" s="8">
        <f t="shared" si="6"/>
        <v>-2313.6099999999997</v>
      </c>
      <c r="F85" s="8">
        <f t="shared" si="6"/>
        <v>-1274.7300000000002</v>
      </c>
      <c r="G85" s="8">
        <f t="shared" si="6"/>
        <v>-1610.94</v>
      </c>
      <c r="H85" s="8">
        <f t="shared" si="6"/>
        <v>-9740.8700000000008</v>
      </c>
      <c r="I85" s="8">
        <f t="shared" si="6"/>
        <v>-5106.0700000000006</v>
      </c>
      <c r="J85" s="8">
        <f t="shared" si="6"/>
        <v>-7377.6</v>
      </c>
      <c r="K85" s="8">
        <f t="shared" si="6"/>
        <v>-5164.3305767017628</v>
      </c>
      <c r="L85" s="8">
        <f t="shared" si="6"/>
        <v>-752.21052550017725</v>
      </c>
      <c r="M85" s="8">
        <f t="shared" si="6"/>
        <v>-4380.9463637532353</v>
      </c>
      <c r="N85" s="8">
        <f t="shared" si="6"/>
        <v>373.94390364230514</v>
      </c>
      <c r="O85" s="8">
        <f t="shared" si="6"/>
        <v>-949.20676235672249</v>
      </c>
      <c r="Q85" s="8">
        <f>IFERROR(SUM(Q81:Q84),0)</f>
        <v>-39480.851760965073</v>
      </c>
    </row>
    <row r="86" spans="1:17" ht="15.75" customHeight="1" x14ac:dyDescent="0.3">
      <c r="A86" s="6"/>
      <c r="C86" s="6"/>
      <c r="D86" s="5">
        <f t="shared" ref="D86:O86" si="7">IFERROR(D85/D10,0)</f>
        <v>0</v>
      </c>
      <c r="E86" s="5">
        <f t="shared" si="7"/>
        <v>0</v>
      </c>
      <c r="F86" s="5">
        <f t="shared" si="7"/>
        <v>0</v>
      </c>
      <c r="G86" s="5">
        <f t="shared" si="7"/>
        <v>0</v>
      </c>
      <c r="H86" s="5">
        <f t="shared" si="7"/>
        <v>0</v>
      </c>
      <c r="I86" s="5">
        <f t="shared" si="7"/>
        <v>0</v>
      </c>
      <c r="J86" s="5">
        <f t="shared" si="7"/>
        <v>0</v>
      </c>
      <c r="K86" s="5">
        <f t="shared" si="7"/>
        <v>-0.20058449223413138</v>
      </c>
      <c r="L86" s="5">
        <f t="shared" si="7"/>
        <v>-2.0526060268608128E-2</v>
      </c>
      <c r="M86" s="5">
        <f t="shared" si="7"/>
        <v>-0.11636684409449589</v>
      </c>
      <c r="N86" s="5">
        <f t="shared" si="7"/>
        <v>2.7160364878145347E-2</v>
      </c>
      <c r="O86" s="5">
        <f t="shared" si="7"/>
        <v>-0.25420641734245381</v>
      </c>
      <c r="P86" s="19"/>
      <c r="Q86" s="5">
        <f>IFERROR(Q85/Q10,0)</f>
        <v>-0.33588507262094686</v>
      </c>
    </row>
    <row r="87" spans="1:17" ht="15" customHeight="1" x14ac:dyDescent="0.3">
      <c r="A87" s="6"/>
      <c r="B87" s="33">
        <v>44694.892891863426</v>
      </c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Q87" s="14"/>
    </row>
    <row r="88" spans="1:17" ht="15" customHeight="1" x14ac:dyDescent="0.3">
      <c r="A88" s="6"/>
      <c r="B88" s="31" t="s">
        <v>294</v>
      </c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Q88" s="14"/>
    </row>
    <row r="89" spans="1:17" ht="15" customHeight="1" x14ac:dyDescent="0.3">
      <c r="A89" s="6"/>
      <c r="B89" s="27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Q89" s="14"/>
    </row>
    <row r="90" spans="1:17" ht="15" customHeight="1" x14ac:dyDescent="0.3"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Q90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1D46B-9585-9CC1-9C8D-01C5D60B20F9}">
  <sheetPr>
    <tabColor rgb="FF92D050"/>
    <outlinePr summaryBelow="0" summaryRight="0"/>
    <pageSetUpPr fitToPage="1"/>
  </sheetPr>
  <dimension ref="A2:R37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","322"," - ","Beach Hut")</f>
        <v>Department 322 - Beach Hut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9">
        <f t="shared" ref="D14:O14" si="2">IFERROR(+D10-D12,0)</f>
        <v>0</v>
      </c>
      <c r="E14" s="9">
        <f t="shared" si="2"/>
        <v>0</v>
      </c>
      <c r="F14" s="9">
        <f t="shared" si="2"/>
        <v>0</v>
      </c>
      <c r="G14" s="9">
        <f t="shared" si="2"/>
        <v>0</v>
      </c>
      <c r="H14" s="9">
        <f t="shared" si="2"/>
        <v>0</v>
      </c>
      <c r="I14" s="9">
        <f t="shared" si="2"/>
        <v>0</v>
      </c>
      <c r="J14" s="9">
        <f t="shared" si="2"/>
        <v>0</v>
      </c>
      <c r="K14" s="9">
        <f t="shared" si="2"/>
        <v>0</v>
      </c>
      <c r="L14" s="9">
        <f t="shared" si="2"/>
        <v>0</v>
      </c>
      <c r="M14" s="9">
        <f t="shared" si="2"/>
        <v>0</v>
      </c>
      <c r="N14" s="9">
        <f t="shared" si="2"/>
        <v>0</v>
      </c>
      <c r="O14" s="9">
        <f t="shared" si="2"/>
        <v>0</v>
      </c>
      <c r="Q14" s="9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2">
        <f>SUM(OSRRefD20x_0)</f>
        <v>0</v>
      </c>
      <c r="E17" s="12">
        <f>SUM(OSRRefD20x_1)</f>
        <v>0</v>
      </c>
      <c r="F17" s="12">
        <f>SUM(OSRRefD20x_2)</f>
        <v>71.86</v>
      </c>
      <c r="G17" s="12">
        <f>SUM(OSRRefD20x_3)</f>
        <v>-71.86</v>
      </c>
      <c r="H17" s="12">
        <f>SUM(OSRRefD20x_4)</f>
        <v>0</v>
      </c>
      <c r="I17" s="12">
        <f>SUM(OSRRefD20x_5)</f>
        <v>0</v>
      </c>
      <c r="J17" s="12">
        <f>SUM(OSRRefD20x_6)</f>
        <v>0</v>
      </c>
      <c r="K17" s="12">
        <f>SUM(OSRRefD20x_7)</f>
        <v>0</v>
      </c>
      <c r="L17" s="12">
        <f>SUM(OSRRefD20x_8)</f>
        <v>0</v>
      </c>
      <c r="M17" s="12">
        <f>SUM(OSRRefD20x_9)</f>
        <v>0</v>
      </c>
      <c r="N17" s="12">
        <f>SUM(OSRRefE20x_0)</f>
        <v>0</v>
      </c>
      <c r="O17" s="12">
        <f>SUM(OSRRefE20x_1)</f>
        <v>0</v>
      </c>
      <c r="Q17" s="12">
        <f>SUM(OSRRefG20x)</f>
        <v>0</v>
      </c>
    </row>
    <row r="18" spans="1:17" s="42" customFormat="1" ht="15" customHeight="1" collapsed="1" x14ac:dyDescent="0.3">
      <c r="A18" s="34"/>
      <c r="B18" s="15" t="str">
        <f>CONCATENATE("     ","Repair and Maintenance                            ")</f>
        <v xml:space="preserve">     Repair and Maintenance                            </v>
      </c>
      <c r="C18" s="15"/>
      <c r="D18" s="2">
        <f>SUM(OSRRefD21_0x_0)</f>
        <v>0</v>
      </c>
      <c r="E18" s="2">
        <f>SUM(OSRRefD21_0x_1)</f>
        <v>0</v>
      </c>
      <c r="F18" s="2">
        <f>SUM(OSRRefD21_0x_2)</f>
        <v>71.86</v>
      </c>
      <c r="G18" s="2">
        <f>SUM(OSRRefD21_0x_3)</f>
        <v>-71.86</v>
      </c>
      <c r="H18" s="2">
        <f>SUM(OSRRefD21_0x_4)</f>
        <v>0</v>
      </c>
      <c r="I18" s="2">
        <f>SUM(OSRRefD21_0x_5)</f>
        <v>0</v>
      </c>
      <c r="J18" s="2">
        <f>SUM(OSRRefD21_0x_6)</f>
        <v>0</v>
      </c>
      <c r="K18" s="2">
        <f>SUM(OSRRefD21_0x_7)</f>
        <v>0</v>
      </c>
      <c r="L18" s="2">
        <f>SUM(OSRRefD21_0x_8)</f>
        <v>0</v>
      </c>
      <c r="M18" s="2">
        <f>SUM(OSRRefD21_0x_9)</f>
        <v>0</v>
      </c>
      <c r="N18" s="2">
        <f>SUM(OSRRefE21_0x_0)</f>
        <v>0</v>
      </c>
      <c r="O18" s="2">
        <f>SUM(OSRRefE21_0x_1)</f>
        <v>0</v>
      </c>
      <c r="Q18" s="3">
        <f>SUM(OSRRefD20_0x)+IFERROR(SUM(OSRRefE20_0x),0)</f>
        <v>0</v>
      </c>
    </row>
    <row r="19" spans="1:17" s="42" customFormat="1" ht="15" hidden="1" customHeight="1" outlineLevel="1" x14ac:dyDescent="0.3">
      <c r="A19" s="34"/>
      <c r="B19" s="11" t="str">
        <f>CONCATENATE("          ","6373"," - ","MAINTENANCE CONTRACTS")</f>
        <v xml:space="preserve">          6373 - MAINTENANCE CONTRACTS</v>
      </c>
      <c r="C19" s="15"/>
      <c r="D19" s="3"/>
      <c r="E19" s="3"/>
      <c r="F19" s="3">
        <v>71.86</v>
      </c>
      <c r="G19" s="3">
        <v>-71.86</v>
      </c>
      <c r="H19" s="3"/>
      <c r="I19" s="3"/>
      <c r="J19" s="3"/>
      <c r="K19" s="3"/>
      <c r="L19" s="3"/>
      <c r="M19" s="3"/>
      <c r="N19" s="3"/>
      <c r="O19" s="3"/>
      <c r="P19" s="10"/>
      <c r="Q19" s="3">
        <f>SUM(OSRRefD21_0_0x)+IFERROR(SUM(OSRRefE21_0_0x),0)</f>
        <v>0</v>
      </c>
    </row>
    <row r="20" spans="1:17" s="40" customFormat="1" ht="15" customHeight="1" x14ac:dyDescent="0.3">
      <c r="A20" s="22"/>
      <c r="B20" s="22"/>
      <c r="C20" s="2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Q20" s="2"/>
    </row>
    <row r="21" spans="1:17" s="39" customFormat="1" ht="15" customHeight="1" x14ac:dyDescent="0.3">
      <c r="A21" s="24"/>
      <c r="B21" s="17" t="s">
        <v>287</v>
      </c>
      <c r="C21" s="23"/>
      <c r="D21" s="4">
        <f>0</f>
        <v>0</v>
      </c>
      <c r="E21" s="4">
        <f>0</f>
        <v>0</v>
      </c>
      <c r="F21" s="4">
        <f>0</f>
        <v>0</v>
      </c>
      <c r="G21" s="4">
        <f>0</f>
        <v>0</v>
      </c>
      <c r="H21" s="4">
        <f>0</f>
        <v>0</v>
      </c>
      <c r="I21" s="4">
        <f>0</f>
        <v>0</v>
      </c>
      <c r="J21" s="4">
        <f>0</f>
        <v>0</v>
      </c>
      <c r="K21" s="4">
        <f>0</f>
        <v>0</v>
      </c>
      <c r="L21" s="4">
        <f>0</f>
        <v>0</v>
      </c>
      <c r="M21" s="4">
        <f>0</f>
        <v>0</v>
      </c>
      <c r="N21" s="4"/>
      <c r="O21" s="4"/>
      <c r="Q21" s="3">
        <f>SUM(OSRRefD23_0x)+IFERROR(SUM(OSRRefE23_0x),0)</f>
        <v>0</v>
      </c>
    </row>
    <row r="22" spans="1:17" ht="15" customHeight="1" x14ac:dyDescent="0.3">
      <c r="A22" s="6"/>
      <c r="B22" s="7"/>
      <c r="C22" s="7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Q22" s="4"/>
    </row>
    <row r="23" spans="1:17" s="37" customFormat="1" ht="15" customHeight="1" x14ac:dyDescent="0.3">
      <c r="A23" s="7"/>
      <c r="B23" s="18" t="s">
        <v>288</v>
      </c>
      <c r="C23" s="18"/>
      <c r="D23" s="9">
        <f t="shared" ref="D23:O23" si="4">IFERROR(+D14-D17+D21,0)</f>
        <v>0</v>
      </c>
      <c r="E23" s="9">
        <f t="shared" si="4"/>
        <v>0</v>
      </c>
      <c r="F23" s="9">
        <f t="shared" si="4"/>
        <v>-71.86</v>
      </c>
      <c r="G23" s="9">
        <f t="shared" si="4"/>
        <v>71.86</v>
      </c>
      <c r="H23" s="9">
        <f t="shared" si="4"/>
        <v>0</v>
      </c>
      <c r="I23" s="9">
        <f t="shared" si="4"/>
        <v>0</v>
      </c>
      <c r="J23" s="9">
        <f t="shared" si="4"/>
        <v>0</v>
      </c>
      <c r="K23" s="9">
        <f t="shared" si="4"/>
        <v>0</v>
      </c>
      <c r="L23" s="9">
        <f t="shared" si="4"/>
        <v>0</v>
      </c>
      <c r="M23" s="9">
        <f t="shared" si="4"/>
        <v>0</v>
      </c>
      <c r="N23" s="9">
        <f t="shared" si="4"/>
        <v>0</v>
      </c>
      <c r="O23" s="9">
        <f t="shared" si="4"/>
        <v>0</v>
      </c>
      <c r="Q23" s="9">
        <f>IFERROR(+Q14-Q17+Q21,0)</f>
        <v>0</v>
      </c>
    </row>
    <row r="24" spans="1:17" s="38" customFormat="1" ht="15" customHeight="1" x14ac:dyDescent="0.3">
      <c r="B24" s="17"/>
      <c r="C24" s="17"/>
      <c r="D24" s="5">
        <f t="shared" ref="D24:O24" si="5">IFERROR(D23/D10,0)</f>
        <v>0</v>
      </c>
      <c r="E24" s="5">
        <f t="shared" si="5"/>
        <v>0</v>
      </c>
      <c r="F24" s="5">
        <f t="shared" si="5"/>
        <v>0</v>
      </c>
      <c r="G24" s="5">
        <f t="shared" si="5"/>
        <v>0</v>
      </c>
      <c r="H24" s="5">
        <f t="shared" si="5"/>
        <v>0</v>
      </c>
      <c r="I24" s="5">
        <f t="shared" si="5"/>
        <v>0</v>
      </c>
      <c r="J24" s="5">
        <f t="shared" si="5"/>
        <v>0</v>
      </c>
      <c r="K24" s="5">
        <f t="shared" si="5"/>
        <v>0</v>
      </c>
      <c r="L24" s="5">
        <f t="shared" si="5"/>
        <v>0</v>
      </c>
      <c r="M24" s="5">
        <f t="shared" si="5"/>
        <v>0</v>
      </c>
      <c r="N24" s="5">
        <f t="shared" si="5"/>
        <v>0</v>
      </c>
      <c r="O24" s="5">
        <f t="shared" si="5"/>
        <v>0</v>
      </c>
      <c r="P24" s="19"/>
      <c r="Q24" s="5">
        <f>IFERROR(Q23/Q10,0)</f>
        <v>0</v>
      </c>
    </row>
    <row r="25" spans="1:17" ht="15" customHeight="1" x14ac:dyDescent="0.3">
      <c r="A25" s="6"/>
      <c r="B25" s="7"/>
      <c r="C25" s="6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Q25" s="4"/>
    </row>
    <row r="26" spans="1:17" s="37" customFormat="1" ht="15" customHeight="1" x14ac:dyDescent="0.3">
      <c r="A26" s="26"/>
      <c r="B26" s="7" t="s">
        <v>289</v>
      </c>
      <c r="C26" s="7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Q26" s="3">
        <f>SUM(OSRRefD28_0x)+IFERROR(SUM(OSRRefE28_0x),0)</f>
        <v>0</v>
      </c>
    </row>
    <row r="27" spans="1:17" ht="15" customHeight="1" x14ac:dyDescent="0.3">
      <c r="A27" s="6"/>
      <c r="B27" s="7"/>
      <c r="C27" s="7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Q27" s="4"/>
    </row>
    <row r="28" spans="1:17" s="37" customFormat="1" ht="15.75" customHeight="1" x14ac:dyDescent="0.3">
      <c r="A28" s="7"/>
      <c r="B28" s="18" t="s">
        <v>290</v>
      </c>
      <c r="C28" s="18"/>
      <c r="D28" s="8">
        <f t="shared" ref="D28:O28" si="6">IFERROR(+D23-D26,0)</f>
        <v>0</v>
      </c>
      <c r="E28" s="8">
        <f t="shared" si="6"/>
        <v>0</v>
      </c>
      <c r="F28" s="8">
        <f t="shared" si="6"/>
        <v>-71.86</v>
      </c>
      <c r="G28" s="8">
        <f t="shared" si="6"/>
        <v>71.86</v>
      </c>
      <c r="H28" s="8">
        <f t="shared" si="6"/>
        <v>0</v>
      </c>
      <c r="I28" s="8">
        <f t="shared" si="6"/>
        <v>0</v>
      </c>
      <c r="J28" s="8">
        <f t="shared" si="6"/>
        <v>0</v>
      </c>
      <c r="K28" s="8">
        <f t="shared" si="6"/>
        <v>0</v>
      </c>
      <c r="L28" s="8">
        <f t="shared" si="6"/>
        <v>0</v>
      </c>
      <c r="M28" s="8">
        <f t="shared" si="6"/>
        <v>0</v>
      </c>
      <c r="N28" s="8">
        <f t="shared" si="6"/>
        <v>0</v>
      </c>
      <c r="O28" s="8">
        <f t="shared" si="6"/>
        <v>0</v>
      </c>
      <c r="Q28" s="8">
        <f>IFERROR(+Q23-Q26,0)</f>
        <v>0</v>
      </c>
    </row>
    <row r="29" spans="1:17" ht="15.75" customHeight="1" x14ac:dyDescent="0.3">
      <c r="A29" s="6"/>
      <c r="B29" s="6"/>
      <c r="C29" s="6"/>
      <c r="D29" s="5">
        <f t="shared" ref="D29:O29" si="7">IFERROR(D28/D10,0)</f>
        <v>0</v>
      </c>
      <c r="E29" s="5">
        <f t="shared" si="7"/>
        <v>0</v>
      </c>
      <c r="F29" s="5">
        <f t="shared" si="7"/>
        <v>0</v>
      </c>
      <c r="G29" s="5">
        <f t="shared" si="7"/>
        <v>0</v>
      </c>
      <c r="H29" s="5">
        <f t="shared" si="7"/>
        <v>0</v>
      </c>
      <c r="I29" s="5">
        <f t="shared" si="7"/>
        <v>0</v>
      </c>
      <c r="J29" s="5">
        <f t="shared" si="7"/>
        <v>0</v>
      </c>
      <c r="K29" s="5">
        <f t="shared" si="7"/>
        <v>0</v>
      </c>
      <c r="L29" s="5">
        <f t="shared" si="7"/>
        <v>0</v>
      </c>
      <c r="M29" s="5">
        <f t="shared" si="7"/>
        <v>0</v>
      </c>
      <c r="N29" s="5">
        <f t="shared" si="7"/>
        <v>0</v>
      </c>
      <c r="O29" s="5">
        <f t="shared" si="7"/>
        <v>0</v>
      </c>
      <c r="P29" s="19"/>
      <c r="Q29" s="5">
        <f>IFERROR(Q28/Q10,0)</f>
        <v>0</v>
      </c>
    </row>
    <row r="30" spans="1:17" ht="15" customHeight="1" x14ac:dyDescent="0.3">
      <c r="A30" s="6"/>
      <c r="B30" s="6"/>
      <c r="C30" s="6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Q30" s="4"/>
    </row>
    <row r="31" spans="1:17" ht="15" customHeight="1" x14ac:dyDescent="0.3">
      <c r="A31" s="6"/>
      <c r="B31" s="6"/>
      <c r="C31" s="6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Q31" s="4"/>
    </row>
    <row r="32" spans="1:17" s="37" customFormat="1" ht="15.75" customHeight="1" x14ac:dyDescent="0.3">
      <c r="A32" s="7"/>
      <c r="B32" s="18" t="s">
        <v>293</v>
      </c>
      <c r="C32" s="18"/>
      <c r="D32" s="8">
        <f t="shared" ref="D32:O32" si="8">IFERROR(SUM(D28:D31),0)</f>
        <v>0</v>
      </c>
      <c r="E32" s="8">
        <f t="shared" si="8"/>
        <v>0</v>
      </c>
      <c r="F32" s="8">
        <f t="shared" si="8"/>
        <v>-71.86</v>
      </c>
      <c r="G32" s="8">
        <f t="shared" si="8"/>
        <v>71.86</v>
      </c>
      <c r="H32" s="8">
        <f t="shared" si="8"/>
        <v>0</v>
      </c>
      <c r="I32" s="8">
        <f t="shared" si="8"/>
        <v>0</v>
      </c>
      <c r="J32" s="8">
        <f t="shared" si="8"/>
        <v>0</v>
      </c>
      <c r="K32" s="8">
        <f t="shared" si="8"/>
        <v>0</v>
      </c>
      <c r="L32" s="8">
        <f t="shared" si="8"/>
        <v>0</v>
      </c>
      <c r="M32" s="8">
        <f t="shared" si="8"/>
        <v>0</v>
      </c>
      <c r="N32" s="8">
        <f t="shared" si="8"/>
        <v>0</v>
      </c>
      <c r="O32" s="8">
        <f t="shared" si="8"/>
        <v>0</v>
      </c>
      <c r="Q32" s="8">
        <f>IFERROR(SUM(Q28:Q31),0)</f>
        <v>0</v>
      </c>
    </row>
    <row r="33" spans="1:17" ht="15.75" customHeight="1" x14ac:dyDescent="0.3">
      <c r="A33" s="6"/>
      <c r="C33" s="6"/>
      <c r="D33" s="5">
        <f t="shared" ref="D33:O33" si="9">IFERROR(D32/D10,0)</f>
        <v>0</v>
      </c>
      <c r="E33" s="5">
        <f t="shared" si="9"/>
        <v>0</v>
      </c>
      <c r="F33" s="5">
        <f t="shared" si="9"/>
        <v>0</v>
      </c>
      <c r="G33" s="5">
        <f t="shared" si="9"/>
        <v>0</v>
      </c>
      <c r="H33" s="5">
        <f t="shared" si="9"/>
        <v>0</v>
      </c>
      <c r="I33" s="5">
        <f t="shared" si="9"/>
        <v>0</v>
      </c>
      <c r="J33" s="5">
        <f t="shared" si="9"/>
        <v>0</v>
      </c>
      <c r="K33" s="5">
        <f t="shared" si="9"/>
        <v>0</v>
      </c>
      <c r="L33" s="5">
        <f t="shared" si="9"/>
        <v>0</v>
      </c>
      <c r="M33" s="5">
        <f t="shared" si="9"/>
        <v>0</v>
      </c>
      <c r="N33" s="5">
        <f t="shared" si="9"/>
        <v>0</v>
      </c>
      <c r="O33" s="5">
        <f t="shared" si="9"/>
        <v>0</v>
      </c>
      <c r="P33" s="19"/>
      <c r="Q33" s="5">
        <f>IFERROR(Q32/Q10,0)</f>
        <v>0</v>
      </c>
    </row>
    <row r="34" spans="1:17" ht="15" customHeight="1" x14ac:dyDescent="0.3">
      <c r="A34" s="6"/>
      <c r="B34" s="33">
        <v>44694.892891863426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Q34" s="14"/>
    </row>
    <row r="35" spans="1:17" ht="15" customHeight="1" x14ac:dyDescent="0.3">
      <c r="A35" s="6"/>
      <c r="B35" s="31" t="s">
        <v>294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Q35" s="14"/>
    </row>
    <row r="36" spans="1:17" ht="15" customHeight="1" x14ac:dyDescent="0.3">
      <c r="A36" s="6"/>
      <c r="B36" s="27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Q36" s="14"/>
    </row>
    <row r="37" spans="1:17" ht="15" customHeight="1" x14ac:dyDescent="0.3"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Q37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0C5A4-A301-6CD7-674B-85212365AFB2}">
  <sheetPr>
    <tabColor rgb="FF92D050"/>
    <outlinePr summaryBelow="0" summaryRight="0"/>
    <pageSetUpPr fitToPage="1"/>
  </sheetPr>
  <dimension ref="A2:R10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","325"," - ","Outpost C-Store")</f>
        <v>Department 325 - Outpost C-Store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0</v>
      </c>
      <c r="E10" s="4">
        <f>SUM(OSRRefD11x_1)</f>
        <v>6534.79</v>
      </c>
      <c r="F10" s="4">
        <f>SUM(OSRRefD11x_2)</f>
        <v>16104.16</v>
      </c>
      <c r="G10" s="4">
        <f>SUM(OSRRefD11x_3)</f>
        <v>25425.519999999997</v>
      </c>
      <c r="H10" s="4">
        <f>SUM(OSRRefD11x_4)</f>
        <v>15236.84</v>
      </c>
      <c r="I10" s="4">
        <f>SUM(OSRRefD11x_5)</f>
        <v>12407.470000000001</v>
      </c>
      <c r="J10" s="4">
        <f>SUM(OSRRefD11x_6)</f>
        <v>4833.46</v>
      </c>
      <c r="K10" s="4">
        <f>SUM(OSRRefD11x_7)</f>
        <v>46065.94</v>
      </c>
      <c r="L10" s="4">
        <f>SUM(OSRRefD11x_8)</f>
        <v>65050.549999999996</v>
      </c>
      <c r="M10" s="4">
        <f>SUM(OSRRefD11x_9)</f>
        <v>35798.15</v>
      </c>
      <c r="N10" s="4">
        <f>SUM(OSRRefE11x_0)</f>
        <v>28802</v>
      </c>
      <c r="O10" s="4">
        <f>SUM(OSRRefE11x_1)</f>
        <v>9241</v>
      </c>
      <c r="P10" s="25"/>
      <c r="Q10" s="4">
        <f>SUM(OSRRefG11x)</f>
        <v>265499.88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0</f>
        <v>0</v>
      </c>
      <c r="E11" s="3">
        <f>--1234.92</f>
        <v>1234.92</v>
      </c>
      <c r="F11" s="3">
        <f>--2858.93</f>
        <v>2858.93</v>
      </c>
      <c r="G11" s="3">
        <f>--4222.65</f>
        <v>4222.6499999999996</v>
      </c>
      <c r="H11" s="3">
        <f>--2305.85</f>
        <v>2305.85</v>
      </c>
      <c r="I11" s="3">
        <f>--2128.3</f>
        <v>2128.3000000000002</v>
      </c>
      <c r="J11" s="3">
        <f>--803.91</f>
        <v>803.91</v>
      </c>
      <c r="K11" s="3">
        <f>--6818.73</f>
        <v>6818.73</v>
      </c>
      <c r="L11" s="3">
        <f>--8860.49</f>
        <v>8860.49</v>
      </c>
      <c r="M11" s="3">
        <f>--4281.36</f>
        <v>4281.3599999999997</v>
      </c>
      <c r="N11" s="3">
        <v>5105</v>
      </c>
      <c r="O11" s="3">
        <v>1638</v>
      </c>
      <c r="Q11" s="3">
        <f>SUM(OSRRefD11_0x)+IFERROR(SUM(OSRRefE11_0x),0)</f>
        <v>40258.14</v>
      </c>
    </row>
    <row r="12" spans="1:18" s="39" customFormat="1" ht="15" hidden="1" customHeight="1" outlineLevel="1" x14ac:dyDescent="0.3">
      <c r="A12" s="24"/>
      <c r="B12" s="11" t="str">
        <f>CONCATENATE("          ","4100"," - ","NON-TAXABLE SALES")</f>
        <v xml:space="preserve">          4100 - NON-TAXABLE SALES</v>
      </c>
      <c r="C12" s="23"/>
      <c r="D12" s="3">
        <f>0</f>
        <v>0</v>
      </c>
      <c r="E12" s="3">
        <f>--5299.87</f>
        <v>5299.87</v>
      </c>
      <c r="F12" s="3">
        <f>--13245.23</f>
        <v>13245.23</v>
      </c>
      <c r="G12" s="3">
        <f>--21202.87</f>
        <v>21202.87</v>
      </c>
      <c r="H12" s="3">
        <f>--12930.99</f>
        <v>12930.99</v>
      </c>
      <c r="I12" s="3">
        <f>--10279.17</f>
        <v>10279.17</v>
      </c>
      <c r="J12" s="3">
        <f>--4029.55</f>
        <v>4029.55</v>
      </c>
      <c r="K12" s="3">
        <f>--39247.21</f>
        <v>39247.21</v>
      </c>
      <c r="L12" s="3">
        <f>--56190.06</f>
        <v>56190.06</v>
      </c>
      <c r="M12" s="3">
        <f>--31516.79</f>
        <v>31516.79</v>
      </c>
      <c r="N12" s="3">
        <v>23697</v>
      </c>
      <c r="O12" s="3">
        <v>7603</v>
      </c>
      <c r="Q12" s="3">
        <f>SUM(OSRRefD11_1x)+IFERROR(SUM(OSRRefE11_1x),0)</f>
        <v>225241.74</v>
      </c>
    </row>
    <row r="13" spans="1:18" ht="15" customHeight="1" x14ac:dyDescent="0.3">
      <c r="A13" s="6"/>
      <c r="B13" s="7"/>
      <c r="C13" s="6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9" customFormat="1" ht="15" customHeight="1" collapsed="1" x14ac:dyDescent="0.3">
      <c r="A14" s="24"/>
      <c r="B14" s="17" t="s">
        <v>284</v>
      </c>
      <c r="C14" s="23"/>
      <c r="D14" s="4">
        <f>SUM(OSRRefD14x_0)</f>
        <v>0</v>
      </c>
      <c r="E14" s="4">
        <f>SUM(OSRRefD14x_1)</f>
        <v>3201.5599999999995</v>
      </c>
      <c r="F14" s="4">
        <f>SUM(OSRRefD14x_2)</f>
        <v>7890.5199999999995</v>
      </c>
      <c r="G14" s="4">
        <f>SUM(OSRRefD14x_3)</f>
        <v>12458.560000000001</v>
      </c>
      <c r="H14" s="4">
        <f>SUM(OSRRefD14x_4)</f>
        <v>6563.18</v>
      </c>
      <c r="I14" s="4">
        <f>SUM(OSRRefD14x_5)</f>
        <v>7713.2900000000009</v>
      </c>
      <c r="J14" s="4">
        <f>SUM(OSRRefD14x_6)</f>
        <v>2283.37</v>
      </c>
      <c r="K14" s="4">
        <f>SUM(OSRRefD14x_7)</f>
        <v>22687.94</v>
      </c>
      <c r="L14" s="4">
        <f>SUM(OSRRefD14x_8)</f>
        <v>13045.739999999998</v>
      </c>
      <c r="M14" s="4">
        <f>SUM(OSRRefD14x_9)</f>
        <v>17540.7</v>
      </c>
      <c r="N14" s="4">
        <f>SUM(OSRRefE14x_0)</f>
        <v>14113</v>
      </c>
      <c r="O14" s="4">
        <f>SUM(OSRRefE14x_1)</f>
        <v>4528</v>
      </c>
      <c r="Q14" s="4">
        <f>SUM(OSRRefG14x)</f>
        <v>112025.86</v>
      </c>
    </row>
    <row r="15" spans="1:18" s="39" customFormat="1" ht="15" hidden="1" customHeight="1" outlineLevel="1" x14ac:dyDescent="0.3">
      <c r="A15" s="24"/>
      <c r="B15" s="11" t="str">
        <f>CONCATENATE("          ","5000"," - ","PURCHASES @ COST")</f>
        <v xml:space="preserve">          5000 - PURCHASES @ COST</v>
      </c>
      <c r="C15" s="23"/>
      <c r="D15" s="3"/>
      <c r="E15" s="3"/>
      <c r="F15" s="3"/>
      <c r="G15" s="3"/>
      <c r="H15" s="3"/>
      <c r="I15" s="3"/>
      <c r="J15" s="3"/>
      <c r="K15" s="3"/>
      <c r="L15" s="3"/>
      <c r="M15" s="3"/>
      <c r="N15" s="3">
        <v>14113</v>
      </c>
      <c r="O15" s="3">
        <v>4528</v>
      </c>
      <c r="Q15" s="3">
        <f>SUM(OSRRefD14_0x)+IFERROR(SUM(OSRRefE14_0x),0)</f>
        <v>18641</v>
      </c>
    </row>
    <row r="16" spans="1:18" s="39" customFormat="1" ht="15" hidden="1" customHeight="1" outlineLevel="1" x14ac:dyDescent="0.3">
      <c r="A16" s="24"/>
      <c r="B16" s="11" t="str">
        <f>CONCATENATE("          ","5053"," - ","PURCHASES @ COST-FOOD")</f>
        <v xml:space="preserve">          5053 - PURCHASES @ COST-FOOD</v>
      </c>
      <c r="C16" s="23"/>
      <c r="D16" s="3">
        <v>0</v>
      </c>
      <c r="E16" s="3">
        <v>14940.56</v>
      </c>
      <c r="F16" s="3">
        <v>8370.32</v>
      </c>
      <c r="G16" s="3">
        <v>12727.12</v>
      </c>
      <c r="H16" s="3">
        <v>3858.46</v>
      </c>
      <c r="I16" s="3">
        <v>1757.73</v>
      </c>
      <c r="J16" s="3">
        <v>238.42</v>
      </c>
      <c r="K16" s="3"/>
      <c r="L16" s="3">
        <v>-14878.27</v>
      </c>
      <c r="M16" s="3">
        <v>1344.8</v>
      </c>
      <c r="N16" s="3"/>
      <c r="O16" s="3"/>
      <c r="Q16" s="3">
        <f>SUM(OSRRefD14_1x)+IFERROR(SUM(OSRRefE14_1x),0)</f>
        <v>28359.14</v>
      </c>
    </row>
    <row r="17" spans="1:17" s="39" customFormat="1" ht="15" hidden="1" customHeight="1" outlineLevel="1" x14ac:dyDescent="0.3">
      <c r="A17" s="24"/>
      <c r="B17" s="11" t="str">
        <f>CONCATENATE("          ","5059"," - ","PURCHASES @ COST-FOOD")</f>
        <v xml:space="preserve">          5059 - PURCHASES @ COST-FOOD</v>
      </c>
      <c r="C17" s="23"/>
      <c r="D17" s="3"/>
      <c r="E17" s="3">
        <v>-11739</v>
      </c>
      <c r="F17" s="3">
        <v>-479.8</v>
      </c>
      <c r="G17" s="3">
        <v>-268.56</v>
      </c>
      <c r="H17" s="3">
        <v>2704.72</v>
      </c>
      <c r="I17" s="3">
        <v>5955.56</v>
      </c>
      <c r="J17" s="3">
        <v>2044.95</v>
      </c>
      <c r="K17" s="3">
        <v>22687.94</v>
      </c>
      <c r="L17" s="3">
        <v>27924.01</v>
      </c>
      <c r="M17" s="3">
        <v>16195.9</v>
      </c>
      <c r="N17" s="3"/>
      <c r="O17" s="3"/>
      <c r="Q17" s="3">
        <f>SUM(OSRRefD14_2x)+IFERROR(SUM(OSRRefE14_2x),0)</f>
        <v>65025.72</v>
      </c>
    </row>
    <row r="18" spans="1:17" ht="15" customHeight="1" x14ac:dyDescent="0.3">
      <c r="A18" s="6"/>
      <c r="B18" s="7"/>
      <c r="C18" s="7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Q18" s="4"/>
    </row>
    <row r="19" spans="1:17" s="37" customFormat="1" ht="15" customHeight="1" x14ac:dyDescent="0.3">
      <c r="A19" s="7"/>
      <c r="B19" s="18" t="s">
        <v>285</v>
      </c>
      <c r="C19" s="18"/>
      <c r="D19" s="9">
        <f t="shared" ref="D19:O19" si="0">IFERROR(+D10-D14,0)</f>
        <v>0</v>
      </c>
      <c r="E19" s="9">
        <f t="shared" si="0"/>
        <v>3333.2300000000005</v>
      </c>
      <c r="F19" s="9">
        <f t="shared" si="0"/>
        <v>8213.64</v>
      </c>
      <c r="G19" s="9">
        <f t="shared" si="0"/>
        <v>12966.959999999995</v>
      </c>
      <c r="H19" s="9">
        <f t="shared" si="0"/>
        <v>8673.66</v>
      </c>
      <c r="I19" s="9">
        <f t="shared" si="0"/>
        <v>4694.18</v>
      </c>
      <c r="J19" s="9">
        <f t="shared" si="0"/>
        <v>2550.09</v>
      </c>
      <c r="K19" s="9">
        <f t="shared" si="0"/>
        <v>23378.000000000004</v>
      </c>
      <c r="L19" s="9">
        <f t="shared" si="0"/>
        <v>52004.81</v>
      </c>
      <c r="M19" s="9">
        <f t="shared" si="0"/>
        <v>18257.45</v>
      </c>
      <c r="N19" s="9">
        <f t="shared" si="0"/>
        <v>14689</v>
      </c>
      <c r="O19" s="9">
        <f t="shared" si="0"/>
        <v>4713</v>
      </c>
      <c r="Q19" s="9">
        <f>IFERROR(+Q10-Q14,0)</f>
        <v>153474.02000000002</v>
      </c>
    </row>
    <row r="20" spans="1:17" s="38" customFormat="1" ht="15" customHeight="1" x14ac:dyDescent="0.3">
      <c r="B20" s="17"/>
      <c r="C20" s="17"/>
      <c r="D20" s="5">
        <f t="shared" ref="D20:O20" si="1">IFERROR(D19/D10,0)</f>
        <v>0</v>
      </c>
      <c r="E20" s="5">
        <f t="shared" si="1"/>
        <v>0.51007453950318227</v>
      </c>
      <c r="F20" s="5">
        <f t="shared" si="1"/>
        <v>0.51003219044023407</v>
      </c>
      <c r="G20" s="5">
        <f t="shared" si="1"/>
        <v>0.50999782895295742</v>
      </c>
      <c r="H20" s="5">
        <f t="shared" si="1"/>
        <v>0.56925582994899204</v>
      </c>
      <c r="I20" s="5">
        <f t="shared" si="1"/>
        <v>0.37833498690708095</v>
      </c>
      <c r="J20" s="5">
        <f t="shared" si="1"/>
        <v>0.52759100106342038</v>
      </c>
      <c r="K20" s="5">
        <f t="shared" si="1"/>
        <v>0.50748991554280676</v>
      </c>
      <c r="L20" s="5">
        <f t="shared" si="1"/>
        <v>0.79945227211760705</v>
      </c>
      <c r="M20" s="5">
        <f t="shared" si="1"/>
        <v>0.51001099218814383</v>
      </c>
      <c r="N20" s="5">
        <f t="shared" si="1"/>
        <v>0.50999930560377749</v>
      </c>
      <c r="O20" s="5">
        <f t="shared" si="1"/>
        <v>0.51000973920571369</v>
      </c>
      <c r="P20" s="19"/>
      <c r="Q20" s="5">
        <f>IFERROR(Q19/Q10,0)</f>
        <v>0.57805683377333361</v>
      </c>
    </row>
    <row r="21" spans="1:17" ht="15" customHeight="1" x14ac:dyDescent="0.3">
      <c r="A21" s="6"/>
      <c r="B21" s="7"/>
      <c r="C21" s="6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Q21" s="2"/>
    </row>
    <row r="22" spans="1:17" s="37" customFormat="1" ht="15" customHeight="1" x14ac:dyDescent="0.3">
      <c r="A22" s="7"/>
      <c r="B22" s="17" t="s">
        <v>286</v>
      </c>
      <c r="C22" s="7"/>
      <c r="D22" s="12" cm="1">
        <f t="array" ref="D22">SUM(OSRRefD20x_0)</f>
        <v>10022.300000000001</v>
      </c>
      <c r="E22" s="12" cm="1">
        <f t="array" ref="E22">SUM(OSRRefD20x_1)</f>
        <v>24826.399999999998</v>
      </c>
      <c r="F22" s="12" cm="1">
        <f t="array" ref="F22">SUM(OSRRefD20x_2)</f>
        <v>16137.500000000002</v>
      </c>
      <c r="G22" s="12" cm="1">
        <f t="array" ref="G22">SUM(OSRRefD20x_3)</f>
        <v>17988.28</v>
      </c>
      <c r="H22" s="12" cm="1">
        <f t="array" ref="H22">SUM(OSRRefD20x_4)</f>
        <v>14854.970000000001</v>
      </c>
      <c r="I22" s="12" cm="1">
        <f t="array" ref="I22">SUM(OSRRefD20x_5)</f>
        <v>15752.84</v>
      </c>
      <c r="J22" s="12" cm="1">
        <f t="array" ref="J22">SUM(OSRRefD20x_6)</f>
        <v>22372.219999999998</v>
      </c>
      <c r="K22" s="12" cm="1">
        <f t="array" ref="K22">SUM(OSRRefD20x_7)</f>
        <v>31906.829999999994</v>
      </c>
      <c r="L22" s="12" cm="1">
        <f t="array" ref="L22">SUM(OSRRefD20x_8)</f>
        <v>35663.089999999997</v>
      </c>
      <c r="M22" s="12" cm="1">
        <f t="array" ref="M22">SUM(OSRRefD20x_9)</f>
        <v>35049.029999999992</v>
      </c>
      <c r="N22" s="12" cm="1">
        <f t="array" ref="N22">SUM(OSRRefE20x_0)</f>
        <v>27538.611335057692</v>
      </c>
      <c r="O22" s="12" cm="1">
        <f t="array" ref="O22">SUM(OSRRefE20x_1)</f>
        <v>23660.092781807689</v>
      </c>
      <c r="Q22" s="12" cm="1">
        <f t="array" ref="Q22">SUM(OSRRefG20x)</f>
        <v>275772.16411686537</v>
      </c>
    </row>
    <row r="23" spans="1:17" s="42" customFormat="1" ht="15" customHeight="1" collapsed="1" x14ac:dyDescent="0.3">
      <c r="A23" s="34"/>
      <c r="B23" s="15" t="str">
        <f>CONCATENATE("     ","*Benefits                                         ")</f>
        <v xml:space="preserve">     *Benefits                                         </v>
      </c>
      <c r="C23" s="15"/>
      <c r="D23" s="2">
        <f>SUM(OSRRefD21_0x_0)</f>
        <v>0</v>
      </c>
      <c r="E23" s="2">
        <f>SUM(OSRRefD21_0x_1)</f>
        <v>199.45000000000002</v>
      </c>
      <c r="F23" s="2">
        <f>SUM(OSRRefD21_0x_2)</f>
        <v>259.75000000000006</v>
      </c>
      <c r="G23" s="2">
        <f>SUM(OSRRefD21_0x_3)</f>
        <v>540.71</v>
      </c>
      <c r="H23" s="2">
        <f>SUM(OSRRefD21_0x_4)</f>
        <v>261.38</v>
      </c>
      <c r="I23" s="2">
        <f>SUM(OSRRefD21_0x_5)</f>
        <v>303.02999999999997</v>
      </c>
      <c r="J23" s="2">
        <f>SUM(OSRRefD21_0x_6)</f>
        <v>3795.8700000000003</v>
      </c>
      <c r="K23" s="2">
        <f>SUM(OSRRefD21_0x_7)</f>
        <v>3975.66</v>
      </c>
      <c r="L23" s="2">
        <f>SUM(OSRRefD21_0x_8)</f>
        <v>4140.4699999999993</v>
      </c>
      <c r="M23" s="2">
        <f>SUM(OSRRefD21_0x_9)</f>
        <v>4910.8999999999996</v>
      </c>
      <c r="N23" s="2">
        <f>SUM(OSRRefE21_0x_0)</f>
        <v>3959.9879542884605</v>
      </c>
      <c r="O23" s="2">
        <f>SUM(OSRRefE21_0x_1)</f>
        <v>3825.6398510384606</v>
      </c>
      <c r="Q23" s="3">
        <f>SUM(OSRRefD20_0x)+IFERROR(SUM(OSRRefE20_0x),0)</f>
        <v>26172.847805326921</v>
      </c>
    </row>
    <row r="24" spans="1:17" s="42" customFormat="1" ht="15" hidden="1" customHeight="1" outlineLevel="1" x14ac:dyDescent="0.3">
      <c r="A24" s="34"/>
      <c r="B24" s="11" t="str">
        <f>CONCATENATE("          ","6111"," - ","F.I.C.A.")</f>
        <v xml:space="preserve">          6111 - F.I.C.A.</v>
      </c>
      <c r="C24" s="15"/>
      <c r="D24" s="3"/>
      <c r="E24" s="3">
        <v>161.21</v>
      </c>
      <c r="F24" s="3">
        <v>163.55000000000001</v>
      </c>
      <c r="G24" s="3">
        <v>359.05</v>
      </c>
      <c r="H24" s="3">
        <v>174.68</v>
      </c>
      <c r="I24" s="3">
        <v>209.7</v>
      </c>
      <c r="J24" s="3">
        <v>459.27</v>
      </c>
      <c r="K24" s="3">
        <v>596.1</v>
      </c>
      <c r="L24" s="3">
        <v>688.4</v>
      </c>
      <c r="M24" s="3">
        <v>973.12</v>
      </c>
      <c r="N24" s="3">
        <v>481.239919673077</v>
      </c>
      <c r="O24" s="3">
        <v>480.62576642307698</v>
      </c>
      <c r="P24" s="10"/>
      <c r="Q24" s="3">
        <f>SUM(OSRRefD21_0_0x)+IFERROR(SUM(OSRRefE21_0_0x),0)</f>
        <v>4746.9456860961536</v>
      </c>
    </row>
    <row r="25" spans="1:17" s="42" customFormat="1" ht="15" hidden="1" customHeight="1" outlineLevel="1" x14ac:dyDescent="0.3">
      <c r="A25" s="34"/>
      <c r="B25" s="11" t="str">
        <f>CONCATENATE("          ","6112"," - ","COMPENSATION INSURANCE")</f>
        <v xml:space="preserve">          6112 - COMPENSATION INSURANCE</v>
      </c>
      <c r="C25" s="15"/>
      <c r="D25" s="3"/>
      <c r="E25" s="3">
        <v>32.53</v>
      </c>
      <c r="F25" s="3">
        <v>83.23</v>
      </c>
      <c r="G25" s="3">
        <v>120.49</v>
      </c>
      <c r="H25" s="3">
        <v>56.73</v>
      </c>
      <c r="I25" s="3">
        <v>62.37</v>
      </c>
      <c r="J25" s="3">
        <v>200.96</v>
      </c>
      <c r="K25" s="3">
        <v>199.08</v>
      </c>
      <c r="L25" s="3">
        <v>260.11</v>
      </c>
      <c r="M25" s="3">
        <v>208.54</v>
      </c>
      <c r="N25" s="3">
        <v>422.27315588461499</v>
      </c>
      <c r="O25" s="3">
        <v>349.86577438461501</v>
      </c>
      <c r="P25" s="10"/>
      <c r="Q25" s="3">
        <f>SUM(OSRRefD21_0_1x)+IFERROR(SUM(OSRRefE21_0_1x),0)</f>
        <v>1996.1789302692302</v>
      </c>
    </row>
    <row r="26" spans="1:17" s="42" customFormat="1" ht="15" hidden="1" customHeight="1" outlineLevel="1" x14ac:dyDescent="0.3">
      <c r="A26" s="34"/>
      <c r="B26" s="11" t="str">
        <f>CONCATENATE("          ","6113"," - ","GROUP INSURANCE")</f>
        <v xml:space="preserve">          6113 - GROUP INSURANCE</v>
      </c>
      <c r="C26" s="15"/>
      <c r="D26" s="3"/>
      <c r="E26" s="3"/>
      <c r="F26" s="3"/>
      <c r="G26" s="3"/>
      <c r="H26" s="3"/>
      <c r="I26" s="3"/>
      <c r="J26" s="3">
        <v>1752.24</v>
      </c>
      <c r="K26" s="3">
        <v>1752.24</v>
      </c>
      <c r="L26" s="3">
        <v>1752.24</v>
      </c>
      <c r="M26" s="3">
        <v>1752.24</v>
      </c>
      <c r="N26" s="3">
        <v>1977</v>
      </c>
      <c r="O26" s="3">
        <v>1977</v>
      </c>
      <c r="P26" s="10"/>
      <c r="Q26" s="3">
        <f>SUM(OSRRefD21_0_2x)+IFERROR(SUM(OSRRefE21_0_2x),0)</f>
        <v>10962.96</v>
      </c>
    </row>
    <row r="27" spans="1:17" s="42" customFormat="1" ht="15" hidden="1" customHeight="1" outlineLevel="1" x14ac:dyDescent="0.3">
      <c r="A27" s="34"/>
      <c r="B27" s="11" t="str">
        <f>CONCATENATE("          ","6114"," - ","STATE UNEMPLOYMENT INSURANCE")</f>
        <v xml:space="preserve">          6114 - STATE UNEMPLOYMENT INSURANCE</v>
      </c>
      <c r="C27" s="15"/>
      <c r="D27" s="3"/>
      <c r="E27" s="3">
        <v>5.71</v>
      </c>
      <c r="F27" s="3">
        <v>12.97</v>
      </c>
      <c r="G27" s="3">
        <v>21.17</v>
      </c>
      <c r="H27" s="3">
        <v>9.9700000000000006</v>
      </c>
      <c r="I27" s="3">
        <v>10.96</v>
      </c>
      <c r="J27" s="3">
        <v>16.260000000000002</v>
      </c>
      <c r="K27" s="3">
        <v>34.97</v>
      </c>
      <c r="L27" s="3">
        <v>45.7</v>
      </c>
      <c r="M27" s="3">
        <v>36.64</v>
      </c>
      <c r="N27" s="3">
        <v>23.397721038461501</v>
      </c>
      <c r="O27" s="3">
        <v>19.385702538461501</v>
      </c>
      <c r="P27" s="10"/>
      <c r="Q27" s="3">
        <f>SUM(OSRRefD21_0_3x)+IFERROR(SUM(OSRRefE21_0_3x),0)</f>
        <v>237.13342357692301</v>
      </c>
    </row>
    <row r="28" spans="1:17" s="42" customFormat="1" ht="15" hidden="1" customHeight="1" outlineLevel="1" x14ac:dyDescent="0.3">
      <c r="A28" s="34"/>
      <c r="B28" s="11" t="str">
        <f>CONCATENATE("          ","6115"," - ","P.E.R.S.")</f>
        <v xml:space="preserve">          6115 - P.E.R.S.</v>
      </c>
      <c r="C28" s="15"/>
      <c r="D28" s="3"/>
      <c r="E28" s="3"/>
      <c r="F28" s="3"/>
      <c r="G28" s="3"/>
      <c r="H28" s="3"/>
      <c r="I28" s="3"/>
      <c r="J28" s="3">
        <v>548.17999999999995</v>
      </c>
      <c r="K28" s="3">
        <v>548.17999999999995</v>
      </c>
      <c r="L28" s="3">
        <v>548.17999999999995</v>
      </c>
      <c r="M28" s="3">
        <v>794.87</v>
      </c>
      <c r="N28" s="3">
        <v>397.928615384615</v>
      </c>
      <c r="O28" s="3">
        <v>397.928615384615</v>
      </c>
      <c r="P28" s="10"/>
      <c r="Q28" s="3">
        <f>SUM(OSRRefD21_0_4x)+IFERROR(SUM(OSRRefE21_0_4x),0)</f>
        <v>3235.2672307692301</v>
      </c>
    </row>
    <row r="29" spans="1:17" s="42" customFormat="1" ht="15" hidden="1" customHeight="1" outlineLevel="1" x14ac:dyDescent="0.3">
      <c r="A29" s="34"/>
      <c r="B29" s="11" t="str">
        <f>CONCATENATE("          ","6116"," - ","EDUCATIONAL BENEFITS")</f>
        <v xml:space="preserve">          6116 - EDUCATIONAL BENEFITS</v>
      </c>
      <c r="C29" s="15"/>
      <c r="D29" s="3"/>
      <c r="E29" s="3"/>
      <c r="F29" s="3"/>
      <c r="G29" s="3"/>
      <c r="H29" s="3"/>
      <c r="I29" s="3"/>
      <c r="J29" s="3"/>
      <c r="K29" s="3"/>
      <c r="L29" s="3"/>
      <c r="M29" s="3"/>
      <c r="N29" s="3">
        <v>0</v>
      </c>
      <c r="O29" s="3">
        <v>0</v>
      </c>
      <c r="P29" s="10"/>
      <c r="Q29" s="3">
        <f>SUM(OSRRefD21_0_5x)+IFERROR(SUM(OSRRefE21_0_5x),0)</f>
        <v>0</v>
      </c>
    </row>
    <row r="30" spans="1:17" s="42" customFormat="1" ht="15" hidden="1" customHeight="1" outlineLevel="1" x14ac:dyDescent="0.3">
      <c r="A30" s="34"/>
      <c r="B30" s="11" t="str">
        <f>CONCATENATE("          ","6118"," - ","VACATION")</f>
        <v xml:space="preserve">          6118 - VACATION</v>
      </c>
      <c r="C30" s="15"/>
      <c r="D30" s="3"/>
      <c r="E30" s="3"/>
      <c r="F30" s="3"/>
      <c r="G30" s="3"/>
      <c r="H30" s="3"/>
      <c r="I30" s="3"/>
      <c r="J30" s="3">
        <v>368.44</v>
      </c>
      <c r="K30" s="3">
        <v>368.44</v>
      </c>
      <c r="L30" s="3">
        <v>368.44</v>
      </c>
      <c r="M30" s="3">
        <v>552.66</v>
      </c>
      <c r="N30" s="3">
        <v>231.35384615384601</v>
      </c>
      <c r="O30" s="3">
        <v>231.35384615384601</v>
      </c>
      <c r="P30" s="10"/>
      <c r="Q30" s="3">
        <f>SUM(OSRRefD21_0_6x)+IFERROR(SUM(OSRRefE21_0_6x),0)</f>
        <v>2120.687692307692</v>
      </c>
    </row>
    <row r="31" spans="1:17" s="42" customFormat="1" ht="15" hidden="1" customHeight="1" outlineLevel="1" x14ac:dyDescent="0.3">
      <c r="A31" s="34"/>
      <c r="B31" s="11" t="str">
        <f>CONCATENATE("          ","6119"," - ","SICK LEAVE")</f>
        <v xml:space="preserve">          6119 - SICK LEAVE</v>
      </c>
      <c r="C31" s="15"/>
      <c r="D31" s="3"/>
      <c r="E31" s="3"/>
      <c r="F31" s="3"/>
      <c r="G31" s="3"/>
      <c r="H31" s="3"/>
      <c r="I31" s="3"/>
      <c r="J31" s="3">
        <v>232.4</v>
      </c>
      <c r="K31" s="3">
        <v>232.4</v>
      </c>
      <c r="L31" s="3">
        <v>232.4</v>
      </c>
      <c r="M31" s="3">
        <v>348.6</v>
      </c>
      <c r="N31" s="3">
        <v>426.79469615384602</v>
      </c>
      <c r="O31" s="3">
        <v>369.48014615384602</v>
      </c>
      <c r="P31" s="10"/>
      <c r="Q31" s="3">
        <f>SUM(OSRRefD21_0_7x)+IFERROR(SUM(OSRRefE21_0_7x),0)</f>
        <v>1842.0748423076923</v>
      </c>
    </row>
    <row r="32" spans="1:17" s="42" customFormat="1" ht="15" hidden="1" customHeight="1" outlineLevel="1" x14ac:dyDescent="0.3">
      <c r="A32" s="34"/>
      <c r="B32" s="11" t="str">
        <f>CONCATENATE("          ","6156"," - ","EMPLOYEE MEALS")</f>
        <v xml:space="preserve">          6156 - EMPLOYEE MEALS</v>
      </c>
      <c r="C32" s="15"/>
      <c r="D32" s="3"/>
      <c r="E32" s="3"/>
      <c r="F32" s="3"/>
      <c r="G32" s="3">
        <v>40</v>
      </c>
      <c r="H32" s="3">
        <v>20</v>
      </c>
      <c r="I32" s="3">
        <v>20</v>
      </c>
      <c r="J32" s="3">
        <v>218.12</v>
      </c>
      <c r="K32" s="3">
        <v>244.25</v>
      </c>
      <c r="L32" s="3">
        <v>245</v>
      </c>
      <c r="M32" s="3">
        <v>244.23</v>
      </c>
      <c r="N32" s="3"/>
      <c r="O32" s="3"/>
      <c r="P32" s="10"/>
      <c r="Q32" s="3">
        <f>SUM(OSRRefD21_0_8x)+IFERROR(SUM(OSRRefE21_0_8x),0)</f>
        <v>1031.5999999999999</v>
      </c>
    </row>
    <row r="33" spans="1:17" s="42" customFormat="1" ht="15" customHeight="1" collapsed="1" x14ac:dyDescent="0.3">
      <c r="A33" s="34"/>
      <c r="B33" s="15" t="str">
        <f>CONCATENATE("     ","*Payroll                                          ")</f>
        <v xml:space="preserve">     *Payroll                                          </v>
      </c>
      <c r="C33" s="15"/>
      <c r="D33" s="2">
        <f>SUM(OSRRefD21_1x_0)</f>
        <v>0</v>
      </c>
      <c r="E33" s="2">
        <f>SUM(OSRRefD21_1x_1)</f>
        <v>3536.3599999999997</v>
      </c>
      <c r="F33" s="2">
        <f>SUM(OSRRefD21_1x_2)</f>
        <v>4434.13</v>
      </c>
      <c r="G33" s="2">
        <f>SUM(OSRRefD21_1x_3)</f>
        <v>6310.97</v>
      </c>
      <c r="H33" s="2">
        <f>SUM(OSRRefD21_1x_4)</f>
        <v>3719.33</v>
      </c>
      <c r="I33" s="2">
        <f>SUM(OSRRefD21_1x_5)</f>
        <v>3939.8999999999996</v>
      </c>
      <c r="J33" s="2">
        <f>SUM(OSRRefD21_1x_6)</f>
        <v>8192.92</v>
      </c>
      <c r="K33" s="2">
        <f>SUM(OSRRefD21_1x_7)</f>
        <v>15587.349999999999</v>
      </c>
      <c r="L33" s="2">
        <f>SUM(OSRRefD21_1x_8)</f>
        <v>16325.560000000001</v>
      </c>
      <c r="M33" s="2">
        <f>SUM(OSRRefD21_1x_9)</f>
        <v>18141.78</v>
      </c>
      <c r="N33" s="2">
        <f>SUM(OSRRefE21_1x_0)</f>
        <v>10483.62338076923</v>
      </c>
      <c r="O33" s="2">
        <f>SUM(OSRRefE21_1x_1)</f>
        <v>8630.4529307692301</v>
      </c>
      <c r="Q33" s="3">
        <f>SUM(OSRRefD20_1x)+IFERROR(SUM(OSRRefE20_1x),0)</f>
        <v>99302.376311538465</v>
      </c>
    </row>
    <row r="34" spans="1:17" s="42" customFormat="1" ht="15" hidden="1" customHeight="1" outlineLevel="1" x14ac:dyDescent="0.3">
      <c r="A34" s="34"/>
      <c r="B34" s="11" t="str">
        <f>CONCATENATE("          ","6001"," - ","ADMINISTRATIVE SALARIES")</f>
        <v xml:space="preserve">          6001 - ADMINISTRATIVE SALARIES</v>
      </c>
      <c r="C34" s="15"/>
      <c r="D34" s="3"/>
      <c r="E34" s="3"/>
      <c r="F34" s="3"/>
      <c r="G34" s="3"/>
      <c r="H34" s="3"/>
      <c r="I34" s="3"/>
      <c r="J34" s="3"/>
      <c r="K34" s="3"/>
      <c r="L34" s="3"/>
      <c r="M34" s="3"/>
      <c r="N34" s="3">
        <v>0</v>
      </c>
      <c r="O34" s="3">
        <v>0</v>
      </c>
      <c r="P34" s="10"/>
      <c r="Q34" s="3">
        <f>SUM(OSRRefD21_1_0x)+IFERROR(SUM(OSRRefE21_1_0x),0)</f>
        <v>0</v>
      </c>
    </row>
    <row r="35" spans="1:17" s="42" customFormat="1" ht="15" hidden="1" customHeight="1" outlineLevel="1" x14ac:dyDescent="0.3">
      <c r="A35" s="34"/>
      <c r="B35" s="11" t="str">
        <f>CONCATENATE("          ","6002"," - ","STAFF SALARIES")</f>
        <v xml:space="preserve">          6002 - STAFF SALARIES</v>
      </c>
      <c r="C35" s="15"/>
      <c r="D35" s="3"/>
      <c r="E35" s="3"/>
      <c r="F35" s="3"/>
      <c r="G35" s="3"/>
      <c r="H35" s="3"/>
      <c r="I35" s="3"/>
      <c r="J35" s="3">
        <v>6046.54</v>
      </c>
      <c r="K35" s="3">
        <v>5038.46</v>
      </c>
      <c r="L35" s="3">
        <v>4534.6099999999997</v>
      </c>
      <c r="M35" s="3">
        <v>5541.93</v>
      </c>
      <c r="N35" s="3">
        <v>4164.3692307692299</v>
      </c>
      <c r="O35" s="3">
        <v>4164.3692307692299</v>
      </c>
      <c r="P35" s="10"/>
      <c r="Q35" s="3">
        <f>SUM(OSRRefD21_1_1x)+IFERROR(SUM(OSRRefE21_1_1x),0)</f>
        <v>29490.278461538459</v>
      </c>
    </row>
    <row r="36" spans="1:17" s="42" customFormat="1" ht="15" hidden="1" customHeight="1" outlineLevel="1" x14ac:dyDescent="0.3">
      <c r="A36" s="34"/>
      <c r="B36" s="11" t="str">
        <f>CONCATENATE("          ","6003"," - ","STAFF HOURLY-9 MONTH")</f>
        <v xml:space="preserve">          6003 - STAFF HOURLY-9 MONTH</v>
      </c>
      <c r="C36" s="15"/>
      <c r="D36" s="3"/>
      <c r="E36" s="3"/>
      <c r="F36" s="3"/>
      <c r="G36" s="3"/>
      <c r="H36" s="3"/>
      <c r="I36" s="3"/>
      <c r="J36" s="3"/>
      <c r="K36" s="3"/>
      <c r="L36" s="3"/>
      <c r="M36" s="3"/>
      <c r="N36" s="3">
        <v>0</v>
      </c>
      <c r="O36" s="3">
        <v>0</v>
      </c>
      <c r="P36" s="10"/>
      <c r="Q36" s="3">
        <f>SUM(OSRRefD21_1_2x)+IFERROR(SUM(OSRRefE21_1_2x),0)</f>
        <v>0</v>
      </c>
    </row>
    <row r="37" spans="1:17" s="42" customFormat="1" ht="15" hidden="1" customHeight="1" outlineLevel="1" x14ac:dyDescent="0.3">
      <c r="A37" s="34"/>
      <c r="B37" s="11" t="str">
        <f>CONCATENATE("          ","6004"," - ","STAFF HOURLY")</f>
        <v xml:space="preserve">          6004 - STAFF HOURLY</v>
      </c>
      <c r="C37" s="15"/>
      <c r="D37" s="3"/>
      <c r="E37" s="3"/>
      <c r="F37" s="3"/>
      <c r="G37" s="3"/>
      <c r="H37" s="3"/>
      <c r="I37" s="3"/>
      <c r="J37" s="3"/>
      <c r="K37" s="3"/>
      <c r="L37" s="3"/>
      <c r="M37" s="3"/>
      <c r="N37" s="3">
        <v>1611.3397500000001</v>
      </c>
      <c r="O37" s="3">
        <v>1603.5554999999999</v>
      </c>
      <c r="P37" s="10"/>
      <c r="Q37" s="3">
        <f>SUM(OSRRefD21_1_3x)+IFERROR(SUM(OSRRefE21_1_3x),0)</f>
        <v>3214.89525</v>
      </c>
    </row>
    <row r="38" spans="1:17" s="42" customFormat="1" ht="15" hidden="1" customHeight="1" outlineLevel="1" x14ac:dyDescent="0.3">
      <c r="A38" s="34"/>
      <c r="B38" s="11" t="str">
        <f>CONCATENATE("          ","6005"," - ","TEMPORARY WAGES-HOURLY")</f>
        <v xml:space="preserve">          6005 - TEMPORARY WAGES-HOURLY</v>
      </c>
      <c r="C38" s="15"/>
      <c r="D38" s="3"/>
      <c r="E38" s="3">
        <v>1258.8</v>
      </c>
      <c r="F38" s="3">
        <v>2137.8000000000002</v>
      </c>
      <c r="G38" s="3">
        <v>4693.5</v>
      </c>
      <c r="H38" s="3">
        <v>2283.4499999999998</v>
      </c>
      <c r="I38" s="3">
        <v>2741.1</v>
      </c>
      <c r="J38" s="3">
        <v>890.08</v>
      </c>
      <c r="K38" s="3">
        <v>3653.66</v>
      </c>
      <c r="L38" s="3">
        <v>2910.34</v>
      </c>
      <c r="M38" s="3">
        <v>5012.8</v>
      </c>
      <c r="N38" s="3">
        <v>0</v>
      </c>
      <c r="O38" s="3">
        <v>0</v>
      </c>
      <c r="P38" s="10"/>
      <c r="Q38" s="3">
        <f>SUM(OSRRefD21_1_4x)+IFERROR(SUM(OSRRefE21_1_4x),0)</f>
        <v>25581.53</v>
      </c>
    </row>
    <row r="39" spans="1:17" s="42" customFormat="1" ht="15" hidden="1" customHeight="1" outlineLevel="1" x14ac:dyDescent="0.3">
      <c r="A39" s="34"/>
      <c r="B39" s="11" t="str">
        <f>CONCATENATE("          ","6006"," - ","TEMPORARY PART TIME")</f>
        <v xml:space="preserve">          6006 - TEMPORARY PART TIME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/>
      <c r="N39" s="3">
        <v>0</v>
      </c>
      <c r="O39" s="3">
        <v>0</v>
      </c>
      <c r="P39" s="10"/>
      <c r="Q39" s="3">
        <f>SUM(OSRRefD21_1_5x)+IFERROR(SUM(OSRRefE21_1_5x),0)</f>
        <v>0</v>
      </c>
    </row>
    <row r="40" spans="1:17" s="42" customFormat="1" ht="15" hidden="1" customHeight="1" outlineLevel="1" x14ac:dyDescent="0.3">
      <c r="A40" s="34"/>
      <c r="B40" s="11" t="str">
        <f>CONCATENATE("          ","6007"," - ","STUDENT HOURLY")</f>
        <v xml:space="preserve">          6007 - STUDENT HOURLY</v>
      </c>
      <c r="C40" s="15"/>
      <c r="D40" s="3"/>
      <c r="E40" s="3">
        <v>2277.56</v>
      </c>
      <c r="F40" s="3">
        <v>2296.33</v>
      </c>
      <c r="G40" s="3">
        <v>1617.47</v>
      </c>
      <c r="H40" s="3">
        <v>1435.88</v>
      </c>
      <c r="I40" s="3">
        <v>1198.8</v>
      </c>
      <c r="J40" s="3">
        <v>1256.3</v>
      </c>
      <c r="K40" s="3">
        <v>6895.23</v>
      </c>
      <c r="L40" s="3">
        <v>8880.61</v>
      </c>
      <c r="M40" s="3">
        <v>7587.05</v>
      </c>
      <c r="N40" s="3">
        <v>0</v>
      </c>
      <c r="O40" s="3">
        <v>0</v>
      </c>
      <c r="P40" s="10"/>
      <c r="Q40" s="3">
        <f>SUM(OSRRefD21_1_6x)+IFERROR(SUM(OSRRefE21_1_6x),0)</f>
        <v>33445.230000000003</v>
      </c>
    </row>
    <row r="41" spans="1:17" s="42" customFormat="1" ht="15" hidden="1" customHeight="1" outlineLevel="1" x14ac:dyDescent="0.3">
      <c r="A41" s="34"/>
      <c r="B41" s="11" t="str">
        <f>CONCATENATE("          ","6008"," - ","STUDENT HOURLY-FICA EXEMPT")</f>
        <v xml:space="preserve">          6008 - STUDENT HOURLY-FICA EXEMPT</v>
      </c>
      <c r="C41" s="15"/>
      <c r="D41" s="3"/>
      <c r="E41" s="3"/>
      <c r="F41" s="3"/>
      <c r="G41" s="3"/>
      <c r="H41" s="3"/>
      <c r="I41" s="3"/>
      <c r="J41" s="3"/>
      <c r="K41" s="3"/>
      <c r="L41" s="3"/>
      <c r="M41" s="3"/>
      <c r="N41" s="3">
        <v>4707.9143999999997</v>
      </c>
      <c r="O41" s="3">
        <v>2862.5282000000002</v>
      </c>
      <c r="P41" s="10"/>
      <c r="Q41" s="3">
        <f>SUM(OSRRefD21_1_7x)+IFERROR(SUM(OSRRefE21_1_7x),0)</f>
        <v>7570.4426000000003</v>
      </c>
    </row>
    <row r="42" spans="1:17" s="42" customFormat="1" ht="15" hidden="1" customHeight="1" outlineLevel="1" x14ac:dyDescent="0.3">
      <c r="A42" s="34"/>
      <c r="B42" s="11" t="str">
        <f>CONCATENATE("          ","6009"," - ","TEMPORARY-SEASONAL")</f>
        <v xml:space="preserve">          6009 - TEMPORARY-SEASONAL</v>
      </c>
      <c r="C42" s="15"/>
      <c r="D42" s="3"/>
      <c r="E42" s="3"/>
      <c r="F42" s="3"/>
      <c r="G42" s="3"/>
      <c r="H42" s="3"/>
      <c r="I42" s="3"/>
      <c r="J42" s="3"/>
      <c r="K42" s="3"/>
      <c r="L42" s="3"/>
      <c r="M42" s="3"/>
      <c r="N42" s="3">
        <v>0</v>
      </c>
      <c r="O42" s="3">
        <v>0</v>
      </c>
      <c r="P42" s="10"/>
      <c r="Q42" s="3">
        <f>SUM(OSRRefD21_1_8x)+IFERROR(SUM(OSRRefE21_1_8x),0)</f>
        <v>0</v>
      </c>
    </row>
    <row r="43" spans="1:17" s="42" customFormat="1" ht="15" hidden="1" customHeight="1" outlineLevel="1" x14ac:dyDescent="0.3">
      <c r="A43" s="34"/>
      <c r="B43" s="11" t="str">
        <f>CONCATENATE("          ","6010"," - ","GRATUITY")</f>
        <v xml:space="preserve">          6010 - GRATUITY</v>
      </c>
      <c r="C43" s="15"/>
      <c r="D43" s="3"/>
      <c r="E43" s="3"/>
      <c r="F43" s="3"/>
      <c r="G43" s="3"/>
      <c r="H43" s="3"/>
      <c r="I43" s="3"/>
      <c r="J43" s="3"/>
      <c r="K43" s="3"/>
      <c r="L43" s="3"/>
      <c r="M43" s="3"/>
      <c r="N43" s="3">
        <v>0</v>
      </c>
      <c r="O43" s="3">
        <v>0</v>
      </c>
      <c r="P43" s="10"/>
      <c r="Q43" s="3">
        <f>SUM(OSRRefD21_1_9x)+IFERROR(SUM(OSRRefE21_1_9x),0)</f>
        <v>0</v>
      </c>
    </row>
    <row r="44" spans="1:17" s="42" customFormat="1" ht="15" customHeight="1" collapsed="1" x14ac:dyDescent="0.3">
      <c r="A44" s="34"/>
      <c r="B44" s="15" t="str">
        <f>CONCATENATE("     ","Advertising/Promo                                 ")</f>
        <v xml:space="preserve">     Advertising/Promo                                 </v>
      </c>
      <c r="C44" s="15"/>
      <c r="D44" s="2">
        <f>SUM(OSRRefD21_2x_0)</f>
        <v>0</v>
      </c>
      <c r="E44" s="2">
        <f>SUM(OSRRefD21_2x_1)</f>
        <v>87.97</v>
      </c>
      <c r="F44" s="2">
        <f>SUM(OSRRefD21_2x_2)</f>
        <v>0</v>
      </c>
      <c r="G44" s="2">
        <f>SUM(OSRRefD21_2x_3)</f>
        <v>0</v>
      </c>
      <c r="H44" s="2">
        <f>SUM(OSRRefD21_2x_4)</f>
        <v>3.25</v>
      </c>
      <c r="I44" s="2">
        <f>SUM(OSRRefD21_2x_5)</f>
        <v>0</v>
      </c>
      <c r="J44" s="2">
        <f>SUM(OSRRefD21_2x_6)</f>
        <v>0</v>
      </c>
      <c r="K44" s="2">
        <f>SUM(OSRRefD21_2x_7)</f>
        <v>0</v>
      </c>
      <c r="L44" s="2">
        <f>SUM(OSRRefD21_2x_8)</f>
        <v>0</v>
      </c>
      <c r="M44" s="2">
        <f>SUM(OSRRefD21_2x_9)</f>
        <v>0</v>
      </c>
      <c r="N44" s="2">
        <f>SUM(OSRRefE21_2x_0)</f>
        <v>0</v>
      </c>
      <c r="O44" s="2">
        <f>SUM(OSRRefE21_2x_1)</f>
        <v>0</v>
      </c>
      <c r="Q44" s="3">
        <f>SUM(OSRRefD20_2x)+IFERROR(SUM(OSRRefE20_2x),0)</f>
        <v>91.22</v>
      </c>
    </row>
    <row r="45" spans="1:17" s="42" customFormat="1" ht="15" hidden="1" customHeight="1" outlineLevel="1" x14ac:dyDescent="0.3">
      <c r="A45" s="34"/>
      <c r="B45" s="11" t="str">
        <f>CONCATENATE("          ","6362"," - ","ADVERTISING EXPENSE")</f>
        <v xml:space="preserve">          6362 - ADVERTISING EXPENSE</v>
      </c>
      <c r="C45" s="15"/>
      <c r="D45" s="3"/>
      <c r="E45" s="3">
        <v>87.97</v>
      </c>
      <c r="F45" s="3"/>
      <c r="G45" s="3"/>
      <c r="H45" s="3">
        <v>3.25</v>
      </c>
      <c r="I45" s="3"/>
      <c r="J45" s="3"/>
      <c r="K45" s="3"/>
      <c r="L45" s="3"/>
      <c r="M45" s="3"/>
      <c r="N45" s="3"/>
      <c r="O45" s="3"/>
      <c r="P45" s="10"/>
      <c r="Q45" s="3">
        <f>SUM(OSRRefD21_2_0x)+IFERROR(SUM(OSRRefE21_2_0x),0)</f>
        <v>91.22</v>
      </c>
    </row>
    <row r="46" spans="1:17" s="42" customFormat="1" ht="15" customHeight="1" collapsed="1" x14ac:dyDescent="0.3">
      <c r="A46" s="34"/>
      <c r="B46" s="15" t="str">
        <f>CONCATENATE("     ","Bad Debts/Over/Short                              ")</f>
        <v xml:space="preserve">     Bad Debts/Over/Short                              </v>
      </c>
      <c r="C46" s="15"/>
      <c r="D46" s="2">
        <f>SUM(OSRRefD21_3x_0)</f>
        <v>0</v>
      </c>
      <c r="E46" s="2">
        <f>SUM(OSRRefD21_3x_1)</f>
        <v>-1.3</v>
      </c>
      <c r="F46" s="2">
        <f>SUM(OSRRefD21_3x_2)</f>
        <v>15.79</v>
      </c>
      <c r="G46" s="2">
        <f>SUM(OSRRefD21_3x_3)</f>
        <v>-7.31</v>
      </c>
      <c r="H46" s="2">
        <f>SUM(OSRRefD21_3x_4)</f>
        <v>2.06</v>
      </c>
      <c r="I46" s="2">
        <f>SUM(OSRRefD21_3x_5)</f>
        <v>19.600000000000001</v>
      </c>
      <c r="J46" s="2">
        <f>SUM(OSRRefD21_3x_6)</f>
        <v>-19.52</v>
      </c>
      <c r="K46" s="2">
        <f>SUM(OSRRefD21_3x_7)</f>
        <v>10.59</v>
      </c>
      <c r="L46" s="2">
        <f>SUM(OSRRefD21_3x_8)</f>
        <v>-1.92</v>
      </c>
      <c r="M46" s="2">
        <f>SUM(OSRRefD21_3x_9)</f>
        <v>0.14000000000000001</v>
      </c>
      <c r="N46" s="2">
        <f>SUM(OSRRefE21_3x_0)</f>
        <v>0</v>
      </c>
      <c r="O46" s="2">
        <f>SUM(OSRRefE21_3x_1)</f>
        <v>0</v>
      </c>
      <c r="Q46" s="3">
        <f>SUM(OSRRefD20_3x)+IFERROR(SUM(OSRRefE20_3x),0)</f>
        <v>18.130000000000003</v>
      </c>
    </row>
    <row r="47" spans="1:17" s="42" customFormat="1" ht="15" hidden="1" customHeight="1" outlineLevel="1" x14ac:dyDescent="0.3">
      <c r="A47" s="34"/>
      <c r="B47" s="11" t="str">
        <f>CONCATENATE("          ","6272"," - ","CASH (OVER/SHORT)")</f>
        <v xml:space="preserve">          6272 - CASH (OVER/SHORT)</v>
      </c>
      <c r="C47" s="15"/>
      <c r="D47" s="3"/>
      <c r="E47" s="3">
        <v>-1.3</v>
      </c>
      <c r="F47" s="3">
        <v>15.79</v>
      </c>
      <c r="G47" s="3">
        <v>-7.31</v>
      </c>
      <c r="H47" s="3">
        <v>2.06</v>
      </c>
      <c r="I47" s="3">
        <v>19.600000000000001</v>
      </c>
      <c r="J47" s="3">
        <v>-19.52</v>
      </c>
      <c r="K47" s="3">
        <v>10.59</v>
      </c>
      <c r="L47" s="3">
        <v>-1.92</v>
      </c>
      <c r="M47" s="3">
        <v>0.14000000000000001</v>
      </c>
      <c r="N47" s="3">
        <v>0</v>
      </c>
      <c r="O47" s="3"/>
      <c r="P47" s="10"/>
      <c r="Q47" s="3">
        <f>SUM(OSRRefD21_3_0x)+IFERROR(SUM(OSRRefE21_3_0x),0)</f>
        <v>18.130000000000003</v>
      </c>
    </row>
    <row r="48" spans="1:17" s="42" customFormat="1" ht="15" customHeight="1" collapsed="1" x14ac:dyDescent="0.3">
      <c r="A48" s="34"/>
      <c r="B48" s="15" t="str">
        <f>CONCATENATE("     ","Bank/card Fees                                    ")</f>
        <v xml:space="preserve">     Bank/card Fees                                    </v>
      </c>
      <c r="C48" s="15"/>
      <c r="D48" s="2">
        <f>SUM(OSRRefD21_4x_0)</f>
        <v>0.34</v>
      </c>
      <c r="E48" s="2">
        <f>SUM(OSRRefD21_4x_1)</f>
        <v>319.22000000000003</v>
      </c>
      <c r="F48" s="2">
        <f>SUM(OSRRefD21_4x_2)</f>
        <v>769.35</v>
      </c>
      <c r="G48" s="2">
        <f>SUM(OSRRefD21_4x_3)</f>
        <v>912.88</v>
      </c>
      <c r="H48" s="2">
        <f>SUM(OSRRefD21_4x_4)</f>
        <v>646.41</v>
      </c>
      <c r="I48" s="2">
        <f>SUM(OSRRefD21_4x_5)</f>
        <v>529.78</v>
      </c>
      <c r="J48" s="2">
        <f>SUM(OSRRefD21_4x_6)</f>
        <v>144.09</v>
      </c>
      <c r="K48" s="2">
        <f>SUM(OSRRefD21_4x_7)</f>
        <v>1790.85</v>
      </c>
      <c r="L48" s="2">
        <f>SUM(OSRRefD21_4x_8)</f>
        <v>2610.98</v>
      </c>
      <c r="M48" s="2">
        <f>SUM(OSRRefD21_4x_9)</f>
        <v>2700.03</v>
      </c>
      <c r="N48" s="2">
        <f>SUM(OSRRefE21_4x_0)</f>
        <v>2291</v>
      </c>
      <c r="O48" s="2">
        <f>SUM(OSRRefE21_4x_1)</f>
        <v>550</v>
      </c>
      <c r="Q48" s="3">
        <f>SUM(OSRRefD20_4x)+IFERROR(SUM(OSRRefE20_4x),0)</f>
        <v>13264.93</v>
      </c>
    </row>
    <row r="49" spans="1:17" s="42" customFormat="1" ht="15" hidden="1" customHeight="1" outlineLevel="1" x14ac:dyDescent="0.3">
      <c r="A49" s="34"/>
      <c r="B49" s="11" t="str">
        <f>CONCATENATE("          ","6381"," - ","BANK/CREDIT CARD FEES")</f>
        <v xml:space="preserve">          6381 - BANK/CREDIT CARD FEES</v>
      </c>
      <c r="C49" s="15"/>
      <c r="D49" s="3">
        <v>0.34</v>
      </c>
      <c r="E49" s="3">
        <v>319.22000000000003</v>
      </c>
      <c r="F49" s="3">
        <v>769.35</v>
      </c>
      <c r="G49" s="3">
        <v>912.88</v>
      </c>
      <c r="H49" s="3">
        <v>646.41</v>
      </c>
      <c r="I49" s="3">
        <v>529.78</v>
      </c>
      <c r="J49" s="3">
        <v>144.09</v>
      </c>
      <c r="K49" s="3">
        <v>1790.85</v>
      </c>
      <c r="L49" s="3">
        <v>2610.98</v>
      </c>
      <c r="M49" s="3">
        <v>2700.03</v>
      </c>
      <c r="N49" s="3">
        <v>2291</v>
      </c>
      <c r="O49" s="3">
        <v>550</v>
      </c>
      <c r="P49" s="10"/>
      <c r="Q49" s="3">
        <f>SUM(OSRRefD21_4_0x)+IFERROR(SUM(OSRRefE21_4_0x),0)</f>
        <v>13264.93</v>
      </c>
    </row>
    <row r="50" spans="1:17" s="42" customFormat="1" ht="15" customHeight="1" collapsed="1" x14ac:dyDescent="0.3">
      <c r="A50" s="34"/>
      <c r="B50" s="15" t="str">
        <f>CONCATENATE("     ","Depreciation                                      ")</f>
        <v xml:space="preserve">     Depreciation                                      </v>
      </c>
      <c r="C50" s="15"/>
      <c r="D50" s="2">
        <f>SUM(OSRRefD21_5x_0)</f>
        <v>5471.21</v>
      </c>
      <c r="E50" s="2">
        <f>SUM(OSRRefD21_5x_1)</f>
        <v>5471.21</v>
      </c>
      <c r="F50" s="2">
        <f>SUM(OSRRefD21_5x_2)</f>
        <v>5471.21</v>
      </c>
      <c r="G50" s="2">
        <f>SUM(OSRRefD21_5x_3)</f>
        <v>5471.21</v>
      </c>
      <c r="H50" s="2">
        <f>SUM(OSRRefD21_5x_4)</f>
        <v>5471.21</v>
      </c>
      <c r="I50" s="2">
        <f>SUM(OSRRefD21_5x_5)</f>
        <v>5471.21</v>
      </c>
      <c r="J50" s="2">
        <f>SUM(OSRRefD21_5x_6)</f>
        <v>5471.21</v>
      </c>
      <c r="K50" s="2">
        <f>SUM(OSRRefD21_5x_7)</f>
        <v>5471.21</v>
      </c>
      <c r="L50" s="2">
        <f>SUM(OSRRefD21_5x_8)</f>
        <v>5471.21</v>
      </c>
      <c r="M50" s="2">
        <f>SUM(OSRRefD21_5x_9)</f>
        <v>5471.21</v>
      </c>
      <c r="N50" s="2">
        <f>SUM(OSRRefE21_5x_0)</f>
        <v>5471</v>
      </c>
      <c r="O50" s="2">
        <f>SUM(OSRRefE21_5x_1)</f>
        <v>5471</v>
      </c>
      <c r="Q50" s="3">
        <f>SUM(OSRRefD20_5x)+IFERROR(SUM(OSRRefE20_5x),0)</f>
        <v>65654.100000000006</v>
      </c>
    </row>
    <row r="51" spans="1:17" s="42" customFormat="1" ht="15" hidden="1" customHeight="1" outlineLevel="1" x14ac:dyDescent="0.3">
      <c r="A51" s="34"/>
      <c r="B51" s="11" t="str">
        <f>CONCATENATE("          ","6321"," - ","BUILDING DEPRECIATION")</f>
        <v xml:space="preserve">          6321 - BUILDING DEPRECIATION</v>
      </c>
      <c r="C51" s="15"/>
      <c r="D51" s="3">
        <v>5080.51</v>
      </c>
      <c r="E51" s="3">
        <v>5080.51</v>
      </c>
      <c r="F51" s="3">
        <v>5080.51</v>
      </c>
      <c r="G51" s="3">
        <v>5080.51</v>
      </c>
      <c r="H51" s="3">
        <v>5080.51</v>
      </c>
      <c r="I51" s="3">
        <v>5080.51</v>
      </c>
      <c r="J51" s="3">
        <v>5080.51</v>
      </c>
      <c r="K51" s="3">
        <v>5080.51</v>
      </c>
      <c r="L51" s="3">
        <v>5080.51</v>
      </c>
      <c r="M51" s="3">
        <v>5080.51</v>
      </c>
      <c r="N51" s="3"/>
      <c r="O51" s="3"/>
      <c r="P51" s="10"/>
      <c r="Q51" s="3">
        <f>SUM(OSRRefD21_5_0x)+IFERROR(SUM(OSRRefE21_5_0x),0)</f>
        <v>50805.100000000013</v>
      </c>
    </row>
    <row r="52" spans="1:17" s="42" customFormat="1" ht="15" hidden="1" customHeight="1" outlineLevel="1" x14ac:dyDescent="0.3">
      <c r="A52" s="34"/>
      <c r="B52" s="11" t="str">
        <f>CONCATENATE("          ","6322"," - ","EQUIPMENT DEPRECIATION EXPENSE")</f>
        <v xml:space="preserve">          6322 - EQUIPMENT DEPRECIATION EXPENSE</v>
      </c>
      <c r="C52" s="15"/>
      <c r="D52" s="3">
        <v>390.7</v>
      </c>
      <c r="E52" s="3">
        <v>390.7</v>
      </c>
      <c r="F52" s="3">
        <v>390.7</v>
      </c>
      <c r="G52" s="3">
        <v>390.7</v>
      </c>
      <c r="H52" s="3">
        <v>390.7</v>
      </c>
      <c r="I52" s="3">
        <v>390.7</v>
      </c>
      <c r="J52" s="3">
        <v>390.7</v>
      </c>
      <c r="K52" s="3">
        <v>390.7</v>
      </c>
      <c r="L52" s="3">
        <v>390.7</v>
      </c>
      <c r="M52" s="3">
        <v>390.7</v>
      </c>
      <c r="N52" s="3">
        <v>5471</v>
      </c>
      <c r="O52" s="3">
        <v>5471</v>
      </c>
      <c r="P52" s="10"/>
      <c r="Q52" s="3">
        <f>SUM(OSRRefD21_5_1x)+IFERROR(SUM(OSRRefE21_5_1x),0)</f>
        <v>14849</v>
      </c>
    </row>
    <row r="53" spans="1:17" s="42" customFormat="1" ht="15" customHeight="1" collapsed="1" x14ac:dyDescent="0.3">
      <c r="A53" s="34"/>
      <c r="B53" s="15" t="str">
        <f>CONCATENATE("     ","Employees' Appreciation                           ")</f>
        <v xml:space="preserve">     Employees' Appreciation                           </v>
      </c>
      <c r="C53" s="15"/>
      <c r="D53" s="2">
        <f>SUM(OSRRefD21_6x_0)</f>
        <v>0</v>
      </c>
      <c r="E53" s="2">
        <f>SUM(OSRRefD21_6x_1)</f>
        <v>0</v>
      </c>
      <c r="F53" s="2">
        <f>SUM(OSRRefD21_6x_2)</f>
        <v>0</v>
      </c>
      <c r="G53" s="2">
        <f>SUM(OSRRefD21_6x_3)</f>
        <v>0</v>
      </c>
      <c r="H53" s="2">
        <f>SUM(OSRRefD21_6x_4)</f>
        <v>0</v>
      </c>
      <c r="I53" s="2">
        <f>SUM(OSRRefD21_6x_5)</f>
        <v>0</v>
      </c>
      <c r="J53" s="2">
        <f>SUM(OSRRefD21_6x_6)</f>
        <v>0</v>
      </c>
      <c r="K53" s="2">
        <f>SUM(OSRRefD21_6x_7)</f>
        <v>0</v>
      </c>
      <c r="L53" s="2">
        <f>SUM(OSRRefD21_6x_8)</f>
        <v>0</v>
      </c>
      <c r="M53" s="2">
        <f>SUM(OSRRefD21_6x_9)</f>
        <v>0</v>
      </c>
      <c r="N53" s="2">
        <f>SUM(OSRRefE21_6x_0)</f>
        <v>50</v>
      </c>
      <c r="O53" s="2">
        <f>SUM(OSRRefE21_6x_1)</f>
        <v>0</v>
      </c>
      <c r="Q53" s="3">
        <f>SUM(OSRRefD20_6x)+IFERROR(SUM(OSRRefE20_6x),0)</f>
        <v>50</v>
      </c>
    </row>
    <row r="54" spans="1:17" s="42" customFormat="1" ht="15" hidden="1" customHeight="1" outlineLevel="1" x14ac:dyDescent="0.3">
      <c r="A54" s="34"/>
      <c r="B54" s="11" t="str">
        <f>CONCATENATE("          ","6277"," - ","EMPLOYEE APPRECIATION")</f>
        <v xml:space="preserve">          6277 - EMPLOYEE APPRECIATION</v>
      </c>
      <c r="C54" s="15"/>
      <c r="D54" s="3"/>
      <c r="E54" s="3"/>
      <c r="F54" s="3"/>
      <c r="G54" s="3"/>
      <c r="H54" s="3"/>
      <c r="I54" s="3"/>
      <c r="J54" s="3"/>
      <c r="K54" s="3"/>
      <c r="L54" s="3"/>
      <c r="M54" s="3"/>
      <c r="N54" s="3">
        <v>50</v>
      </c>
      <c r="O54" s="3"/>
      <c r="P54" s="10"/>
      <c r="Q54" s="3">
        <f>SUM(OSRRefD21_6_0x)+IFERROR(SUM(OSRRefE21_6_0x),0)</f>
        <v>50</v>
      </c>
    </row>
    <row r="55" spans="1:17" s="42" customFormat="1" ht="15" customHeight="1" collapsed="1" x14ac:dyDescent="0.3">
      <c r="A55" s="34"/>
      <c r="B55" s="15" t="str">
        <f>CONCATENATE("     ","Equipment Rental                                  ")</f>
        <v xml:space="preserve">     Equipment Rental                                  </v>
      </c>
      <c r="C55" s="15"/>
      <c r="D55" s="2">
        <f>SUM(OSRRefD21_7x_0)</f>
        <v>0</v>
      </c>
      <c r="E55" s="2">
        <f>SUM(OSRRefD21_7x_1)</f>
        <v>0</v>
      </c>
      <c r="F55" s="2">
        <f>SUM(OSRRefD21_7x_2)</f>
        <v>0</v>
      </c>
      <c r="G55" s="2">
        <f>SUM(OSRRefD21_7x_3)</f>
        <v>0</v>
      </c>
      <c r="H55" s="2">
        <f>SUM(OSRRefD21_7x_4)</f>
        <v>0</v>
      </c>
      <c r="I55" s="2">
        <f>SUM(OSRRefD21_7x_5)</f>
        <v>0</v>
      </c>
      <c r="J55" s="2">
        <f>SUM(OSRRefD21_7x_6)</f>
        <v>0</v>
      </c>
      <c r="K55" s="2">
        <f>SUM(OSRRefD21_7x_7)</f>
        <v>0</v>
      </c>
      <c r="L55" s="2">
        <f>SUM(OSRRefD21_7x_8)</f>
        <v>0</v>
      </c>
      <c r="M55" s="2">
        <f>SUM(OSRRefD21_7x_9)</f>
        <v>0</v>
      </c>
      <c r="N55" s="2">
        <f>SUM(OSRRefE21_7x_0)</f>
        <v>176</v>
      </c>
      <c r="O55" s="2">
        <f>SUM(OSRRefE21_7x_1)</f>
        <v>176</v>
      </c>
      <c r="Q55" s="3">
        <f>SUM(OSRRefD20_7x)+IFERROR(SUM(OSRRefE20_7x),0)</f>
        <v>352</v>
      </c>
    </row>
    <row r="56" spans="1:17" s="42" customFormat="1" ht="15" hidden="1" customHeight="1" outlineLevel="1" x14ac:dyDescent="0.3">
      <c r="A56" s="34"/>
      <c r="B56" s="11" t="str">
        <f>CONCATENATE("          ","6351"," - ","EQUIPMENT RENTAL")</f>
        <v xml:space="preserve">          6351 - EQUIPMENT RENTAL</v>
      </c>
      <c r="C56" s="15"/>
      <c r="D56" s="3"/>
      <c r="E56" s="3"/>
      <c r="F56" s="3"/>
      <c r="G56" s="3"/>
      <c r="H56" s="3"/>
      <c r="I56" s="3"/>
      <c r="J56" s="3"/>
      <c r="K56" s="3"/>
      <c r="L56" s="3"/>
      <c r="M56" s="3"/>
      <c r="N56" s="3">
        <v>176</v>
      </c>
      <c r="O56" s="3">
        <v>176</v>
      </c>
      <c r="P56" s="10"/>
      <c r="Q56" s="3">
        <f>SUM(OSRRefD21_7_0x)+IFERROR(SUM(OSRRefE21_7_0x),0)</f>
        <v>352</v>
      </c>
    </row>
    <row r="57" spans="1:17" s="42" customFormat="1" ht="15" customHeight="1" collapsed="1" x14ac:dyDescent="0.3">
      <c r="A57" s="34"/>
      <c r="B57" s="15" t="str">
        <f>CONCATENATE("     ","General                                           ")</f>
        <v xml:space="preserve">     General                                           </v>
      </c>
      <c r="C57" s="15"/>
      <c r="D57" s="2">
        <f>SUM(OSRRefD21_8x_0)</f>
        <v>0</v>
      </c>
      <c r="E57" s="2">
        <f>SUM(OSRRefD21_8x_1)</f>
        <v>842.45</v>
      </c>
      <c r="F57" s="2">
        <f>SUM(OSRRefD21_8x_2)</f>
        <v>0</v>
      </c>
      <c r="G57" s="2">
        <f>SUM(OSRRefD21_8x_3)</f>
        <v>0</v>
      </c>
      <c r="H57" s="2">
        <f>SUM(OSRRefD21_8x_4)</f>
        <v>0</v>
      </c>
      <c r="I57" s="2">
        <f>SUM(OSRRefD21_8x_5)</f>
        <v>160</v>
      </c>
      <c r="J57" s="2">
        <f>SUM(OSRRefD21_8x_6)</f>
        <v>0</v>
      </c>
      <c r="K57" s="2">
        <f>SUM(OSRRefD21_8x_7)</f>
        <v>0</v>
      </c>
      <c r="L57" s="2">
        <f>SUM(OSRRefD21_8x_8)</f>
        <v>0</v>
      </c>
      <c r="M57" s="2">
        <f>SUM(OSRRefD21_8x_9)</f>
        <v>0</v>
      </c>
      <c r="N57" s="2">
        <f>SUM(OSRRefE21_8x_0)</f>
        <v>0</v>
      </c>
      <c r="O57" s="2">
        <f>SUM(OSRRefE21_8x_1)</f>
        <v>0</v>
      </c>
      <c r="Q57" s="3">
        <f>SUM(OSRRefD20_8x)+IFERROR(SUM(OSRRefE20_8x),0)</f>
        <v>1002.45</v>
      </c>
    </row>
    <row r="58" spans="1:17" s="42" customFormat="1" ht="15" hidden="1" customHeight="1" outlineLevel="1" x14ac:dyDescent="0.3">
      <c r="A58" s="34"/>
      <c r="B58" s="11" t="str">
        <f>CONCATENATE("          ","6279"," - ","GENERAL EXPENSE")</f>
        <v xml:space="preserve">          6279 - GENERAL EXPENSE</v>
      </c>
      <c r="C58" s="15"/>
      <c r="D58" s="3"/>
      <c r="E58" s="3">
        <v>842.45</v>
      </c>
      <c r="F58" s="3"/>
      <c r="G58" s="3"/>
      <c r="H58" s="3"/>
      <c r="I58" s="3">
        <v>160</v>
      </c>
      <c r="J58" s="3"/>
      <c r="K58" s="3"/>
      <c r="L58" s="3"/>
      <c r="M58" s="3"/>
      <c r="N58" s="3"/>
      <c r="O58" s="3"/>
      <c r="P58" s="10"/>
      <c r="Q58" s="3">
        <f>SUM(OSRRefD21_8_0x)+IFERROR(SUM(OSRRefE21_8_0x),0)</f>
        <v>1002.45</v>
      </c>
    </row>
    <row r="59" spans="1:17" s="42" customFormat="1" ht="15" customHeight="1" collapsed="1" x14ac:dyDescent="0.3">
      <c r="A59" s="34"/>
      <c r="B59" s="15" t="str">
        <f>CONCATENATE("     ","Insurance                                         ")</f>
        <v xml:space="preserve">     Insurance                                         </v>
      </c>
      <c r="C59" s="15"/>
      <c r="D59" s="2">
        <f>SUM(OSRRefD21_9x_0)</f>
        <v>331.01</v>
      </c>
      <c r="E59" s="2">
        <f>SUM(OSRRefD21_9x_1)</f>
        <v>331.01</v>
      </c>
      <c r="F59" s="2">
        <f>SUM(OSRRefD21_9x_2)</f>
        <v>331.01</v>
      </c>
      <c r="G59" s="2">
        <f>SUM(OSRRefD21_9x_3)</f>
        <v>331.01</v>
      </c>
      <c r="H59" s="2">
        <f>SUM(OSRRefD21_9x_4)</f>
        <v>331.01</v>
      </c>
      <c r="I59" s="2">
        <f>SUM(OSRRefD21_9x_5)</f>
        <v>331.01</v>
      </c>
      <c r="J59" s="2">
        <f>SUM(OSRRefD21_9x_6)</f>
        <v>331.01</v>
      </c>
      <c r="K59" s="2">
        <f>SUM(OSRRefD21_9x_7)</f>
        <v>331.01</v>
      </c>
      <c r="L59" s="2">
        <f>SUM(OSRRefD21_9x_8)</f>
        <v>331.01</v>
      </c>
      <c r="M59" s="2">
        <f>SUM(OSRRefD21_9x_9)</f>
        <v>331.01</v>
      </c>
      <c r="N59" s="2">
        <f>SUM(OSRRefE21_9x_0)</f>
        <v>330</v>
      </c>
      <c r="O59" s="2">
        <f>SUM(OSRRefE21_9x_1)</f>
        <v>330</v>
      </c>
      <c r="Q59" s="3">
        <f>SUM(OSRRefD20_9x)+IFERROR(SUM(OSRRefE20_9x),0)</f>
        <v>3970.1000000000004</v>
      </c>
    </row>
    <row r="60" spans="1:17" s="42" customFormat="1" ht="15" hidden="1" customHeight="1" outlineLevel="1" x14ac:dyDescent="0.3">
      <c r="A60" s="34"/>
      <c r="B60" s="11" t="str">
        <f>CONCATENATE("          ","6314"," - ","LIABILITY INSURANCE")</f>
        <v xml:space="preserve">          6314 - LIABILITY INSURANCE</v>
      </c>
      <c r="C60" s="15"/>
      <c r="D60" s="3">
        <v>331.01</v>
      </c>
      <c r="E60" s="3">
        <v>331.01</v>
      </c>
      <c r="F60" s="3">
        <v>331.01</v>
      </c>
      <c r="G60" s="3">
        <v>331.01</v>
      </c>
      <c r="H60" s="3">
        <v>331.01</v>
      </c>
      <c r="I60" s="3">
        <v>331.01</v>
      </c>
      <c r="J60" s="3">
        <v>331.01</v>
      </c>
      <c r="K60" s="3">
        <v>331.01</v>
      </c>
      <c r="L60" s="3">
        <v>331.01</v>
      </c>
      <c r="M60" s="3">
        <v>331.01</v>
      </c>
      <c r="N60" s="3">
        <v>330</v>
      </c>
      <c r="O60" s="3">
        <v>330</v>
      </c>
      <c r="P60" s="10"/>
      <c r="Q60" s="3">
        <f>SUM(OSRRefD21_9_0x)+IFERROR(SUM(OSRRefE21_9_0x),0)</f>
        <v>3970.1000000000004</v>
      </c>
    </row>
    <row r="61" spans="1:17" s="42" customFormat="1" ht="15" customHeight="1" collapsed="1" x14ac:dyDescent="0.3">
      <c r="A61" s="34"/>
      <c r="B61" s="15" t="str">
        <f>CONCATENATE("     ","Interest                                          ")</f>
        <v xml:space="preserve">     Interest                                          </v>
      </c>
      <c r="C61" s="15"/>
      <c r="D61" s="2">
        <f>SUM(OSRRefD21_10x_0)</f>
        <v>3905</v>
      </c>
      <c r="E61" s="2">
        <f>SUM(OSRRefD21_10x_1)</f>
        <v>3905</v>
      </c>
      <c r="F61" s="2">
        <f>SUM(OSRRefD21_10x_2)</f>
        <v>3905</v>
      </c>
      <c r="G61" s="2">
        <f>SUM(OSRRefD21_10x_3)</f>
        <v>3629</v>
      </c>
      <c r="H61" s="2">
        <f>SUM(OSRRefD21_10x_4)</f>
        <v>3905</v>
      </c>
      <c r="I61" s="2">
        <f>SUM(OSRRefD21_10x_5)</f>
        <v>3905</v>
      </c>
      <c r="J61" s="2">
        <f>SUM(OSRRefD21_10x_6)</f>
        <v>3905</v>
      </c>
      <c r="K61" s="2">
        <f>SUM(OSRRefD21_10x_7)</f>
        <v>3905</v>
      </c>
      <c r="L61" s="2">
        <f>SUM(OSRRefD21_10x_8)</f>
        <v>3905</v>
      </c>
      <c r="M61" s="2">
        <f>SUM(OSRRefD21_10x_9)</f>
        <v>3031</v>
      </c>
      <c r="N61" s="2">
        <f>SUM(OSRRefE21_10x_0)</f>
        <v>3760</v>
      </c>
      <c r="O61" s="2">
        <f>SUM(OSRRefE21_10x_1)</f>
        <v>3760</v>
      </c>
      <c r="Q61" s="3">
        <f>SUM(OSRRefD20_10x)+IFERROR(SUM(OSRRefE20_10x),0)</f>
        <v>45420</v>
      </c>
    </row>
    <row r="62" spans="1:17" s="42" customFormat="1" ht="15" hidden="1" customHeight="1" outlineLevel="1" x14ac:dyDescent="0.3">
      <c r="A62" s="34"/>
      <c r="B62" s="11" t="str">
        <f>CONCATENATE("          ","6401"," - ","INTEREST EXPENSE")</f>
        <v xml:space="preserve">          6401 - INTEREST EXPENSE</v>
      </c>
      <c r="C62" s="15"/>
      <c r="D62" s="3">
        <v>3905</v>
      </c>
      <c r="E62" s="3">
        <v>3905</v>
      </c>
      <c r="F62" s="3">
        <v>3905</v>
      </c>
      <c r="G62" s="3">
        <v>3629</v>
      </c>
      <c r="H62" s="3">
        <v>3905</v>
      </c>
      <c r="I62" s="3">
        <v>3905</v>
      </c>
      <c r="J62" s="3">
        <v>3905</v>
      </c>
      <c r="K62" s="3">
        <v>3905</v>
      </c>
      <c r="L62" s="3">
        <v>3905</v>
      </c>
      <c r="M62" s="3">
        <v>3031</v>
      </c>
      <c r="N62" s="3">
        <v>3760</v>
      </c>
      <c r="O62" s="3">
        <v>3760</v>
      </c>
      <c r="P62" s="10"/>
      <c r="Q62" s="3">
        <f>SUM(OSRRefD21_10_0x)+IFERROR(SUM(OSRRefE21_10_0x),0)</f>
        <v>45420</v>
      </c>
    </row>
    <row r="63" spans="1:17" s="42" customFormat="1" ht="15" customHeight="1" collapsed="1" x14ac:dyDescent="0.3">
      <c r="A63" s="34"/>
      <c r="B63" s="15" t="str">
        <f>CONCATENATE("     ","Repair and Maintenance                            ")</f>
        <v xml:space="preserve">     Repair and Maintenance                            </v>
      </c>
      <c r="C63" s="15"/>
      <c r="D63" s="2">
        <f>SUM(OSRRefD21_11x_0)</f>
        <v>0</v>
      </c>
      <c r="E63" s="2">
        <f>SUM(OSRRefD21_11x_1)</f>
        <v>1922.99</v>
      </c>
      <c r="F63" s="2">
        <f>SUM(OSRRefD21_11x_2)</f>
        <v>107.78</v>
      </c>
      <c r="G63" s="2">
        <f>SUM(OSRRefD21_11x_3)</f>
        <v>238.26</v>
      </c>
      <c r="H63" s="2">
        <f>SUM(OSRRefD21_11x_4)</f>
        <v>0</v>
      </c>
      <c r="I63" s="2">
        <f>SUM(OSRRefD21_11x_5)</f>
        <v>513.55999999999995</v>
      </c>
      <c r="J63" s="2">
        <f>SUM(OSRRefD21_11x_6)</f>
        <v>0</v>
      </c>
      <c r="K63" s="2">
        <f>SUM(OSRRefD21_11x_7)</f>
        <v>0</v>
      </c>
      <c r="L63" s="2">
        <f>SUM(OSRRefD21_11x_8)</f>
        <v>112.34</v>
      </c>
      <c r="M63" s="2">
        <f>SUM(OSRRefD21_11x_9)</f>
        <v>0</v>
      </c>
      <c r="N63" s="2">
        <f>SUM(OSRRefE21_11x_0)</f>
        <v>100</v>
      </c>
      <c r="O63" s="2">
        <f>SUM(OSRRefE21_11x_1)</f>
        <v>100</v>
      </c>
      <c r="Q63" s="3">
        <f>SUM(OSRRefD20_11x)+IFERROR(SUM(OSRRefE20_11x),0)</f>
        <v>3094.93</v>
      </c>
    </row>
    <row r="64" spans="1:17" s="42" customFormat="1" ht="15" hidden="1" customHeight="1" outlineLevel="1" x14ac:dyDescent="0.3">
      <c r="A64" s="34"/>
      <c r="B64" s="11" t="str">
        <f>CONCATENATE("          ","6373"," - ","MAINTENANCE CONTRACTS")</f>
        <v xml:space="preserve">          6373 - MAINTENANCE CONTRACTS</v>
      </c>
      <c r="C64" s="15"/>
      <c r="D64" s="3"/>
      <c r="E64" s="3"/>
      <c r="F64" s="3">
        <v>107.78</v>
      </c>
      <c r="G64" s="3"/>
      <c r="H64" s="3"/>
      <c r="I64" s="3">
        <v>513.55999999999995</v>
      </c>
      <c r="J64" s="3"/>
      <c r="K64" s="3"/>
      <c r="L64" s="3">
        <v>112.34</v>
      </c>
      <c r="M64" s="3"/>
      <c r="N64" s="3"/>
      <c r="O64" s="3"/>
      <c r="P64" s="10"/>
      <c r="Q64" s="3">
        <f>SUM(OSRRefD21_11_0x)+IFERROR(SUM(OSRRefE21_11_0x),0)</f>
        <v>733.68</v>
      </c>
    </row>
    <row r="65" spans="1:17" s="42" customFormat="1" ht="15" hidden="1" customHeight="1" outlineLevel="1" x14ac:dyDescent="0.3">
      <c r="A65" s="34"/>
      <c r="B65" s="11" t="str">
        <f>CONCATENATE("          ","6375"," - ","OUTSIDE REPAIRS &amp; MAINTENANCE")</f>
        <v xml:space="preserve">          6375 - OUTSIDE REPAIRS &amp; MAINTENANCE</v>
      </c>
      <c r="C65" s="15"/>
      <c r="D65" s="3"/>
      <c r="E65" s="3">
        <v>1922.99</v>
      </c>
      <c r="F65" s="3"/>
      <c r="G65" s="3">
        <v>238.26</v>
      </c>
      <c r="H65" s="3"/>
      <c r="I65" s="3"/>
      <c r="J65" s="3"/>
      <c r="K65" s="3"/>
      <c r="L65" s="3"/>
      <c r="M65" s="3"/>
      <c r="N65" s="3">
        <v>100</v>
      </c>
      <c r="O65" s="3">
        <v>100</v>
      </c>
      <c r="P65" s="10"/>
      <c r="Q65" s="3">
        <f>SUM(OSRRefD21_11_1x)+IFERROR(SUM(OSRRefE21_11_1x),0)</f>
        <v>2361.25</v>
      </c>
    </row>
    <row r="66" spans="1:17" s="42" customFormat="1" ht="15" customHeight="1" collapsed="1" x14ac:dyDescent="0.3">
      <c r="A66" s="34"/>
      <c r="B66" s="15" t="str">
        <f>CONCATENATE("     ","Services                                          ")</f>
        <v xml:space="preserve">     Services                                          </v>
      </c>
      <c r="C66" s="15"/>
      <c r="D66" s="2">
        <f>SUM(OSRRefD21_12x_0)</f>
        <v>0</v>
      </c>
      <c r="E66" s="2">
        <f>SUM(OSRRefD21_12x_1)</f>
        <v>7397.9199999999992</v>
      </c>
      <c r="F66" s="2">
        <f>SUM(OSRRefD21_12x_2)</f>
        <v>272.27999999999997</v>
      </c>
      <c r="G66" s="2">
        <f>SUM(OSRRefD21_12x_3)</f>
        <v>440.68</v>
      </c>
      <c r="H66" s="2">
        <f>SUM(OSRRefD21_12x_4)</f>
        <v>272.27999999999997</v>
      </c>
      <c r="I66" s="2">
        <f>SUM(OSRRefD21_12x_5)</f>
        <v>282.56</v>
      </c>
      <c r="J66" s="2">
        <f>SUM(OSRRefD21_12x_6)</f>
        <v>114.16</v>
      </c>
      <c r="K66" s="2">
        <f>SUM(OSRRefD21_12x_7)</f>
        <v>225.48000000000002</v>
      </c>
      <c r="L66" s="2">
        <f>SUM(OSRRefD21_12x_8)</f>
        <v>363.69000000000005</v>
      </c>
      <c r="M66" s="2">
        <f>SUM(OSRRefD21_12x_9)</f>
        <v>474.17</v>
      </c>
      <c r="N66" s="2">
        <f>SUM(OSRRefE21_12x_0)</f>
        <v>192</v>
      </c>
      <c r="O66" s="2">
        <f>SUM(OSRRefE21_12x_1)</f>
        <v>192</v>
      </c>
      <c r="Q66" s="3">
        <f>SUM(OSRRefD20_12x)+IFERROR(SUM(OSRRefE20_12x),0)</f>
        <v>10227.219999999999</v>
      </c>
    </row>
    <row r="67" spans="1:17" s="42" customFormat="1" ht="15" hidden="1" customHeight="1" outlineLevel="1" x14ac:dyDescent="0.3">
      <c r="A67" s="34"/>
      <c r="B67" s="11" t="str">
        <f>CONCATENATE("          ","6282"," - ","JANITORIAL/EXTERMINATOR EXPENS")</f>
        <v xml:space="preserve">          6282 - JANITORIAL/EXTERMINATOR EXPENS</v>
      </c>
      <c r="C67" s="15"/>
      <c r="D67" s="3"/>
      <c r="E67" s="3">
        <v>168.4</v>
      </c>
      <c r="F67" s="3">
        <v>168.4</v>
      </c>
      <c r="G67" s="3">
        <v>336.8</v>
      </c>
      <c r="H67" s="3">
        <v>168.4</v>
      </c>
      <c r="I67" s="3">
        <v>168.4</v>
      </c>
      <c r="J67" s="3"/>
      <c r="K67" s="3">
        <v>168.4</v>
      </c>
      <c r="L67" s="3">
        <v>168.4</v>
      </c>
      <c r="M67" s="3">
        <v>370.5</v>
      </c>
      <c r="N67" s="3">
        <v>158</v>
      </c>
      <c r="O67" s="3">
        <v>158</v>
      </c>
      <c r="P67" s="10"/>
      <c r="Q67" s="3">
        <f>SUM(OSRRefD21_12_0x)+IFERROR(SUM(OSRRefE21_12_0x),0)</f>
        <v>2033.7</v>
      </c>
    </row>
    <row r="68" spans="1:17" s="42" customFormat="1" ht="15" hidden="1" customHeight="1" outlineLevel="1" x14ac:dyDescent="0.3">
      <c r="A68" s="34"/>
      <c r="B68" s="11" t="str">
        <f>CONCATENATE("          ","6285"," - ","JANITORIAL SERVICES")</f>
        <v xml:space="preserve">          6285 - JANITORIAL SERVICES</v>
      </c>
      <c r="C68" s="15"/>
      <c r="D68" s="3"/>
      <c r="E68" s="3">
        <v>7177.58</v>
      </c>
      <c r="F68" s="3">
        <v>51.94</v>
      </c>
      <c r="G68" s="3"/>
      <c r="H68" s="3"/>
      <c r="I68" s="3"/>
      <c r="J68" s="3"/>
      <c r="K68" s="3"/>
      <c r="L68" s="3">
        <v>57.08</v>
      </c>
      <c r="M68" s="3"/>
      <c r="N68" s="3"/>
      <c r="O68" s="3"/>
      <c r="P68" s="10"/>
      <c r="Q68" s="3">
        <f>SUM(OSRRefD21_12_1x)+IFERROR(SUM(OSRRefE21_12_1x),0)</f>
        <v>7286.5999999999995</v>
      </c>
    </row>
    <row r="69" spans="1:17" s="42" customFormat="1" ht="15" hidden="1" customHeight="1" outlineLevel="1" x14ac:dyDescent="0.3">
      <c r="A69" s="34"/>
      <c r="B69" s="11" t="str">
        <f>CONCATENATE("          ","6286"," - ","LAUNDRY EXPENSE")</f>
        <v xml:space="preserve">          6286 - LAUNDRY EXPENSE</v>
      </c>
      <c r="C69" s="15"/>
      <c r="D69" s="3"/>
      <c r="E69" s="3">
        <v>51.94</v>
      </c>
      <c r="F69" s="3">
        <v>51.94</v>
      </c>
      <c r="G69" s="3">
        <v>103.88</v>
      </c>
      <c r="H69" s="3">
        <v>103.88</v>
      </c>
      <c r="I69" s="3">
        <v>114.16</v>
      </c>
      <c r="J69" s="3">
        <v>114.16</v>
      </c>
      <c r="K69" s="3">
        <v>57.08</v>
      </c>
      <c r="L69" s="3">
        <v>138.21</v>
      </c>
      <c r="M69" s="3">
        <v>103.67</v>
      </c>
      <c r="N69" s="3">
        <v>34</v>
      </c>
      <c r="O69" s="3">
        <v>34</v>
      </c>
      <c r="P69" s="10"/>
      <c r="Q69" s="3">
        <f>SUM(OSRRefD21_12_2x)+IFERROR(SUM(OSRRefE21_12_2x),0)</f>
        <v>906.92</v>
      </c>
    </row>
    <row r="70" spans="1:17" s="42" customFormat="1" ht="15" customHeight="1" collapsed="1" x14ac:dyDescent="0.3">
      <c r="A70" s="34"/>
      <c r="B70" s="15" t="str">
        <f>CONCATENATE("     ","Supplies                                          ")</f>
        <v xml:space="preserve">     Supplies                                          </v>
      </c>
      <c r="C70" s="15"/>
      <c r="D70" s="2">
        <f>SUM(OSRRefD21_13x_0)</f>
        <v>107.74</v>
      </c>
      <c r="E70" s="2">
        <f>SUM(OSRRefD21_13x_1)</f>
        <v>692.12</v>
      </c>
      <c r="F70" s="2">
        <f>SUM(OSRRefD21_13x_2)</f>
        <v>177.2</v>
      </c>
      <c r="G70" s="2">
        <f>SUM(OSRRefD21_13x_3)</f>
        <v>248.87</v>
      </c>
      <c r="H70" s="2">
        <f>SUM(OSRRefD21_13x_4)</f>
        <v>121.04</v>
      </c>
      <c r="I70" s="2">
        <f>SUM(OSRRefD21_13x_5)</f>
        <v>175.19</v>
      </c>
      <c r="J70" s="2">
        <f>SUM(OSRRefD21_13x_6)</f>
        <v>262.48</v>
      </c>
      <c r="K70" s="2">
        <f>SUM(OSRRefD21_13x_7)</f>
        <v>292.68</v>
      </c>
      <c r="L70" s="2">
        <f>SUM(OSRRefD21_13x_8)</f>
        <v>2207.75</v>
      </c>
      <c r="M70" s="2">
        <f>SUM(OSRRefD21_13x_9)</f>
        <v>-283.20999999999998</v>
      </c>
      <c r="N70" s="2">
        <f>SUM(OSRRefE21_13x_0)</f>
        <v>600</v>
      </c>
      <c r="O70" s="2">
        <f>SUM(OSRRefE21_13x_1)</f>
        <v>500</v>
      </c>
      <c r="Q70" s="3">
        <f>SUM(OSRRefD20_13x)+IFERROR(SUM(OSRRefE20_13x),0)</f>
        <v>5101.8599999999997</v>
      </c>
    </row>
    <row r="71" spans="1:17" s="42" customFormat="1" ht="15" hidden="1" customHeight="1" outlineLevel="1" x14ac:dyDescent="0.3">
      <c r="A71" s="34"/>
      <c r="B71" s="11" t="str">
        <f>CONCATENATE("          ","6234"," - ","EXPENDABLE SUPPLIES &amp; EQUIPMEN")</f>
        <v xml:space="preserve">          6234 - EXPENDABLE SUPPLIES &amp; EQUIPMEN</v>
      </c>
      <c r="C71" s="15"/>
      <c r="D71" s="3"/>
      <c r="E71" s="3"/>
      <c r="F71" s="3"/>
      <c r="G71" s="3"/>
      <c r="H71" s="3"/>
      <c r="I71" s="3"/>
      <c r="J71" s="3"/>
      <c r="K71" s="3"/>
      <c r="L71" s="3"/>
      <c r="M71" s="3"/>
      <c r="N71" s="3">
        <v>50</v>
      </c>
      <c r="O71" s="3">
        <v>50</v>
      </c>
      <c r="P71" s="10"/>
      <c r="Q71" s="3">
        <f>SUM(OSRRefD21_13_0x)+IFERROR(SUM(OSRRefE21_13_0x),0)</f>
        <v>100</v>
      </c>
    </row>
    <row r="72" spans="1:17" s="42" customFormat="1" ht="15" hidden="1" customHeight="1" outlineLevel="1" x14ac:dyDescent="0.3">
      <c r="A72" s="34"/>
      <c r="B72" s="11" t="str">
        <f>CONCATENATE("          ","6235"," - ","COVID-19 EXPENSES")</f>
        <v xml:space="preserve">          6235 - COVID-19 EXPENSES</v>
      </c>
      <c r="C72" s="15"/>
      <c r="D72" s="3"/>
      <c r="E72" s="3"/>
      <c r="F72" s="3"/>
      <c r="G72" s="3"/>
      <c r="H72" s="3"/>
      <c r="I72" s="3"/>
      <c r="J72" s="3"/>
      <c r="K72" s="3"/>
      <c r="L72" s="3">
        <v>71.45</v>
      </c>
      <c r="M72" s="3"/>
      <c r="N72" s="3"/>
      <c r="O72" s="3"/>
      <c r="P72" s="10"/>
      <c r="Q72" s="3">
        <f>SUM(OSRRefD21_13_1x)+IFERROR(SUM(OSRRefE21_13_1x),0)</f>
        <v>71.45</v>
      </c>
    </row>
    <row r="73" spans="1:17" s="42" customFormat="1" ht="15" hidden="1" customHeight="1" outlineLevel="1" x14ac:dyDescent="0.3">
      <c r="A73" s="34"/>
      <c r="B73" s="11" t="str">
        <f>CONCATENATE("          ","6237"," - ","JANITORIAL SUPPLIES")</f>
        <v xml:space="preserve">          6237 - JANITORIAL SUPPLIES</v>
      </c>
      <c r="C73" s="15"/>
      <c r="D73" s="3"/>
      <c r="E73" s="3">
        <v>369.62</v>
      </c>
      <c r="F73" s="3">
        <v>119.22</v>
      </c>
      <c r="G73" s="3"/>
      <c r="H73" s="3"/>
      <c r="I73" s="3">
        <v>76.540000000000006</v>
      </c>
      <c r="J73" s="3">
        <v>51.51</v>
      </c>
      <c r="K73" s="3">
        <v>31.68</v>
      </c>
      <c r="L73" s="3">
        <v>291.77999999999997</v>
      </c>
      <c r="M73" s="3">
        <v>50.12</v>
      </c>
      <c r="N73" s="3">
        <v>0</v>
      </c>
      <c r="O73" s="3">
        <v>0</v>
      </c>
      <c r="P73" s="10"/>
      <c r="Q73" s="3">
        <f>SUM(OSRRefD21_13_2x)+IFERROR(SUM(OSRRefE21_13_2x),0)</f>
        <v>990.46999999999991</v>
      </c>
    </row>
    <row r="74" spans="1:17" s="42" customFormat="1" ht="15" hidden="1" customHeight="1" outlineLevel="1" x14ac:dyDescent="0.3">
      <c r="A74" s="34"/>
      <c r="B74" s="11" t="str">
        <f>CONCATENATE("          ","6241"," - ","OFFICE EXPENSE")</f>
        <v xml:space="preserve">          6241 - OFFICE EXPENSE</v>
      </c>
      <c r="C74" s="15"/>
      <c r="D74" s="3">
        <v>107.74</v>
      </c>
      <c r="E74" s="3">
        <v>22.5</v>
      </c>
      <c r="F74" s="3"/>
      <c r="G74" s="3">
        <v>42.74</v>
      </c>
      <c r="H74" s="3"/>
      <c r="I74" s="3">
        <v>32.31</v>
      </c>
      <c r="J74" s="3">
        <v>136.59</v>
      </c>
      <c r="K74" s="3">
        <v>86.1</v>
      </c>
      <c r="L74" s="3"/>
      <c r="M74" s="3"/>
      <c r="N74" s="3"/>
      <c r="O74" s="3"/>
      <c r="P74" s="10"/>
      <c r="Q74" s="3">
        <f>SUM(OSRRefD21_13_3x)+IFERROR(SUM(OSRRefE21_13_3x),0)</f>
        <v>427.98</v>
      </c>
    </row>
    <row r="75" spans="1:17" s="42" customFormat="1" ht="15" hidden="1" customHeight="1" outlineLevel="1" x14ac:dyDescent="0.3">
      <c r="A75" s="34"/>
      <c r="B75" s="11" t="str">
        <f>CONCATENATE("          ","6243"," - ","PAPER SUPPLIES")</f>
        <v xml:space="preserve">          6243 - PAPER SUPPLIES</v>
      </c>
      <c r="C75" s="15"/>
      <c r="D75" s="3"/>
      <c r="E75" s="3"/>
      <c r="F75" s="3"/>
      <c r="G75" s="3"/>
      <c r="H75" s="3"/>
      <c r="I75" s="3"/>
      <c r="J75" s="3">
        <v>44.38</v>
      </c>
      <c r="K75" s="3"/>
      <c r="L75" s="3"/>
      <c r="M75" s="3"/>
      <c r="N75" s="3">
        <v>200</v>
      </c>
      <c r="O75" s="3">
        <v>200</v>
      </c>
      <c r="P75" s="10"/>
      <c r="Q75" s="3">
        <f>SUM(OSRRefD21_13_4x)+IFERROR(SUM(OSRRefE21_13_4x),0)</f>
        <v>444.38</v>
      </c>
    </row>
    <row r="76" spans="1:17" s="42" customFormat="1" ht="15" hidden="1" customHeight="1" outlineLevel="1" x14ac:dyDescent="0.3">
      <c r="A76" s="34"/>
      <c r="B76" s="11" t="str">
        <f>CONCATENATE("          ","6247"," - ","STORE SUPPLIES")</f>
        <v xml:space="preserve">          6247 - STORE SUPPLIES</v>
      </c>
      <c r="C76" s="15"/>
      <c r="D76" s="3"/>
      <c r="E76" s="3">
        <v>300</v>
      </c>
      <c r="F76" s="3">
        <v>57.98</v>
      </c>
      <c r="G76" s="3">
        <v>206.13</v>
      </c>
      <c r="H76" s="3">
        <v>121.04</v>
      </c>
      <c r="I76" s="3">
        <v>66.34</v>
      </c>
      <c r="J76" s="3">
        <v>30</v>
      </c>
      <c r="K76" s="3">
        <v>174.9</v>
      </c>
      <c r="L76" s="3">
        <v>1844.52</v>
      </c>
      <c r="M76" s="3">
        <v>-333.33</v>
      </c>
      <c r="N76" s="3">
        <v>350</v>
      </c>
      <c r="O76" s="3">
        <v>250</v>
      </c>
      <c r="P76" s="10"/>
      <c r="Q76" s="3">
        <f>SUM(OSRRefD21_13_5x)+IFERROR(SUM(OSRRefE21_13_5x),0)</f>
        <v>3067.58</v>
      </c>
    </row>
    <row r="77" spans="1:17" s="42" customFormat="1" ht="15" customHeight="1" collapsed="1" x14ac:dyDescent="0.3">
      <c r="A77" s="34"/>
      <c r="B77" s="15" t="str">
        <f>CONCATENATE("     ","Telephone/Data Lines                              ")</f>
        <v xml:space="preserve">     Telephone/Data Lines                              </v>
      </c>
      <c r="C77" s="15"/>
      <c r="D77" s="2">
        <f>SUM(OSRRefD21_14x_0)</f>
        <v>107</v>
      </c>
      <c r="E77" s="2">
        <f>SUM(OSRRefD21_14x_1)</f>
        <v>22</v>
      </c>
      <c r="F77" s="2">
        <f>SUM(OSRRefD21_14x_2)</f>
        <v>294</v>
      </c>
      <c r="G77" s="2">
        <f>SUM(OSRRefD21_14x_3)</f>
        <v>-228</v>
      </c>
      <c r="H77" s="2">
        <f>SUM(OSRRefD21_14x_4)</f>
        <v>22</v>
      </c>
      <c r="I77" s="2">
        <f>SUM(OSRRefD21_14x_5)</f>
        <v>22</v>
      </c>
      <c r="J77" s="2">
        <f>SUM(OSRRefD21_14x_6)</f>
        <v>75</v>
      </c>
      <c r="K77" s="2">
        <f>SUM(OSRRefD21_14x_7)</f>
        <v>97</v>
      </c>
      <c r="L77" s="2">
        <f>SUM(OSRRefD21_14x_8)</f>
        <v>97</v>
      </c>
      <c r="M77" s="2">
        <f>SUM(OSRRefD21_14x_9)</f>
        <v>172</v>
      </c>
      <c r="N77" s="2">
        <f>SUM(OSRRefE21_14x_0)</f>
        <v>125</v>
      </c>
      <c r="O77" s="2">
        <f>SUM(OSRRefE21_14x_1)</f>
        <v>125</v>
      </c>
      <c r="Q77" s="3">
        <f>SUM(OSRRefD20_14x)+IFERROR(SUM(OSRRefE20_14x),0)</f>
        <v>930</v>
      </c>
    </row>
    <row r="78" spans="1:17" s="42" customFormat="1" ht="15" hidden="1" customHeight="1" outlineLevel="1" x14ac:dyDescent="0.3">
      <c r="A78" s="34"/>
      <c r="B78" s="11" t="str">
        <f>CONCATENATE("          ","6303"," - ","DATA PHONE LINES")</f>
        <v xml:space="preserve">          6303 - DATA PHONE LINES</v>
      </c>
      <c r="C78" s="15"/>
      <c r="D78" s="3"/>
      <c r="E78" s="3"/>
      <c r="F78" s="3"/>
      <c r="G78" s="3"/>
      <c r="H78" s="3"/>
      <c r="I78" s="3"/>
      <c r="J78" s="3"/>
      <c r="K78" s="3"/>
      <c r="L78" s="3"/>
      <c r="M78" s="3"/>
      <c r="N78" s="3">
        <v>50</v>
      </c>
      <c r="O78" s="3">
        <v>50</v>
      </c>
      <c r="P78" s="10"/>
      <c r="Q78" s="3">
        <f>SUM(OSRRefD21_14_0x)+IFERROR(SUM(OSRRefE21_14_0x),0)</f>
        <v>100</v>
      </c>
    </row>
    <row r="79" spans="1:17" s="42" customFormat="1" ht="15" hidden="1" customHeight="1" outlineLevel="1" x14ac:dyDescent="0.3">
      <c r="A79" s="34"/>
      <c r="B79" s="11" t="str">
        <f>CONCATENATE("          ","6309"," - ","TELEPHONE")</f>
        <v xml:space="preserve">          6309 - TELEPHONE</v>
      </c>
      <c r="C79" s="15"/>
      <c r="D79" s="3">
        <v>107</v>
      </c>
      <c r="E79" s="3">
        <v>22</v>
      </c>
      <c r="F79" s="3">
        <v>294</v>
      </c>
      <c r="G79" s="3">
        <v>-228</v>
      </c>
      <c r="H79" s="3">
        <v>22</v>
      </c>
      <c r="I79" s="3">
        <v>22</v>
      </c>
      <c r="J79" s="3">
        <v>75</v>
      </c>
      <c r="K79" s="3">
        <v>97</v>
      </c>
      <c r="L79" s="3">
        <v>97</v>
      </c>
      <c r="M79" s="3">
        <v>172</v>
      </c>
      <c r="N79" s="3">
        <v>75</v>
      </c>
      <c r="O79" s="3">
        <v>75</v>
      </c>
      <c r="P79" s="10"/>
      <c r="Q79" s="3">
        <f>SUM(OSRRefD21_14_1x)+IFERROR(SUM(OSRRefE21_14_1x),0)</f>
        <v>830</v>
      </c>
    </row>
    <row r="80" spans="1:17" s="42" customFormat="1" ht="15" customHeight="1" collapsed="1" x14ac:dyDescent="0.3">
      <c r="A80" s="34"/>
      <c r="B80" s="15" t="str">
        <f>CONCATENATE("     ","Training                                          ")</f>
        <v xml:space="preserve">     Training                                          </v>
      </c>
      <c r="C80" s="15"/>
      <c r="D80" s="2">
        <f>SUM(OSRRefD21_15x_0)</f>
        <v>0</v>
      </c>
      <c r="E80" s="2">
        <f>SUM(OSRRefD21_15x_1)</f>
        <v>0</v>
      </c>
      <c r="F80" s="2">
        <f>SUM(OSRRefD21_15x_2)</f>
        <v>0</v>
      </c>
      <c r="G80" s="2">
        <f>SUM(OSRRefD21_15x_3)</f>
        <v>0</v>
      </c>
      <c r="H80" s="2">
        <f>SUM(OSRRefD21_15x_4)</f>
        <v>0</v>
      </c>
      <c r="I80" s="2">
        <f>SUM(OSRRefD21_15x_5)</f>
        <v>0</v>
      </c>
      <c r="J80" s="2">
        <f>SUM(OSRRefD21_15x_6)</f>
        <v>0</v>
      </c>
      <c r="K80" s="2">
        <f>SUM(OSRRefD21_15x_7)</f>
        <v>120</v>
      </c>
      <c r="L80" s="2">
        <f>SUM(OSRRefD21_15x_8)</f>
        <v>0</v>
      </c>
      <c r="M80" s="2">
        <f>SUM(OSRRefD21_15x_9)</f>
        <v>0</v>
      </c>
      <c r="N80" s="2">
        <f>SUM(OSRRefE21_15x_0)</f>
        <v>0</v>
      </c>
      <c r="O80" s="2">
        <f>SUM(OSRRefE21_15x_1)</f>
        <v>0</v>
      </c>
      <c r="Q80" s="3">
        <f>SUM(OSRRefD20_15x)+IFERROR(SUM(OSRRefE20_15x),0)</f>
        <v>120</v>
      </c>
    </row>
    <row r="81" spans="1:17" s="42" customFormat="1" ht="15" hidden="1" customHeight="1" outlineLevel="1" x14ac:dyDescent="0.3">
      <c r="A81" s="34"/>
      <c r="B81" s="11" t="str">
        <f>CONCATENATE("          ","6376"," - ","TRAINING")</f>
        <v xml:space="preserve">          6376 - TRAINING</v>
      </c>
      <c r="C81" s="15"/>
      <c r="D81" s="3"/>
      <c r="E81" s="3"/>
      <c r="F81" s="3"/>
      <c r="G81" s="3"/>
      <c r="H81" s="3"/>
      <c r="I81" s="3"/>
      <c r="J81" s="3"/>
      <c r="K81" s="3">
        <v>120</v>
      </c>
      <c r="L81" s="3"/>
      <c r="M81" s="3"/>
      <c r="N81" s="3"/>
      <c r="O81" s="3"/>
      <c r="P81" s="10"/>
      <c r="Q81" s="3">
        <f>SUM(OSRRefD21_15_0x)+IFERROR(SUM(OSRRefE21_15_0x),0)</f>
        <v>120</v>
      </c>
    </row>
    <row r="82" spans="1:17" s="42" customFormat="1" ht="15" customHeight="1" collapsed="1" x14ac:dyDescent="0.3">
      <c r="A82" s="34"/>
      <c r="B82" s="15" t="str">
        <f>CONCATENATE("     ","Utilities                                         ")</f>
        <v xml:space="preserve">     Utilities                                         </v>
      </c>
      <c r="C82" s="15"/>
      <c r="D82" s="2">
        <f>SUM(OSRRefD21_16x_0)</f>
        <v>100</v>
      </c>
      <c r="E82" s="2">
        <f>SUM(OSRRefD21_16x_1)</f>
        <v>100</v>
      </c>
      <c r="F82" s="2">
        <f>SUM(OSRRefD21_16x_2)</f>
        <v>100</v>
      </c>
      <c r="G82" s="2">
        <f>SUM(OSRRefD21_16x_3)</f>
        <v>100</v>
      </c>
      <c r="H82" s="2">
        <f>SUM(OSRRefD21_16x_4)</f>
        <v>100</v>
      </c>
      <c r="I82" s="2">
        <f>SUM(OSRRefD21_16x_5)</f>
        <v>100</v>
      </c>
      <c r="J82" s="2">
        <f>SUM(OSRRefD21_16x_6)</f>
        <v>100</v>
      </c>
      <c r="K82" s="2">
        <f>SUM(OSRRefD21_16x_7)</f>
        <v>100</v>
      </c>
      <c r="L82" s="2">
        <f>SUM(OSRRefD21_16x_8)</f>
        <v>100</v>
      </c>
      <c r="M82" s="2">
        <f>SUM(OSRRefD21_16x_9)</f>
        <v>100</v>
      </c>
      <c r="N82" s="2">
        <f>SUM(OSRRefE21_16x_0)</f>
        <v>0</v>
      </c>
      <c r="O82" s="2">
        <f>SUM(OSRRefE21_16x_1)</f>
        <v>0</v>
      </c>
      <c r="Q82" s="3">
        <f>SUM(OSRRefD20_16x)+IFERROR(SUM(OSRRefE20_16x),0)</f>
        <v>1000</v>
      </c>
    </row>
    <row r="83" spans="1:17" s="42" customFormat="1" ht="15" hidden="1" customHeight="1" outlineLevel="1" x14ac:dyDescent="0.3">
      <c r="A83" s="34"/>
      <c r="B83" s="11" t="str">
        <f>CONCATENATE("          ","6274"," - ","UTILITIES")</f>
        <v xml:space="preserve">          6274 - UTILITIES</v>
      </c>
      <c r="C83" s="15"/>
      <c r="D83" s="3">
        <v>100</v>
      </c>
      <c r="E83" s="3">
        <v>100</v>
      </c>
      <c r="F83" s="3">
        <v>100</v>
      </c>
      <c r="G83" s="3">
        <v>100</v>
      </c>
      <c r="H83" s="3">
        <v>100</v>
      </c>
      <c r="I83" s="3">
        <v>100</v>
      </c>
      <c r="J83" s="3">
        <v>100</v>
      </c>
      <c r="K83" s="3">
        <v>100</v>
      </c>
      <c r="L83" s="3">
        <v>100</v>
      </c>
      <c r="M83" s="3">
        <v>100</v>
      </c>
      <c r="N83" s="3">
        <v>0</v>
      </c>
      <c r="O83" s="3">
        <v>0</v>
      </c>
      <c r="P83" s="10"/>
      <c r="Q83" s="3">
        <f>SUM(OSRRefD21_16_0x)+IFERROR(SUM(OSRRefE21_16_0x),0)</f>
        <v>1000</v>
      </c>
    </row>
    <row r="84" spans="1:17" s="40" customFormat="1" ht="15" customHeight="1" x14ac:dyDescent="0.3">
      <c r="A84" s="22"/>
      <c r="B84" s="22"/>
      <c r="C84" s="2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Q84" s="2"/>
    </row>
    <row r="85" spans="1:17" s="39" customFormat="1" ht="15" customHeight="1" x14ac:dyDescent="0.3">
      <c r="A85" s="24"/>
      <c r="B85" s="17" t="s">
        <v>287</v>
      </c>
      <c r="C85" s="23"/>
      <c r="D85" s="4">
        <f>0</f>
        <v>0</v>
      </c>
      <c r="E85" s="4">
        <f>0</f>
        <v>0</v>
      </c>
      <c r="F85" s="4">
        <f>0</f>
        <v>0</v>
      </c>
      <c r="G85" s="4">
        <f>0</f>
        <v>0</v>
      </c>
      <c r="H85" s="4">
        <f>0</f>
        <v>0</v>
      </c>
      <c r="I85" s="4">
        <f>0</f>
        <v>0</v>
      </c>
      <c r="J85" s="4">
        <f>0</f>
        <v>0</v>
      </c>
      <c r="K85" s="4">
        <f>0</f>
        <v>0</v>
      </c>
      <c r="L85" s="4">
        <f>0</f>
        <v>0</v>
      </c>
      <c r="M85" s="4">
        <f>0</f>
        <v>0</v>
      </c>
      <c r="N85" s="4"/>
      <c r="O85" s="4"/>
      <c r="Q85" s="3">
        <f>SUM(OSRRefD23_0x)+IFERROR(SUM(OSRRefE23_0x),0)</f>
        <v>0</v>
      </c>
    </row>
    <row r="86" spans="1:17" ht="15" customHeight="1" x14ac:dyDescent="0.3">
      <c r="A86" s="6"/>
      <c r="B86" s="7"/>
      <c r="C86" s="7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Q86" s="4"/>
    </row>
    <row r="87" spans="1:17" s="37" customFormat="1" ht="15" customHeight="1" x14ac:dyDescent="0.3">
      <c r="A87" s="7"/>
      <c r="B87" s="18" t="s">
        <v>288</v>
      </c>
      <c r="C87" s="18"/>
      <c r="D87" s="9">
        <f t="shared" ref="D87:O87" si="2">IFERROR(+D19-D22+D85,0)</f>
        <v>-10022.300000000001</v>
      </c>
      <c r="E87" s="9">
        <f t="shared" si="2"/>
        <v>-21493.17</v>
      </c>
      <c r="F87" s="9">
        <f t="shared" si="2"/>
        <v>-7923.8600000000024</v>
      </c>
      <c r="G87" s="9">
        <f t="shared" si="2"/>
        <v>-5021.3200000000033</v>
      </c>
      <c r="H87" s="9">
        <f t="shared" si="2"/>
        <v>-6181.3100000000013</v>
      </c>
      <c r="I87" s="9">
        <f t="shared" si="2"/>
        <v>-11058.66</v>
      </c>
      <c r="J87" s="9">
        <f t="shared" si="2"/>
        <v>-19822.129999999997</v>
      </c>
      <c r="K87" s="9">
        <f t="shared" si="2"/>
        <v>-8528.8299999999908</v>
      </c>
      <c r="L87" s="9">
        <f t="shared" si="2"/>
        <v>16341.720000000001</v>
      </c>
      <c r="M87" s="9">
        <f t="shared" si="2"/>
        <v>-16791.579999999991</v>
      </c>
      <c r="N87" s="9">
        <f t="shared" si="2"/>
        <v>-12849.611335057692</v>
      </c>
      <c r="O87" s="9">
        <f t="shared" si="2"/>
        <v>-18947.092781807689</v>
      </c>
      <c r="Q87" s="9">
        <f>IFERROR(+Q19-Q22+Q85,0)</f>
        <v>-122298.14411686535</v>
      </c>
    </row>
    <row r="88" spans="1:17" s="38" customFormat="1" ht="15" customHeight="1" x14ac:dyDescent="0.3">
      <c r="B88" s="17"/>
      <c r="C88" s="17"/>
      <c r="D88" s="5">
        <f t="shared" ref="D88:O88" si="3">IFERROR(D87/D10,0)</f>
        <v>0</v>
      </c>
      <c r="E88" s="5">
        <f t="shared" si="3"/>
        <v>-3.2890375972295969</v>
      </c>
      <c r="F88" s="5">
        <f t="shared" si="3"/>
        <v>-0.49203808208562277</v>
      </c>
      <c r="G88" s="5">
        <f t="shared" si="3"/>
        <v>-0.19749133941016758</v>
      </c>
      <c r="H88" s="5">
        <f t="shared" si="3"/>
        <v>-0.40568188679542483</v>
      </c>
      <c r="I88" s="5">
        <f t="shared" si="3"/>
        <v>-0.89129048871365391</v>
      </c>
      <c r="J88" s="5">
        <f t="shared" si="3"/>
        <v>-4.1010228697454822</v>
      </c>
      <c r="K88" s="5">
        <f t="shared" si="3"/>
        <v>-0.18514394800149503</v>
      </c>
      <c r="L88" s="5">
        <f t="shared" si="3"/>
        <v>0.25121570839908353</v>
      </c>
      <c r="M88" s="5">
        <f t="shared" si="3"/>
        <v>-0.46906278676412022</v>
      </c>
      <c r="N88" s="5">
        <f t="shared" si="3"/>
        <v>-0.44613607857293563</v>
      </c>
      <c r="O88" s="5">
        <f t="shared" si="3"/>
        <v>-2.0503292697551876</v>
      </c>
      <c r="P88" s="19"/>
      <c r="Q88" s="5">
        <f>IFERROR(Q87/Q10,0)</f>
        <v>-0.46063351937057506</v>
      </c>
    </row>
    <row r="89" spans="1:17" ht="15" customHeight="1" x14ac:dyDescent="0.3">
      <c r="A89" s="6"/>
      <c r="B89" s="7"/>
      <c r="C89" s="6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Q89" s="4"/>
    </row>
    <row r="90" spans="1:17" s="37" customFormat="1" ht="15" customHeight="1" x14ac:dyDescent="0.3">
      <c r="A90" s="26"/>
      <c r="B90" s="7" t="s">
        <v>289</v>
      </c>
      <c r="C90" s="7"/>
      <c r="D90" s="4"/>
      <c r="E90" s="4">
        <v>976.51</v>
      </c>
      <c r="F90" s="4">
        <v>1825.64</v>
      </c>
      <c r="G90" s="4">
        <v>2753.71</v>
      </c>
      <c r="H90" s="4">
        <v>1984.07</v>
      </c>
      <c r="I90" s="4">
        <v>1573.2</v>
      </c>
      <c r="J90" s="4">
        <v>1548.04</v>
      </c>
      <c r="K90" s="4">
        <v>5142.41</v>
      </c>
      <c r="L90" s="4">
        <v>7070.42</v>
      </c>
      <c r="M90" s="4">
        <v>2893.2</v>
      </c>
      <c r="N90" s="4">
        <v>3875</v>
      </c>
      <c r="O90" s="4">
        <v>-2654</v>
      </c>
      <c r="Q90" s="3">
        <f>SUM(OSRRefD28_0x)+IFERROR(SUM(OSRRefE28_0x),0)</f>
        <v>26988.2</v>
      </c>
    </row>
    <row r="91" spans="1:17" ht="15" customHeight="1" x14ac:dyDescent="0.3">
      <c r="A91" s="6"/>
      <c r="B91" s="7"/>
      <c r="C91" s="7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Q91" s="4"/>
    </row>
    <row r="92" spans="1:17" s="37" customFormat="1" ht="15.75" customHeight="1" x14ac:dyDescent="0.3">
      <c r="A92" s="7"/>
      <c r="B92" s="18" t="s">
        <v>290</v>
      </c>
      <c r="C92" s="18"/>
      <c r="D92" s="8">
        <f t="shared" ref="D92:O92" si="4">IFERROR(+D87-D90,0)</f>
        <v>-10022.300000000001</v>
      </c>
      <c r="E92" s="8">
        <f t="shared" si="4"/>
        <v>-22469.679999999997</v>
      </c>
      <c r="F92" s="8">
        <f t="shared" si="4"/>
        <v>-9749.5000000000018</v>
      </c>
      <c r="G92" s="8">
        <f t="shared" si="4"/>
        <v>-7775.0300000000034</v>
      </c>
      <c r="H92" s="8">
        <f t="shared" si="4"/>
        <v>-8165.380000000001</v>
      </c>
      <c r="I92" s="8">
        <f t="shared" si="4"/>
        <v>-12631.86</v>
      </c>
      <c r="J92" s="8">
        <f t="shared" si="4"/>
        <v>-21370.17</v>
      </c>
      <c r="K92" s="8">
        <f t="shared" si="4"/>
        <v>-13671.239999999991</v>
      </c>
      <c r="L92" s="8">
        <f t="shared" si="4"/>
        <v>9271.3000000000011</v>
      </c>
      <c r="M92" s="8">
        <f t="shared" si="4"/>
        <v>-19684.779999999992</v>
      </c>
      <c r="N92" s="8">
        <f t="shared" si="4"/>
        <v>-16724.611335057692</v>
      </c>
      <c r="O92" s="8">
        <f t="shared" si="4"/>
        <v>-16293.092781807689</v>
      </c>
      <c r="Q92" s="8">
        <f>IFERROR(+Q87-Q90,0)</f>
        <v>-149286.34411686537</v>
      </c>
    </row>
    <row r="93" spans="1:17" ht="15.75" customHeight="1" x14ac:dyDescent="0.3">
      <c r="A93" s="6"/>
      <c r="B93" s="6"/>
      <c r="C93" s="6"/>
      <c r="D93" s="5">
        <f t="shared" ref="D93:O93" si="5">IFERROR(D92/D10,0)</f>
        <v>0</v>
      </c>
      <c r="E93" s="5">
        <f t="shared" si="5"/>
        <v>-3.4384700962081407</v>
      </c>
      <c r="F93" s="5">
        <f t="shared" si="5"/>
        <v>-0.60540257920934726</v>
      </c>
      <c r="G93" s="5">
        <f t="shared" si="5"/>
        <v>-0.30579630229784893</v>
      </c>
      <c r="H93" s="5">
        <f t="shared" si="5"/>
        <v>-0.53589720703242938</v>
      </c>
      <c r="I93" s="5">
        <f t="shared" si="5"/>
        <v>-1.0180850729439603</v>
      </c>
      <c r="J93" s="5">
        <f t="shared" si="5"/>
        <v>-4.4212986142432129</v>
      </c>
      <c r="K93" s="5">
        <f t="shared" si="5"/>
        <v>-0.29677544841155939</v>
      </c>
      <c r="L93" s="5">
        <f t="shared" si="5"/>
        <v>0.14252454437356796</v>
      </c>
      <c r="M93" s="5">
        <f t="shared" si="5"/>
        <v>-0.54988260566537628</v>
      </c>
      <c r="N93" s="5">
        <f t="shared" si="5"/>
        <v>-0.58067534667931719</v>
      </c>
      <c r="O93" s="5">
        <f t="shared" si="5"/>
        <v>-1.7631309145988192</v>
      </c>
      <c r="P93" s="19"/>
      <c r="Q93" s="5">
        <f>IFERROR(Q92/Q10,0)</f>
        <v>-0.56228403612410438</v>
      </c>
    </row>
    <row r="94" spans="1:17" ht="15" customHeight="1" x14ac:dyDescent="0.3">
      <c r="A94" s="6"/>
      <c r="B94" s="6"/>
      <c r="C94" s="6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Q94" s="4"/>
    </row>
    <row r="95" spans="1:17" ht="15" customHeight="1" x14ac:dyDescent="0.3">
      <c r="A95" s="6"/>
      <c r="B95" s="6"/>
      <c r="C95" s="6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Q95" s="4"/>
    </row>
    <row r="96" spans="1:17" s="37" customFormat="1" ht="15.75" customHeight="1" x14ac:dyDescent="0.3">
      <c r="A96" s="7"/>
      <c r="B96" s="18" t="s">
        <v>293</v>
      </c>
      <c r="C96" s="18"/>
      <c r="D96" s="8">
        <f t="shared" ref="D96:O96" si="6">IFERROR(SUM(D92:D95),0)</f>
        <v>-10022.300000000001</v>
      </c>
      <c r="E96" s="8">
        <f t="shared" si="6"/>
        <v>-22473.118470096204</v>
      </c>
      <c r="F96" s="8">
        <f t="shared" si="6"/>
        <v>-9750.1054025792109</v>
      </c>
      <c r="G96" s="8">
        <f t="shared" si="6"/>
        <v>-7775.3357963023009</v>
      </c>
      <c r="H96" s="8">
        <f t="shared" si="6"/>
        <v>-8165.9158972070336</v>
      </c>
      <c r="I96" s="8">
        <f t="shared" si="6"/>
        <v>-12632.878085072945</v>
      </c>
      <c r="J96" s="8">
        <f t="shared" si="6"/>
        <v>-21374.591298614243</v>
      </c>
      <c r="K96" s="8">
        <f t="shared" si="6"/>
        <v>-13671.536775448401</v>
      </c>
      <c r="L96" s="8">
        <f t="shared" si="6"/>
        <v>9271.4425245443745</v>
      </c>
      <c r="M96" s="8">
        <f t="shared" si="6"/>
        <v>-19685.329882605656</v>
      </c>
      <c r="N96" s="8">
        <f t="shared" si="6"/>
        <v>-16725.192010404371</v>
      </c>
      <c r="O96" s="8">
        <f t="shared" si="6"/>
        <v>-16294.855912722287</v>
      </c>
      <c r="Q96" s="8">
        <f>IFERROR(SUM(Q92:Q95),0)</f>
        <v>-149286.9064009015</v>
      </c>
    </row>
    <row r="97" spans="1:17" ht="15.75" customHeight="1" x14ac:dyDescent="0.3">
      <c r="A97" s="6"/>
      <c r="C97" s="6"/>
      <c r="D97" s="5">
        <f t="shared" ref="D97:O97" si="7">IFERROR(D96/D10,0)</f>
        <v>0</v>
      </c>
      <c r="E97" s="5">
        <f t="shared" si="7"/>
        <v>-3.4389962753349694</v>
      </c>
      <c r="F97" s="5">
        <f t="shared" si="7"/>
        <v>-0.60544017214056556</v>
      </c>
      <c r="G97" s="5">
        <f t="shared" si="7"/>
        <v>-0.30580832943838715</v>
      </c>
      <c r="H97" s="5">
        <f t="shared" si="7"/>
        <v>-0.53593237818386452</v>
      </c>
      <c r="I97" s="5">
        <f t="shared" si="7"/>
        <v>-1.0181671271478347</v>
      </c>
      <c r="J97" s="5">
        <f t="shared" si="7"/>
        <v>-4.4222133417084741</v>
      </c>
      <c r="K97" s="5">
        <f t="shared" si="7"/>
        <v>-0.29678189081669454</v>
      </c>
      <c r="L97" s="5">
        <f t="shared" si="7"/>
        <v>0.14252673535495664</v>
      </c>
      <c r="M97" s="5">
        <f t="shared" si="7"/>
        <v>-0.54989796630847276</v>
      </c>
      <c r="N97" s="5">
        <f t="shared" si="7"/>
        <v>-0.5806955076176783</v>
      </c>
      <c r="O97" s="5">
        <f t="shared" si="7"/>
        <v>-1.7633217089841238</v>
      </c>
      <c r="P97" s="19"/>
      <c r="Q97" s="5">
        <f>IFERROR(Q96/Q10,0)</f>
        <v>-0.56228615395570614</v>
      </c>
    </row>
    <row r="98" spans="1:17" ht="15" customHeight="1" x14ac:dyDescent="0.3">
      <c r="A98" s="6"/>
      <c r="B98" s="33">
        <v>44694.892891863426</v>
      </c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Q98" s="14"/>
    </row>
    <row r="99" spans="1:17" ht="15" customHeight="1" x14ac:dyDescent="0.3">
      <c r="A99" s="6"/>
      <c r="B99" s="31" t="s">
        <v>294</v>
      </c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Q99" s="14"/>
    </row>
    <row r="100" spans="1:17" ht="15" customHeight="1" x14ac:dyDescent="0.3">
      <c r="A100" s="6"/>
      <c r="B100" s="27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Q100" s="14"/>
    </row>
    <row r="101" spans="1:17" ht="15" customHeight="1" x14ac:dyDescent="0.3"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Q10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F2E05-0354-2604-0B13-4897B25EA5D9}">
  <sheetPr>
    <tabColor rgb="FFFFC0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278</v>
      </c>
    </row>
    <row r="5" spans="1:8" ht="15" customHeight="1" x14ac:dyDescent="0.3">
      <c r="A5" s="16"/>
      <c r="B5" s="16" t="s">
        <v>298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281</v>
      </c>
    </row>
    <row r="8" spans="1:8" ht="15" customHeight="1" x14ac:dyDescent="0.3">
      <c r="A8" s="7"/>
      <c r="B8" s="28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5"/>
      <c r="E18" s="5"/>
      <c r="F18" s="19"/>
      <c r="G18" s="5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s="38" customFormat="1" ht="15.75" customHeight="1" x14ac:dyDescent="0.3">
      <c r="B31" s="17"/>
      <c r="C31" s="17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1DFDB-3E58-B58C-20AD-2230094D574F}">
  <sheetPr>
    <tabColor rgb="FF92D050"/>
    <outlinePr summaryBelow="0" summaryRight="0"/>
    <pageSetUpPr fitToPage="1"/>
  </sheetPr>
  <dimension ref="A2:R45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","327"," - ","C-Store Vending Machine(s)")</f>
        <v>Department 327 - C-Store Vending Machine(s)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0</v>
      </c>
      <c r="E10" s="4">
        <f>SUM(OSRRefD11x_1)</f>
        <v>130.35</v>
      </c>
      <c r="F10" s="4">
        <f>SUM(OSRRefD11x_2)</f>
        <v>8.7400000000000091</v>
      </c>
      <c r="G10" s="4">
        <f>SUM(OSRRefD11x_3)</f>
        <v>404.53</v>
      </c>
      <c r="H10" s="4">
        <f>SUM(OSRRefD11x_4)</f>
        <v>84.35</v>
      </c>
      <c r="I10" s="4">
        <f>SUM(OSRRefD11x_5)</f>
        <v>70.75</v>
      </c>
      <c r="J10" s="4">
        <f>SUM(OSRRefD11x_6)</f>
        <v>0</v>
      </c>
      <c r="K10" s="4">
        <f>SUM(OSRRefD11x_7)</f>
        <v>0</v>
      </c>
      <c r="L10" s="4">
        <f>SUM(OSRRefD11x_8)</f>
        <v>412.69</v>
      </c>
      <c r="M10" s="4">
        <f>SUM(OSRRefD11x_9)</f>
        <v>439.9</v>
      </c>
      <c r="N10" s="4">
        <f>SUM(OSRRefE11x_0)</f>
        <v>200</v>
      </c>
      <c r="O10" s="4">
        <f>SUM(OSRRefE11x_1)</f>
        <v>50</v>
      </c>
      <c r="P10" s="25"/>
      <c r="Q10" s="4">
        <f>SUM(OSRRefG11x)</f>
        <v>1801.31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0</f>
        <v>0</v>
      </c>
      <c r="E11" s="3">
        <f>0</f>
        <v>0</v>
      </c>
      <c r="F11" s="3">
        <f>0</f>
        <v>0</v>
      </c>
      <c r="G11" s="3">
        <f>0</f>
        <v>0</v>
      </c>
      <c r="H11" s="3">
        <f>0</f>
        <v>0</v>
      </c>
      <c r="I11" s="3">
        <f>0</f>
        <v>0</v>
      </c>
      <c r="J11" s="3">
        <f>0</f>
        <v>0</v>
      </c>
      <c r="K11" s="3">
        <f>0</f>
        <v>0</v>
      </c>
      <c r="L11" s="3">
        <f>0</f>
        <v>0</v>
      </c>
      <c r="M11" s="3">
        <f>0</f>
        <v>0</v>
      </c>
      <c r="N11" s="3">
        <v>200</v>
      </c>
      <c r="O11" s="3">
        <v>50</v>
      </c>
      <c r="Q11" s="3">
        <f>SUM(OSRRefD11_0x)+IFERROR(SUM(OSRRefE11_0x),0)</f>
        <v>250</v>
      </c>
    </row>
    <row r="12" spans="1:18" s="39" customFormat="1" ht="15" hidden="1" customHeight="1" outlineLevel="1" x14ac:dyDescent="0.3">
      <c r="A12" s="24"/>
      <c r="B12" s="11" t="str">
        <f>CONCATENATE("          ","4053"," - ","TAXABLE SALES-FOOD")</f>
        <v xml:space="preserve">          4053 - TAXABLE SALES-FOOD</v>
      </c>
      <c r="C12" s="23"/>
      <c r="D12" s="3">
        <f>0</f>
        <v>0</v>
      </c>
      <c r="E12" s="3">
        <f>0</f>
        <v>0</v>
      </c>
      <c r="F12" s="3">
        <f>--139.09</f>
        <v>139.09</v>
      </c>
      <c r="G12" s="3">
        <f>--404.53</f>
        <v>404.53</v>
      </c>
      <c r="H12" s="3">
        <f>--84.35</f>
        <v>84.35</v>
      </c>
      <c r="I12" s="3">
        <f>--70.75</f>
        <v>70.75</v>
      </c>
      <c r="J12" s="3">
        <f>0</f>
        <v>0</v>
      </c>
      <c r="K12" s="3">
        <f>0</f>
        <v>0</v>
      </c>
      <c r="L12" s="3">
        <f>--412.69</f>
        <v>412.69</v>
      </c>
      <c r="M12" s="3">
        <f>--439.9</f>
        <v>439.9</v>
      </c>
      <c r="N12" s="3"/>
      <c r="O12" s="3"/>
      <c r="Q12" s="3">
        <f>SUM(OSRRefD11_1x)+IFERROR(SUM(OSRRefE11_1x),0)</f>
        <v>1551.31</v>
      </c>
    </row>
    <row r="13" spans="1:18" s="39" customFormat="1" ht="15" hidden="1" customHeight="1" outlineLevel="1" x14ac:dyDescent="0.3">
      <c r="A13" s="24"/>
      <c r="B13" s="11" t="str">
        <f>CONCATENATE("          ","4153"," - ","NON-TAXABLE SALES-FOOD")</f>
        <v xml:space="preserve">          4153 - NON-TAXABLE SALES-FOOD</v>
      </c>
      <c r="C13" s="23"/>
      <c r="D13" s="3">
        <f>0</f>
        <v>0</v>
      </c>
      <c r="E13" s="3">
        <f>--130.35</f>
        <v>130.35</v>
      </c>
      <c r="F13" s="3">
        <f>-130.35</f>
        <v>-130.35</v>
      </c>
      <c r="G13" s="3">
        <f>0</f>
        <v>0</v>
      </c>
      <c r="H13" s="3">
        <f>0</f>
        <v>0</v>
      </c>
      <c r="I13" s="3">
        <f>0</f>
        <v>0</v>
      </c>
      <c r="J13" s="3">
        <f>0</f>
        <v>0</v>
      </c>
      <c r="K13" s="3">
        <f>0</f>
        <v>0</v>
      </c>
      <c r="L13" s="3">
        <f>0</f>
        <v>0</v>
      </c>
      <c r="M13" s="3">
        <f>0</f>
        <v>0</v>
      </c>
      <c r="N13" s="3"/>
      <c r="O13" s="3"/>
      <c r="Q13" s="3">
        <f>SUM(OSRRefD11_2x)+IFERROR(SUM(OSRRefE11_2x),0)</f>
        <v>0</v>
      </c>
    </row>
    <row r="14" spans="1:18" ht="15" customHeight="1" x14ac:dyDescent="0.3">
      <c r="A14" s="6"/>
      <c r="B14" s="7"/>
      <c r="C14" s="6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Q14" s="4"/>
    </row>
    <row r="15" spans="1:18" s="39" customFormat="1" ht="15" customHeight="1" collapsed="1" x14ac:dyDescent="0.3">
      <c r="A15" s="24"/>
      <c r="B15" s="17" t="s">
        <v>284</v>
      </c>
      <c r="C15" s="23"/>
      <c r="D15" s="4">
        <f>SUM(OSRRefD14x_0)</f>
        <v>0</v>
      </c>
      <c r="E15" s="4">
        <f>SUM(OSRRefD14x_1)</f>
        <v>45</v>
      </c>
      <c r="F15" s="4">
        <f>SUM(OSRRefD14x_2)</f>
        <v>81.2</v>
      </c>
      <c r="G15" s="4">
        <f>SUM(OSRRefD14x_3)</f>
        <v>-311</v>
      </c>
      <c r="H15" s="4">
        <f>SUM(OSRRefD14x_4)</f>
        <v>165</v>
      </c>
      <c r="I15" s="4">
        <f>SUM(OSRRefD14x_5)</f>
        <v>11</v>
      </c>
      <c r="J15" s="4">
        <f>SUM(OSRRefD14x_6)</f>
        <v>0</v>
      </c>
      <c r="K15" s="4">
        <f>SUM(OSRRefD14x_7)</f>
        <v>0</v>
      </c>
      <c r="L15" s="4">
        <f>SUM(OSRRefD14x_8)</f>
        <v>-52</v>
      </c>
      <c r="M15" s="4">
        <f>SUM(OSRRefD14x_9)</f>
        <v>93</v>
      </c>
      <c r="N15" s="4">
        <f>SUM(OSRRefE14x_0)</f>
        <v>100</v>
      </c>
      <c r="O15" s="4">
        <f>SUM(OSRRefE14x_1)</f>
        <v>25</v>
      </c>
      <c r="Q15" s="4">
        <f>SUM(OSRRefG14x)</f>
        <v>157.19999999999999</v>
      </c>
    </row>
    <row r="16" spans="1:18" s="39" customFormat="1" ht="15" hidden="1" customHeight="1" outlineLevel="1" x14ac:dyDescent="0.3">
      <c r="A16" s="24"/>
      <c r="B16" s="11" t="str">
        <f>CONCATENATE("          ","5000"," - ","PURCHASES @ COST")</f>
        <v xml:space="preserve">          5000 - PURCHASES @ COST</v>
      </c>
      <c r="C16" s="23"/>
      <c r="D16" s="3"/>
      <c r="E16" s="3"/>
      <c r="F16" s="3"/>
      <c r="G16" s="3"/>
      <c r="H16" s="3"/>
      <c r="I16" s="3"/>
      <c r="J16" s="3"/>
      <c r="K16" s="3"/>
      <c r="L16" s="3"/>
      <c r="M16" s="3"/>
      <c r="N16" s="3">
        <v>100</v>
      </c>
      <c r="O16" s="3">
        <v>25</v>
      </c>
      <c r="Q16" s="3">
        <f>SUM(OSRRefD14_0x)+IFERROR(SUM(OSRRefE14_0x),0)</f>
        <v>125</v>
      </c>
    </row>
    <row r="17" spans="1:17" s="39" customFormat="1" ht="15" hidden="1" customHeight="1" outlineLevel="1" x14ac:dyDescent="0.3">
      <c r="A17" s="24"/>
      <c r="B17" s="11" t="str">
        <f>CONCATENATE("          ","5053"," - ","PURCHASES @ COST-FOOD")</f>
        <v xml:space="preserve">          5053 - PURCHASES @ COST-FOOD</v>
      </c>
      <c r="C17" s="23"/>
      <c r="D17" s="3"/>
      <c r="E17" s="3">
        <v>45</v>
      </c>
      <c r="F17" s="3"/>
      <c r="G17" s="3"/>
      <c r="H17" s="3"/>
      <c r="I17" s="3"/>
      <c r="J17" s="3"/>
      <c r="K17" s="3"/>
      <c r="L17" s="3"/>
      <c r="M17" s="3"/>
      <c r="N17" s="3"/>
      <c r="O17" s="3"/>
      <c r="Q17" s="3">
        <f>SUM(OSRRefD14_1x)+IFERROR(SUM(OSRRefE14_1x),0)</f>
        <v>45</v>
      </c>
    </row>
    <row r="18" spans="1:17" s="39" customFormat="1" ht="15" hidden="1" customHeight="1" outlineLevel="1" x14ac:dyDescent="0.3">
      <c r="A18" s="24"/>
      <c r="B18" s="11" t="str">
        <f>CONCATENATE("          ","5059"," - ","PURCHASES @ COST-FOOD")</f>
        <v xml:space="preserve">          5059 - PURCHASES @ COST-FOOD</v>
      </c>
      <c r="C18" s="23"/>
      <c r="D18" s="3"/>
      <c r="E18" s="3"/>
      <c r="F18" s="3">
        <v>81.2</v>
      </c>
      <c r="G18" s="3">
        <v>-311</v>
      </c>
      <c r="H18" s="3">
        <v>165</v>
      </c>
      <c r="I18" s="3">
        <v>11</v>
      </c>
      <c r="J18" s="3"/>
      <c r="K18" s="3"/>
      <c r="L18" s="3">
        <v>-52</v>
      </c>
      <c r="M18" s="3">
        <v>93</v>
      </c>
      <c r="N18" s="3"/>
      <c r="O18" s="3"/>
      <c r="Q18" s="3">
        <f>SUM(OSRRefD14_2x)+IFERROR(SUM(OSRRefE14_2x),0)</f>
        <v>-12.800000000000011</v>
      </c>
    </row>
    <row r="19" spans="1:17" ht="15" customHeight="1" x14ac:dyDescent="0.3">
      <c r="A19" s="6"/>
      <c r="B19" s="7"/>
      <c r="C19" s="7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Q19" s="4"/>
    </row>
    <row r="20" spans="1:17" s="37" customFormat="1" ht="15" customHeight="1" x14ac:dyDescent="0.3">
      <c r="A20" s="7"/>
      <c r="B20" s="18" t="s">
        <v>285</v>
      </c>
      <c r="C20" s="18"/>
      <c r="D20" s="9">
        <f t="shared" ref="D20:O20" si="0">IFERROR(+D10-D15,0)</f>
        <v>0</v>
      </c>
      <c r="E20" s="9">
        <f t="shared" si="0"/>
        <v>85.35</v>
      </c>
      <c r="F20" s="9">
        <f t="shared" si="0"/>
        <v>-72.459999999999994</v>
      </c>
      <c r="G20" s="9">
        <f t="shared" si="0"/>
        <v>715.53</v>
      </c>
      <c r="H20" s="9">
        <f t="shared" si="0"/>
        <v>-80.650000000000006</v>
      </c>
      <c r="I20" s="9">
        <f t="shared" si="0"/>
        <v>59.75</v>
      </c>
      <c r="J20" s="9">
        <f t="shared" si="0"/>
        <v>0</v>
      </c>
      <c r="K20" s="9">
        <f t="shared" si="0"/>
        <v>0</v>
      </c>
      <c r="L20" s="9">
        <f t="shared" si="0"/>
        <v>464.69</v>
      </c>
      <c r="M20" s="9">
        <f t="shared" si="0"/>
        <v>346.9</v>
      </c>
      <c r="N20" s="9">
        <f t="shared" si="0"/>
        <v>100</v>
      </c>
      <c r="O20" s="9">
        <f t="shared" si="0"/>
        <v>25</v>
      </c>
      <c r="Q20" s="9">
        <f>IFERROR(+Q10-Q15,0)</f>
        <v>1644.11</v>
      </c>
    </row>
    <row r="21" spans="1:17" s="38" customFormat="1" ht="15" customHeight="1" x14ac:dyDescent="0.3">
      <c r="B21" s="17"/>
      <c r="C21" s="17"/>
      <c r="D21" s="5">
        <f t="shared" ref="D21:O21" si="1">IFERROR(D20/D10,0)</f>
        <v>0</v>
      </c>
      <c r="E21" s="5">
        <f t="shared" si="1"/>
        <v>0.65477560414269276</v>
      </c>
      <c r="F21" s="5">
        <f t="shared" si="1"/>
        <v>-8.2906178489702427</v>
      </c>
      <c r="G21" s="5">
        <f t="shared" si="1"/>
        <v>1.7687934145798829</v>
      </c>
      <c r="H21" s="5">
        <f t="shared" si="1"/>
        <v>-0.9561351511558982</v>
      </c>
      <c r="I21" s="5">
        <f t="shared" si="1"/>
        <v>0.84452296819787986</v>
      </c>
      <c r="J21" s="5">
        <f t="shared" si="1"/>
        <v>0</v>
      </c>
      <c r="K21" s="5">
        <f t="shared" si="1"/>
        <v>0</v>
      </c>
      <c r="L21" s="5">
        <f t="shared" si="1"/>
        <v>1.1260025685138966</v>
      </c>
      <c r="M21" s="5">
        <f t="shared" si="1"/>
        <v>0.78858831552625597</v>
      </c>
      <c r="N21" s="5">
        <f t="shared" si="1"/>
        <v>0.5</v>
      </c>
      <c r="O21" s="5">
        <f t="shared" si="1"/>
        <v>0.5</v>
      </c>
      <c r="P21" s="19"/>
      <c r="Q21" s="5">
        <f>IFERROR(Q20/Q10,0)</f>
        <v>0.91273017970254977</v>
      </c>
    </row>
    <row r="22" spans="1:17" ht="15" customHeight="1" x14ac:dyDescent="0.3">
      <c r="A22" s="6"/>
      <c r="B22" s="7"/>
      <c r="C22" s="6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Q22" s="2"/>
    </row>
    <row r="23" spans="1:17" s="37" customFormat="1" ht="15" customHeight="1" x14ac:dyDescent="0.3">
      <c r="A23" s="7"/>
      <c r="B23" s="17" t="s">
        <v>286</v>
      </c>
      <c r="C23" s="7"/>
      <c r="D23" s="12" cm="1">
        <f t="array" ref="D23">SUM(OSRRefD20x_0)</f>
        <v>0</v>
      </c>
      <c r="E23" s="12" cm="1">
        <f t="array" ref="E23">SUM(OSRRefD20x_1)</f>
        <v>0</v>
      </c>
      <c r="F23" s="12" cm="1">
        <f t="array" ref="F23">SUM(OSRRefD20x_2)</f>
        <v>172.64</v>
      </c>
      <c r="G23" s="12" cm="1">
        <f t="array" ref="G23">SUM(OSRRefD20x_3)</f>
        <v>101.4</v>
      </c>
      <c r="H23" s="12" cm="1">
        <f t="array" ref="H23">SUM(OSRRefD20x_4)</f>
        <v>48.01</v>
      </c>
      <c r="I23" s="12" cm="1">
        <f t="array" ref="I23">SUM(OSRRefD20x_5)</f>
        <v>44.6</v>
      </c>
      <c r="J23" s="12" cm="1">
        <f t="array" ref="J23">SUM(OSRRefD20x_6)</f>
        <v>758.88</v>
      </c>
      <c r="K23" s="12" cm="1">
        <f t="array" ref="K23">SUM(OSRRefD20x_7)</f>
        <v>0</v>
      </c>
      <c r="L23" s="12" cm="1">
        <f t="array" ref="L23">SUM(OSRRefD20x_8)</f>
        <v>203.28</v>
      </c>
      <c r="M23" s="12" cm="1">
        <f t="array" ref="M23">SUM(OSRRefD20x_9)</f>
        <v>89.85</v>
      </c>
      <c r="N23" s="12" cm="1">
        <f t="array" ref="N23">SUM(OSRRefE20x_0)</f>
        <v>18</v>
      </c>
      <c r="O23" s="12" cm="1">
        <f t="array" ref="O23">SUM(OSRRefE20x_1)</f>
        <v>4.5</v>
      </c>
      <c r="Q23" s="12" cm="1">
        <f t="array" ref="Q23">SUM(OSRRefG20x)</f>
        <v>1441.1599999999999</v>
      </c>
    </row>
    <row r="24" spans="1:17" s="42" customFormat="1" ht="15" customHeight="1" collapsed="1" x14ac:dyDescent="0.3">
      <c r="A24" s="34"/>
      <c r="B24" s="15" t="str">
        <f>CONCATENATE("     ","Bank/card Fees                                    ")</f>
        <v xml:space="preserve">     Bank/card Fees                                    </v>
      </c>
      <c r="C24" s="15"/>
      <c r="D24" s="2">
        <f>SUM(OSRRefD21_0x_0)</f>
        <v>0</v>
      </c>
      <c r="E24" s="2">
        <f>SUM(OSRRefD21_0x_1)</f>
        <v>0</v>
      </c>
      <c r="F24" s="2">
        <f>SUM(OSRRefD21_0x_2)</f>
        <v>172.64</v>
      </c>
      <c r="G24" s="2">
        <f>SUM(OSRRefD21_0x_3)</f>
        <v>101.4</v>
      </c>
      <c r="H24" s="2">
        <f>SUM(OSRRefD21_0x_4)</f>
        <v>48.01</v>
      </c>
      <c r="I24" s="2">
        <f>SUM(OSRRefD21_0x_5)</f>
        <v>44.6</v>
      </c>
      <c r="J24" s="2">
        <f>SUM(OSRRefD21_0x_6)</f>
        <v>0</v>
      </c>
      <c r="K24" s="2">
        <f>SUM(OSRRefD21_0x_7)</f>
        <v>0</v>
      </c>
      <c r="L24" s="2">
        <f>SUM(OSRRefD21_0x_8)</f>
        <v>203.28</v>
      </c>
      <c r="M24" s="2">
        <f>SUM(OSRRefD21_0x_9)</f>
        <v>89.85</v>
      </c>
      <c r="N24" s="2">
        <f>SUM(OSRRefE21_0x_0)</f>
        <v>18</v>
      </c>
      <c r="O24" s="2">
        <f>SUM(OSRRefE21_0x_1)</f>
        <v>4.5</v>
      </c>
      <c r="Q24" s="3">
        <f>SUM(OSRRefD20_0x)+IFERROR(SUM(OSRRefE20_0x),0)</f>
        <v>682.28</v>
      </c>
    </row>
    <row r="25" spans="1:17" s="42" customFormat="1" ht="15" hidden="1" customHeight="1" outlineLevel="1" x14ac:dyDescent="0.3">
      <c r="A25" s="34"/>
      <c r="B25" s="11" t="str">
        <f>CONCATENATE("          ","6381"," - ","BANK/CREDIT CARD FEES")</f>
        <v xml:space="preserve">          6381 - BANK/CREDIT CARD FEES</v>
      </c>
      <c r="C25" s="15"/>
      <c r="D25" s="3"/>
      <c r="E25" s="3"/>
      <c r="F25" s="3">
        <v>172.64</v>
      </c>
      <c r="G25" s="3">
        <v>101.4</v>
      </c>
      <c r="H25" s="3">
        <v>48.01</v>
      </c>
      <c r="I25" s="3">
        <v>44.6</v>
      </c>
      <c r="J25" s="3"/>
      <c r="K25" s="3"/>
      <c r="L25" s="3">
        <v>203.28</v>
      </c>
      <c r="M25" s="3">
        <v>89.85</v>
      </c>
      <c r="N25" s="3">
        <v>18</v>
      </c>
      <c r="O25" s="3">
        <v>4.5</v>
      </c>
      <c r="P25" s="10"/>
      <c r="Q25" s="3">
        <f>SUM(OSRRefD21_0_0x)+IFERROR(SUM(OSRRefE21_0_0x),0)</f>
        <v>682.28</v>
      </c>
    </row>
    <row r="26" spans="1:17" s="42" customFormat="1" ht="15" customHeight="1" collapsed="1" x14ac:dyDescent="0.3">
      <c r="A26" s="34"/>
      <c r="B26" s="15" t="str">
        <f>CONCATENATE("     ","General                                           ")</f>
        <v xml:space="preserve">     General                                           </v>
      </c>
      <c r="C26" s="15"/>
      <c r="D26" s="2">
        <f>SUM(OSRRefD21_1x_0)</f>
        <v>0</v>
      </c>
      <c r="E26" s="2">
        <f>SUM(OSRRefD21_1x_1)</f>
        <v>0</v>
      </c>
      <c r="F26" s="2">
        <f>SUM(OSRRefD21_1x_2)</f>
        <v>0</v>
      </c>
      <c r="G26" s="2">
        <f>SUM(OSRRefD21_1x_3)</f>
        <v>0</v>
      </c>
      <c r="H26" s="2">
        <f>SUM(OSRRefD21_1x_4)</f>
        <v>0</v>
      </c>
      <c r="I26" s="2">
        <f>SUM(OSRRefD21_1x_5)</f>
        <v>0</v>
      </c>
      <c r="J26" s="2">
        <f>SUM(OSRRefD21_1x_6)</f>
        <v>758.88</v>
      </c>
      <c r="K26" s="2">
        <f>SUM(OSRRefD21_1x_7)</f>
        <v>0</v>
      </c>
      <c r="L26" s="2">
        <f>SUM(OSRRefD21_1x_8)</f>
        <v>0</v>
      </c>
      <c r="M26" s="2">
        <f>SUM(OSRRefD21_1x_9)</f>
        <v>0</v>
      </c>
      <c r="N26" s="2">
        <f>SUM(OSRRefE21_1x_0)</f>
        <v>0</v>
      </c>
      <c r="O26" s="2">
        <f>SUM(OSRRefE21_1x_1)</f>
        <v>0</v>
      </c>
      <c r="Q26" s="3">
        <f>SUM(OSRRefD20_1x)+IFERROR(SUM(OSRRefE20_1x),0)</f>
        <v>758.88</v>
      </c>
    </row>
    <row r="27" spans="1:17" s="42" customFormat="1" ht="15" hidden="1" customHeight="1" outlineLevel="1" x14ac:dyDescent="0.3">
      <c r="A27" s="34"/>
      <c r="B27" s="11" t="str">
        <f>CONCATENATE("          ","6279"," - ","GENERAL EXPENSE")</f>
        <v xml:space="preserve">          6279 - GENERAL EXPENSE</v>
      </c>
      <c r="C27" s="15"/>
      <c r="D27" s="3"/>
      <c r="E27" s="3"/>
      <c r="F27" s="3"/>
      <c r="G27" s="3"/>
      <c r="H27" s="3"/>
      <c r="I27" s="3"/>
      <c r="J27" s="3">
        <v>758.88</v>
      </c>
      <c r="K27" s="3"/>
      <c r="L27" s="3"/>
      <c r="M27" s="3"/>
      <c r="N27" s="3"/>
      <c r="O27" s="3"/>
      <c r="P27" s="10"/>
      <c r="Q27" s="3">
        <f>SUM(OSRRefD21_1_0x)+IFERROR(SUM(OSRRefE21_1_0x),0)</f>
        <v>758.88</v>
      </c>
    </row>
    <row r="28" spans="1:17" s="40" customFormat="1" ht="15" customHeight="1" x14ac:dyDescent="0.3">
      <c r="A28" s="22"/>
      <c r="B28" s="22"/>
      <c r="C28" s="2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Q28" s="2"/>
    </row>
    <row r="29" spans="1:17" s="39" customFormat="1" ht="15" customHeight="1" x14ac:dyDescent="0.3">
      <c r="A29" s="24"/>
      <c r="B29" s="17" t="s">
        <v>287</v>
      </c>
      <c r="C29" s="23"/>
      <c r="D29" s="4">
        <f>0</f>
        <v>0</v>
      </c>
      <c r="E29" s="4">
        <f>0</f>
        <v>0</v>
      </c>
      <c r="F29" s="4">
        <f>0</f>
        <v>0</v>
      </c>
      <c r="G29" s="4">
        <f>0</f>
        <v>0</v>
      </c>
      <c r="H29" s="4">
        <f>0</f>
        <v>0</v>
      </c>
      <c r="I29" s="4">
        <f>0</f>
        <v>0</v>
      </c>
      <c r="J29" s="4">
        <f>0</f>
        <v>0</v>
      </c>
      <c r="K29" s="4">
        <f>0</f>
        <v>0</v>
      </c>
      <c r="L29" s="4">
        <f>0</f>
        <v>0</v>
      </c>
      <c r="M29" s="4">
        <f>0</f>
        <v>0</v>
      </c>
      <c r="N29" s="4"/>
      <c r="O29" s="4"/>
      <c r="Q29" s="3">
        <f>SUM(OSRRefD23_0x)+IFERROR(SUM(OSRRefE23_0x),0)</f>
        <v>0</v>
      </c>
    </row>
    <row r="30" spans="1:17" ht="15" customHeight="1" x14ac:dyDescent="0.3">
      <c r="A30" s="6"/>
      <c r="B30" s="7"/>
      <c r="C30" s="7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Q30" s="4"/>
    </row>
    <row r="31" spans="1:17" s="37" customFormat="1" ht="15" customHeight="1" x14ac:dyDescent="0.3">
      <c r="A31" s="7"/>
      <c r="B31" s="18" t="s">
        <v>288</v>
      </c>
      <c r="C31" s="18"/>
      <c r="D31" s="9">
        <f t="shared" ref="D31:O31" si="2">IFERROR(+D20-D23+D29,0)</f>
        <v>0</v>
      </c>
      <c r="E31" s="9">
        <f t="shared" si="2"/>
        <v>85.35</v>
      </c>
      <c r="F31" s="9">
        <f t="shared" si="2"/>
        <v>-245.09999999999997</v>
      </c>
      <c r="G31" s="9">
        <f t="shared" si="2"/>
        <v>614.13</v>
      </c>
      <c r="H31" s="9">
        <f t="shared" si="2"/>
        <v>-128.66</v>
      </c>
      <c r="I31" s="9">
        <f t="shared" si="2"/>
        <v>15.149999999999999</v>
      </c>
      <c r="J31" s="9">
        <f t="shared" si="2"/>
        <v>-758.88</v>
      </c>
      <c r="K31" s="9">
        <f t="shared" si="2"/>
        <v>0</v>
      </c>
      <c r="L31" s="9">
        <f t="shared" si="2"/>
        <v>261.40999999999997</v>
      </c>
      <c r="M31" s="9">
        <f t="shared" si="2"/>
        <v>257.04999999999995</v>
      </c>
      <c r="N31" s="9">
        <f t="shared" si="2"/>
        <v>82</v>
      </c>
      <c r="O31" s="9">
        <f t="shared" si="2"/>
        <v>20.5</v>
      </c>
      <c r="Q31" s="9">
        <f>IFERROR(+Q20-Q23+Q29,0)</f>
        <v>202.95000000000005</v>
      </c>
    </row>
    <row r="32" spans="1:17" s="38" customFormat="1" ht="15" customHeight="1" x14ac:dyDescent="0.3">
      <c r="B32" s="17"/>
      <c r="C32" s="17"/>
      <c r="D32" s="5">
        <f t="shared" ref="D32:O32" si="3">IFERROR(D31/D10,0)</f>
        <v>0</v>
      </c>
      <c r="E32" s="5">
        <f t="shared" si="3"/>
        <v>0.65477560414269276</v>
      </c>
      <c r="F32" s="5">
        <f t="shared" si="3"/>
        <v>-28.043478260869531</v>
      </c>
      <c r="G32" s="5">
        <f t="shared" si="3"/>
        <v>1.5181321533631622</v>
      </c>
      <c r="H32" s="5">
        <f t="shared" si="3"/>
        <v>-1.5253112033195022</v>
      </c>
      <c r="I32" s="5">
        <f t="shared" si="3"/>
        <v>0.21413427561837453</v>
      </c>
      <c r="J32" s="5">
        <f t="shared" si="3"/>
        <v>0</v>
      </c>
      <c r="K32" s="5">
        <f t="shared" si="3"/>
        <v>0</v>
      </c>
      <c r="L32" s="5">
        <f t="shared" si="3"/>
        <v>0.63342945067726375</v>
      </c>
      <c r="M32" s="5">
        <f t="shared" si="3"/>
        <v>0.5843373493975903</v>
      </c>
      <c r="N32" s="5">
        <f t="shared" si="3"/>
        <v>0.41</v>
      </c>
      <c r="O32" s="5">
        <f t="shared" si="3"/>
        <v>0.41</v>
      </c>
      <c r="P32" s="19"/>
      <c r="Q32" s="5">
        <f>IFERROR(Q31/Q10,0)</f>
        <v>0.11266800273134554</v>
      </c>
    </row>
    <row r="33" spans="1:17" ht="15" customHeight="1" x14ac:dyDescent="0.3">
      <c r="A33" s="6"/>
      <c r="B33" s="7"/>
      <c r="C33" s="6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Q33" s="4"/>
    </row>
    <row r="34" spans="1:17" s="37" customFormat="1" ht="15" customHeight="1" x14ac:dyDescent="0.3">
      <c r="A34" s="26"/>
      <c r="B34" s="7" t="s">
        <v>289</v>
      </c>
      <c r="C34" s="7"/>
      <c r="D34" s="4"/>
      <c r="E34" s="4">
        <v>19.48</v>
      </c>
      <c r="F34" s="4">
        <v>-2.2599999999999998</v>
      </c>
      <c r="G34" s="4">
        <v>45.62</v>
      </c>
      <c r="H34" s="4">
        <v>11.96</v>
      </c>
      <c r="I34" s="4">
        <v>9.31</v>
      </c>
      <c r="J34" s="4">
        <v>8.3800000000000008</v>
      </c>
      <c r="K34" s="4">
        <v>-5.27</v>
      </c>
      <c r="L34" s="4">
        <v>45.42</v>
      </c>
      <c r="M34" s="4">
        <v>43.1</v>
      </c>
      <c r="N34" s="4">
        <v>25</v>
      </c>
      <c r="O34" s="4">
        <v>-4</v>
      </c>
      <c r="Q34" s="3">
        <f>SUM(OSRRefD28_0x)+IFERROR(SUM(OSRRefE28_0x),0)</f>
        <v>196.73999999999998</v>
      </c>
    </row>
    <row r="35" spans="1:17" ht="15" customHeight="1" x14ac:dyDescent="0.3">
      <c r="A35" s="6"/>
      <c r="B35" s="7"/>
      <c r="C35" s="7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Q35" s="4"/>
    </row>
    <row r="36" spans="1:17" s="37" customFormat="1" ht="15.75" customHeight="1" x14ac:dyDescent="0.3">
      <c r="A36" s="7"/>
      <c r="B36" s="18" t="s">
        <v>290</v>
      </c>
      <c r="C36" s="18"/>
      <c r="D36" s="8">
        <f t="shared" ref="D36:O36" si="4">IFERROR(+D31-D34,0)</f>
        <v>0</v>
      </c>
      <c r="E36" s="8">
        <f t="shared" si="4"/>
        <v>65.86999999999999</v>
      </c>
      <c r="F36" s="8">
        <f t="shared" si="4"/>
        <v>-242.83999999999997</v>
      </c>
      <c r="G36" s="8">
        <f t="shared" si="4"/>
        <v>568.51</v>
      </c>
      <c r="H36" s="8">
        <f t="shared" si="4"/>
        <v>-140.62</v>
      </c>
      <c r="I36" s="8">
        <f t="shared" si="4"/>
        <v>5.8399999999999981</v>
      </c>
      <c r="J36" s="8">
        <f t="shared" si="4"/>
        <v>-767.26</v>
      </c>
      <c r="K36" s="8">
        <f t="shared" si="4"/>
        <v>5.27</v>
      </c>
      <c r="L36" s="8">
        <f t="shared" si="4"/>
        <v>215.98999999999995</v>
      </c>
      <c r="M36" s="8">
        <f t="shared" si="4"/>
        <v>213.94999999999996</v>
      </c>
      <c r="N36" s="8">
        <f t="shared" si="4"/>
        <v>57</v>
      </c>
      <c r="O36" s="8">
        <f t="shared" si="4"/>
        <v>24.5</v>
      </c>
      <c r="Q36" s="8">
        <f>IFERROR(+Q31-Q34,0)</f>
        <v>6.2100000000000648</v>
      </c>
    </row>
    <row r="37" spans="1:17" ht="15.75" customHeight="1" x14ac:dyDescent="0.3">
      <c r="A37" s="6"/>
      <c r="B37" s="6"/>
      <c r="C37" s="6"/>
      <c r="D37" s="5">
        <f t="shared" ref="D37:O37" si="5">IFERROR(D36/D10,0)</f>
        <v>0</v>
      </c>
      <c r="E37" s="5">
        <f t="shared" si="5"/>
        <v>0.50533179900268499</v>
      </c>
      <c r="F37" s="5">
        <f t="shared" si="5"/>
        <v>-27.784897025171592</v>
      </c>
      <c r="G37" s="5">
        <f t="shared" si="5"/>
        <v>1.4053593058611229</v>
      </c>
      <c r="H37" s="5">
        <f t="shared" si="5"/>
        <v>-1.6671013633669236</v>
      </c>
      <c r="I37" s="5">
        <f t="shared" si="5"/>
        <v>8.2544169611307394E-2</v>
      </c>
      <c r="J37" s="5">
        <f t="shared" si="5"/>
        <v>0</v>
      </c>
      <c r="K37" s="5">
        <f t="shared" si="5"/>
        <v>0</v>
      </c>
      <c r="L37" s="5">
        <f t="shared" si="5"/>
        <v>0.52337105333301015</v>
      </c>
      <c r="M37" s="5">
        <f t="shared" si="5"/>
        <v>0.48636053648556482</v>
      </c>
      <c r="N37" s="5">
        <f t="shared" si="5"/>
        <v>0.28499999999999998</v>
      </c>
      <c r="O37" s="5">
        <f t="shared" si="5"/>
        <v>0.49</v>
      </c>
      <c r="P37" s="19"/>
      <c r="Q37" s="5">
        <f>IFERROR(Q36/Q10,0)</f>
        <v>3.4474909926664843E-3</v>
      </c>
    </row>
    <row r="38" spans="1:17" ht="15" customHeight="1" x14ac:dyDescent="0.3">
      <c r="A38" s="6"/>
      <c r="B38" s="6"/>
      <c r="C38" s="6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Q38" s="4"/>
    </row>
    <row r="39" spans="1:17" ht="15" customHeight="1" x14ac:dyDescent="0.3">
      <c r="A39" s="6"/>
      <c r="B39" s="6"/>
      <c r="C39" s="6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Q39" s="4"/>
    </row>
    <row r="40" spans="1:17" s="37" customFormat="1" ht="15.75" customHeight="1" x14ac:dyDescent="0.3">
      <c r="A40" s="7"/>
      <c r="B40" s="18" t="s">
        <v>293</v>
      </c>
      <c r="C40" s="18"/>
      <c r="D40" s="8">
        <f t="shared" ref="D40:O40" si="6">IFERROR(SUM(D36:D39),0)</f>
        <v>0</v>
      </c>
      <c r="E40" s="8">
        <f t="shared" si="6"/>
        <v>66.37533179900268</v>
      </c>
      <c r="F40" s="8">
        <f t="shared" si="6"/>
        <v>-270.62489702517155</v>
      </c>
      <c r="G40" s="8">
        <f t="shared" si="6"/>
        <v>569.9153593058611</v>
      </c>
      <c r="H40" s="8">
        <f t="shared" si="6"/>
        <v>-142.28710136336693</v>
      </c>
      <c r="I40" s="8">
        <f t="shared" si="6"/>
        <v>5.9225441696113057</v>
      </c>
      <c r="J40" s="8">
        <f t="shared" si="6"/>
        <v>-767.26</v>
      </c>
      <c r="K40" s="8">
        <f t="shared" si="6"/>
        <v>5.27</v>
      </c>
      <c r="L40" s="8">
        <f t="shared" si="6"/>
        <v>216.51337105333297</v>
      </c>
      <c r="M40" s="8">
        <f t="shared" si="6"/>
        <v>214.43636053648552</v>
      </c>
      <c r="N40" s="8">
        <f t="shared" si="6"/>
        <v>57.284999999999997</v>
      </c>
      <c r="O40" s="8">
        <f t="shared" si="6"/>
        <v>24.99</v>
      </c>
      <c r="Q40" s="8">
        <f>IFERROR(SUM(Q36:Q39),0)</f>
        <v>6.2134474909927313</v>
      </c>
    </row>
    <row r="41" spans="1:17" ht="15.75" customHeight="1" x14ac:dyDescent="0.3">
      <c r="A41" s="6"/>
      <c r="C41" s="6"/>
      <c r="D41" s="5">
        <f t="shared" ref="D41:O41" si="7">IFERROR(D40/D10,0)</f>
        <v>0</v>
      </c>
      <c r="E41" s="5">
        <f t="shared" si="7"/>
        <v>0.50920852933642258</v>
      </c>
      <c r="F41" s="5">
        <f t="shared" si="7"/>
        <v>-30.963947028051631</v>
      </c>
      <c r="G41" s="5">
        <f t="shared" si="7"/>
        <v>1.4088333604574719</v>
      </c>
      <c r="H41" s="5">
        <f t="shared" si="7"/>
        <v>-1.6868654577755418</v>
      </c>
      <c r="I41" s="5">
        <f t="shared" si="7"/>
        <v>8.3710871655283473E-2</v>
      </c>
      <c r="J41" s="5">
        <f t="shared" si="7"/>
        <v>0</v>
      </c>
      <c r="K41" s="5">
        <f t="shared" si="7"/>
        <v>0</v>
      </c>
      <c r="L41" s="5">
        <f t="shared" si="7"/>
        <v>0.52463924750619828</v>
      </c>
      <c r="M41" s="5">
        <f t="shared" si="7"/>
        <v>0.48746615261760751</v>
      </c>
      <c r="N41" s="5">
        <f t="shared" si="7"/>
        <v>0.28642499999999999</v>
      </c>
      <c r="O41" s="5">
        <f t="shared" si="7"/>
        <v>0.49979999999999997</v>
      </c>
      <c r="P41" s="19"/>
      <c r="Q41" s="5">
        <f>IFERROR(Q40/Q10,0)</f>
        <v>3.4494048725609316E-3</v>
      </c>
    </row>
    <row r="42" spans="1:17" ht="15" customHeight="1" x14ac:dyDescent="0.3">
      <c r="A42" s="6"/>
      <c r="B42" s="33">
        <v>44694.892891863426</v>
      </c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Q42" s="14"/>
    </row>
    <row r="43" spans="1:17" ht="15" customHeight="1" x14ac:dyDescent="0.3">
      <c r="A43" s="6"/>
      <c r="B43" s="31" t="s">
        <v>294</v>
      </c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Q43" s="14"/>
    </row>
    <row r="44" spans="1:17" ht="15" customHeight="1" x14ac:dyDescent="0.3">
      <c r="A44" s="6"/>
      <c r="B44" s="27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Q44" s="14"/>
    </row>
    <row r="45" spans="1:17" ht="15" customHeight="1" x14ac:dyDescent="0.3"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Q45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85EBB-B9CC-F1E5-F815-5A1F39AA9FA9}">
  <sheetPr>
    <tabColor rgb="FFFFC000"/>
    <outlinePr summaryBelow="0" summaryRight="0"/>
    <pageSetUpPr fitToPage="1"/>
  </sheetPr>
  <dimension ref="A2:R128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">
        <v>309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42689.659999999996</v>
      </c>
      <c r="E10" s="4">
        <f>SUM(OSRRefD11x_1)</f>
        <v>535502.98</v>
      </c>
      <c r="F10" s="4">
        <f>SUM(OSRRefD11x_2)</f>
        <v>1556759.41</v>
      </c>
      <c r="G10" s="4">
        <f>SUM(OSRRefD11x_3)</f>
        <v>1790638.6</v>
      </c>
      <c r="H10" s="4">
        <f>SUM(OSRRefD11x_4)</f>
        <v>1387530.02</v>
      </c>
      <c r="I10" s="4">
        <f>SUM(OSRRefD11x_5)</f>
        <v>1068737.23</v>
      </c>
      <c r="J10" s="4">
        <f>SUM(OSRRefD11x_6)</f>
        <v>646859.62</v>
      </c>
      <c r="K10" s="4">
        <f>SUM(OSRRefD11x_7)</f>
        <v>1607036.02</v>
      </c>
      <c r="L10" s="4">
        <f>SUM(OSRRefD11x_8)</f>
        <v>1657738.8299999998</v>
      </c>
      <c r="M10" s="4">
        <f>SUM(OSRRefD11x_9)</f>
        <v>2023087.5300000003</v>
      </c>
      <c r="N10" s="4">
        <f>SUM(OSRRefE11x_0)</f>
        <v>850716</v>
      </c>
      <c r="O10" s="4">
        <f>SUM(OSRRefE11x_1)</f>
        <v>84576</v>
      </c>
      <c r="P10" s="25"/>
      <c r="Q10" s="4">
        <f>SUM(OSRRefG11x)</f>
        <v>13251871.900000002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0</f>
        <v>0</v>
      </c>
      <c r="E11" s="3">
        <f>0</f>
        <v>0</v>
      </c>
      <c r="F11" s="3">
        <f>0</f>
        <v>0</v>
      </c>
      <c r="G11" s="3">
        <f>0</f>
        <v>0</v>
      </c>
      <c r="H11" s="3">
        <f>0</f>
        <v>0</v>
      </c>
      <c r="I11" s="3">
        <f>0</f>
        <v>0</v>
      </c>
      <c r="J11" s="3">
        <f>0</f>
        <v>0</v>
      </c>
      <c r="K11" s="3">
        <f>0</f>
        <v>0</v>
      </c>
      <c r="L11" s="3">
        <f>0</f>
        <v>0</v>
      </c>
      <c r="M11" s="3">
        <f>0</f>
        <v>0</v>
      </c>
      <c r="N11" s="3">
        <v>107544</v>
      </c>
      <c r="O11" s="3">
        <v>39337</v>
      </c>
      <c r="Q11" s="3">
        <f>SUM(OSRRefD11_0x)+IFERROR(SUM(OSRRefE11_0x),0)</f>
        <v>146881</v>
      </c>
    </row>
    <row r="12" spans="1:18" s="39" customFormat="1" ht="15" hidden="1" customHeight="1" outlineLevel="1" x14ac:dyDescent="0.3">
      <c r="A12" s="24"/>
      <c r="B12" s="11" t="str">
        <f>CONCATENATE("          ","4051"," - ","TAXABLE SALES-FOOD")</f>
        <v xml:space="preserve">          4051 - TAXABLE SALES-FOOD</v>
      </c>
      <c r="C12" s="23"/>
      <c r="D12" s="3">
        <f>--10630.93</f>
        <v>10630.93</v>
      </c>
      <c r="E12" s="3">
        <f>--20639.51</f>
        <v>20639.509999999998</v>
      </c>
      <c r="F12" s="3">
        <f>--33705.87</f>
        <v>33705.870000000003</v>
      </c>
      <c r="G12" s="3">
        <f>--39274.26</f>
        <v>39274.26</v>
      </c>
      <c r="H12" s="3">
        <f>--23100.6</f>
        <v>23100.6</v>
      </c>
      <c r="I12" s="3">
        <f>--19631.62</f>
        <v>19631.62</v>
      </c>
      <c r="J12" s="3">
        <f>--2376.57</f>
        <v>2376.5700000000002</v>
      </c>
      <c r="K12" s="3">
        <f>--56305.76</f>
        <v>56305.760000000002</v>
      </c>
      <c r="L12" s="3">
        <f>--58129.76</f>
        <v>58129.760000000002</v>
      </c>
      <c r="M12" s="3">
        <f>--55113.37</f>
        <v>55113.37</v>
      </c>
      <c r="N12" s="3"/>
      <c r="O12" s="3"/>
      <c r="Q12" s="3">
        <f>SUM(OSRRefD11_1x)+IFERROR(SUM(OSRRefE11_1x),0)</f>
        <v>318908.25</v>
      </c>
    </row>
    <row r="13" spans="1:18" s="39" customFormat="1" ht="15" hidden="1" customHeight="1" outlineLevel="1" x14ac:dyDescent="0.3">
      <c r="A13" s="24"/>
      <c r="B13" s="11" t="str">
        <f>CONCATENATE("          ","4053"," - ","TAXABLE SALES-FOOD")</f>
        <v xml:space="preserve">          4053 - TAXABLE SALES-FOOD</v>
      </c>
      <c r="C13" s="23"/>
      <c r="D13" s="3">
        <f>--106.64</f>
        <v>106.64</v>
      </c>
      <c r="E13" s="3">
        <f>--384.19</f>
        <v>384.19</v>
      </c>
      <c r="F13" s="3">
        <f>--644.1</f>
        <v>644.1</v>
      </c>
      <c r="G13" s="3">
        <f>--4910.57</f>
        <v>4910.57</v>
      </c>
      <c r="H13" s="3">
        <f>--1953.51</f>
        <v>1953.51</v>
      </c>
      <c r="I13" s="3">
        <f>--1964.44</f>
        <v>1964.44</v>
      </c>
      <c r="J13" s="3">
        <f>--1512.98</f>
        <v>1512.98</v>
      </c>
      <c r="K13" s="3">
        <f>--6171.55</f>
        <v>6171.55</v>
      </c>
      <c r="L13" s="3">
        <f>--2840.91</f>
        <v>2840.91</v>
      </c>
      <c r="M13" s="3">
        <f>--8084.06</f>
        <v>8084.06</v>
      </c>
      <c r="N13" s="3"/>
      <c r="O13" s="3"/>
      <c r="Q13" s="3">
        <f>SUM(OSRRefD11_2x)+IFERROR(SUM(OSRRefE11_2x),0)</f>
        <v>28572.95</v>
      </c>
    </row>
    <row r="14" spans="1:18" s="39" customFormat="1" ht="15" hidden="1" customHeight="1" outlineLevel="1" x14ac:dyDescent="0.3">
      <c r="A14" s="24"/>
      <c r="B14" s="11" t="str">
        <f>CONCATENATE("          ","4055"," - ","TAXABLE SALES-FOOD")</f>
        <v xml:space="preserve">          4055 - TAXABLE SALES-FOOD</v>
      </c>
      <c r="C14" s="23"/>
      <c r="D14" s="3">
        <f>0</f>
        <v>0</v>
      </c>
      <c r="E14" s="3">
        <f>0</f>
        <v>0</v>
      </c>
      <c r="F14" s="3">
        <f>0</f>
        <v>0</v>
      </c>
      <c r="G14" s="3">
        <f>0</f>
        <v>0</v>
      </c>
      <c r="H14" s="3">
        <f>0</f>
        <v>0</v>
      </c>
      <c r="I14" s="3">
        <f>0</f>
        <v>0</v>
      </c>
      <c r="J14" s="3">
        <f>0</f>
        <v>0</v>
      </c>
      <c r="K14" s="3">
        <f>0</f>
        <v>0</v>
      </c>
      <c r="L14" s="3">
        <f>--541.27</f>
        <v>541.27</v>
      </c>
      <c r="M14" s="3">
        <f>--1014.83</f>
        <v>1014.83</v>
      </c>
      <c r="N14" s="3"/>
      <c r="O14" s="3"/>
      <c r="Q14" s="3">
        <f>SUM(OSRRefD11_3x)+IFERROR(SUM(OSRRefE11_3x),0)</f>
        <v>1556.1</v>
      </c>
    </row>
    <row r="15" spans="1:18" s="39" customFormat="1" ht="15" hidden="1" customHeight="1" outlineLevel="1" x14ac:dyDescent="0.3">
      <c r="A15" s="24"/>
      <c r="B15" s="11" t="str">
        <f>CONCATENATE("          ","4100"," - ","NON-TAXABLE SALES")</f>
        <v xml:space="preserve">          4100 - NON-TAXABLE SALES</v>
      </c>
      <c r="C15" s="23"/>
      <c r="D15" s="3">
        <f>0</f>
        <v>0</v>
      </c>
      <c r="E15" s="3">
        <f>0</f>
        <v>0</v>
      </c>
      <c r="F15" s="3">
        <f>0</f>
        <v>0</v>
      </c>
      <c r="G15" s="3">
        <f>0</f>
        <v>0</v>
      </c>
      <c r="H15" s="3">
        <f>0</f>
        <v>0</v>
      </c>
      <c r="I15" s="3">
        <f>0</f>
        <v>0</v>
      </c>
      <c r="J15" s="3">
        <f>0</f>
        <v>0</v>
      </c>
      <c r="K15" s="3">
        <f>0</f>
        <v>0</v>
      </c>
      <c r="L15" s="3">
        <f>0</f>
        <v>0</v>
      </c>
      <c r="M15" s="3">
        <f>0</f>
        <v>0</v>
      </c>
      <c r="N15" s="3">
        <v>743172</v>
      </c>
      <c r="O15" s="3">
        <v>45239</v>
      </c>
      <c r="Q15" s="3">
        <f>SUM(OSRRefD11_4x)+IFERROR(SUM(OSRRefE11_4x),0)</f>
        <v>788411</v>
      </c>
    </row>
    <row r="16" spans="1:18" s="39" customFormat="1" ht="15" hidden="1" customHeight="1" outlineLevel="1" x14ac:dyDescent="0.3">
      <c r="A16" s="24"/>
      <c r="B16" s="11" t="str">
        <f>CONCATENATE("          ","4151"," - ","NON-TAXABLE SALES-FOOD")</f>
        <v xml:space="preserve">          4151 - NON-TAXABLE SALES-FOOD</v>
      </c>
      <c r="C16" s="23"/>
      <c r="D16" s="3">
        <f>--28671.38</f>
        <v>28671.38</v>
      </c>
      <c r="E16" s="3">
        <f>--498691.97</f>
        <v>498691.97</v>
      </c>
      <c r="F16" s="3">
        <f>--1509200.13</f>
        <v>1509200.13</v>
      </c>
      <c r="G16" s="3">
        <f>--1734326.4</f>
        <v>1734326.4</v>
      </c>
      <c r="H16" s="3">
        <f>--1356110.78</f>
        <v>1356110.78</v>
      </c>
      <c r="I16" s="3">
        <f>--1041445.01</f>
        <v>1041445.01</v>
      </c>
      <c r="J16" s="3">
        <f>--637954.74</f>
        <v>637954.74</v>
      </c>
      <c r="K16" s="3">
        <f>--1525252.75</f>
        <v>1525252.75</v>
      </c>
      <c r="L16" s="3">
        <f>--1578769.24</f>
        <v>1578769.24</v>
      </c>
      <c r="M16" s="3">
        <f>--1941274.31</f>
        <v>1941274.31</v>
      </c>
      <c r="N16" s="3"/>
      <c r="O16" s="3"/>
      <c r="Q16" s="3">
        <f>SUM(OSRRefD11_5x)+IFERROR(SUM(OSRRefE11_5x),0)</f>
        <v>11851696.710000001</v>
      </c>
    </row>
    <row r="17" spans="1:17" s="39" customFormat="1" ht="15" hidden="1" customHeight="1" outlineLevel="1" x14ac:dyDescent="0.3">
      <c r="A17" s="24"/>
      <c r="B17" s="11" t="str">
        <f>CONCATENATE("          ","4153"," - ","NON-TAXABLE SALES-FOOD")</f>
        <v xml:space="preserve">          4153 - NON-TAXABLE SALES-FOOD</v>
      </c>
      <c r="C17" s="23"/>
      <c r="D17" s="3">
        <f>--3280.71</f>
        <v>3280.71</v>
      </c>
      <c r="E17" s="3">
        <f>--15787.31</f>
        <v>15787.31</v>
      </c>
      <c r="F17" s="3">
        <f>--13209.31</f>
        <v>13209.31</v>
      </c>
      <c r="G17" s="3">
        <f>--12127.37</f>
        <v>12127.37</v>
      </c>
      <c r="H17" s="3">
        <f>--6365.13</f>
        <v>6365.13</v>
      </c>
      <c r="I17" s="3">
        <f>--5696.16</f>
        <v>5696.16</v>
      </c>
      <c r="J17" s="3">
        <f>--5015.33</f>
        <v>5015.33</v>
      </c>
      <c r="K17" s="3">
        <f>--19305.96</f>
        <v>19305.96</v>
      </c>
      <c r="L17" s="3">
        <f>--15712.94</f>
        <v>15712.94</v>
      </c>
      <c r="M17" s="3">
        <f>--15546.35</f>
        <v>15546.35</v>
      </c>
      <c r="N17" s="3"/>
      <c r="O17" s="3"/>
      <c r="Q17" s="3">
        <f>SUM(OSRRefD11_6x)+IFERROR(SUM(OSRRefE11_6x),0)</f>
        <v>112046.57</v>
      </c>
    </row>
    <row r="18" spans="1:17" s="39" customFormat="1" ht="15" hidden="1" customHeight="1" outlineLevel="1" x14ac:dyDescent="0.3">
      <c r="A18" s="24"/>
      <c r="B18" s="11" t="str">
        <f>CONCATENATE("          ","4155"," - ","NON-TAXABLE SALES-FOOD")</f>
        <v xml:space="preserve">          4155 - NON-TAXABLE SALES-FOOD</v>
      </c>
      <c r="C18" s="23"/>
      <c r="D18" s="3">
        <f>0</f>
        <v>0</v>
      </c>
      <c r="E18" s="3">
        <f>0</f>
        <v>0</v>
      </c>
      <c r="F18" s="3">
        <f>0</f>
        <v>0</v>
      </c>
      <c r="G18" s="3">
        <f>0</f>
        <v>0</v>
      </c>
      <c r="H18" s="3">
        <f>0</f>
        <v>0</v>
      </c>
      <c r="I18" s="3">
        <f>0</f>
        <v>0</v>
      </c>
      <c r="J18" s="3">
        <f>0</f>
        <v>0</v>
      </c>
      <c r="K18" s="3">
        <f>0</f>
        <v>0</v>
      </c>
      <c r="L18" s="3">
        <f>--1744.71</f>
        <v>1744.71</v>
      </c>
      <c r="M18" s="3">
        <f>--2054.61</f>
        <v>2054.61</v>
      </c>
      <c r="N18" s="3"/>
      <c r="O18" s="3"/>
      <c r="Q18" s="3">
        <f>SUM(OSRRefD11_7x)+IFERROR(SUM(OSRRefE11_7x),0)</f>
        <v>3799.32</v>
      </c>
    </row>
    <row r="19" spans="1:17" ht="15" customHeight="1" x14ac:dyDescent="0.3">
      <c r="A19" s="6"/>
      <c r="B19" s="7"/>
      <c r="C19" s="6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Q19" s="4"/>
    </row>
    <row r="20" spans="1:17" s="39" customFormat="1" ht="15" customHeight="1" collapsed="1" x14ac:dyDescent="0.3">
      <c r="A20" s="24"/>
      <c r="B20" s="17" t="s">
        <v>284</v>
      </c>
      <c r="C20" s="23"/>
      <c r="D20" s="4">
        <f>SUM(OSRRefD14x_0)</f>
        <v>22188.22</v>
      </c>
      <c r="E20" s="4">
        <f>SUM(OSRRefD14x_1)</f>
        <v>189344.45</v>
      </c>
      <c r="F20" s="4">
        <f>SUM(OSRRefD14x_2)</f>
        <v>408049.86</v>
      </c>
      <c r="G20" s="4">
        <f>SUM(OSRRefD14x_3)</f>
        <v>524747.68000000005</v>
      </c>
      <c r="H20" s="4">
        <f>SUM(OSRRefD14x_4)</f>
        <v>325183.37</v>
      </c>
      <c r="I20" s="4">
        <f>SUM(OSRRefD14x_5)</f>
        <v>268273.78000000003</v>
      </c>
      <c r="J20" s="4">
        <f>SUM(OSRRefD14x_6)</f>
        <v>107409.64000000001</v>
      </c>
      <c r="K20" s="4">
        <f>SUM(OSRRefD14x_7)</f>
        <v>387026.55000000005</v>
      </c>
      <c r="L20" s="4">
        <f>SUM(OSRRefD14x_8)</f>
        <v>428711.98</v>
      </c>
      <c r="M20" s="4">
        <f>SUM(OSRRefD14x_9)</f>
        <v>443045.46</v>
      </c>
      <c r="N20" s="4">
        <f>SUM(OSRRefE14x_0)</f>
        <v>257880</v>
      </c>
      <c r="O20" s="4">
        <f>SUM(OSRRefE14x_1)</f>
        <v>27475</v>
      </c>
      <c r="Q20" s="4">
        <f>SUM(OSRRefG14x)</f>
        <v>3389335.99</v>
      </c>
    </row>
    <row r="21" spans="1:17" s="39" customFormat="1" ht="15" hidden="1" customHeight="1" outlineLevel="1" x14ac:dyDescent="0.3">
      <c r="A21" s="24"/>
      <c r="B21" s="11" t="str">
        <f>CONCATENATE("          ","5000"," - ","PURCHASES @ COST")</f>
        <v xml:space="preserve">          5000 - PURCHASES @ COST</v>
      </c>
      <c r="C21" s="23"/>
      <c r="D21" s="3"/>
      <c r="E21" s="3"/>
      <c r="F21" s="3"/>
      <c r="G21" s="3"/>
      <c r="H21" s="3"/>
      <c r="I21" s="3"/>
      <c r="J21" s="3"/>
      <c r="K21" s="3"/>
      <c r="L21" s="3"/>
      <c r="M21" s="3"/>
      <c r="N21" s="3">
        <v>257880</v>
      </c>
      <c r="O21" s="3">
        <v>27475</v>
      </c>
      <c r="Q21" s="3">
        <f>SUM(OSRRefD14_0x)+IFERROR(SUM(OSRRefE14_0x),0)</f>
        <v>285355</v>
      </c>
    </row>
    <row r="22" spans="1:17" s="39" customFormat="1" ht="15" hidden="1" customHeight="1" outlineLevel="1" x14ac:dyDescent="0.3">
      <c r="A22" s="24"/>
      <c r="B22" s="11" t="str">
        <f>CONCATENATE("          ","5053"," - ","PURCHASES @ COST-FOOD")</f>
        <v xml:space="preserve">          5053 - PURCHASES @ COST-FOOD</v>
      </c>
      <c r="C22" s="23"/>
      <c r="D22" s="3">
        <v>26193.22</v>
      </c>
      <c r="E22" s="3">
        <v>256776.45</v>
      </c>
      <c r="F22" s="3">
        <v>409942.26</v>
      </c>
      <c r="G22" s="3">
        <v>514182.2</v>
      </c>
      <c r="H22" s="3">
        <v>316830.11</v>
      </c>
      <c r="I22" s="3">
        <v>204500.45</v>
      </c>
      <c r="J22" s="3">
        <v>143478.16</v>
      </c>
      <c r="K22" s="3">
        <v>390356.27</v>
      </c>
      <c r="L22" s="3">
        <v>393383.23</v>
      </c>
      <c r="M22" s="3">
        <v>422423.33</v>
      </c>
      <c r="N22" s="3"/>
      <c r="O22" s="3"/>
      <c r="Q22" s="3">
        <f>SUM(OSRRefD14_1x)+IFERROR(SUM(OSRRefE14_1x),0)</f>
        <v>3078065.68</v>
      </c>
    </row>
    <row r="23" spans="1:17" s="39" customFormat="1" ht="15" hidden="1" customHeight="1" outlineLevel="1" x14ac:dyDescent="0.3">
      <c r="A23" s="24"/>
      <c r="B23" s="11" t="str">
        <f>CONCATENATE("          ","5059"," - ","PURCHASES @ COST-FOOD")</f>
        <v xml:space="preserve">          5059 - PURCHASES @ COST-FOOD</v>
      </c>
      <c r="C23" s="23"/>
      <c r="D23" s="3">
        <v>-4005</v>
      </c>
      <c r="E23" s="3">
        <v>-67432</v>
      </c>
      <c r="F23" s="3">
        <v>-1892.4</v>
      </c>
      <c r="G23" s="3">
        <v>10565.48</v>
      </c>
      <c r="H23" s="3">
        <v>8353.26</v>
      </c>
      <c r="I23" s="3">
        <v>63773.33</v>
      </c>
      <c r="J23" s="3">
        <v>-36068.519999999997</v>
      </c>
      <c r="K23" s="3">
        <v>-3329.72</v>
      </c>
      <c r="L23" s="3">
        <v>35328.75</v>
      </c>
      <c r="M23" s="3">
        <v>20622.13</v>
      </c>
      <c r="N23" s="3"/>
      <c r="O23" s="3"/>
      <c r="Q23" s="3">
        <f>SUM(OSRRefD14_2x)+IFERROR(SUM(OSRRefE14_2x),0)</f>
        <v>25915.310000000009</v>
      </c>
    </row>
    <row r="24" spans="1:17" ht="15" customHeight="1" x14ac:dyDescent="0.3">
      <c r="A24" s="6"/>
      <c r="B24" s="7"/>
      <c r="C24" s="7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Q24" s="4"/>
    </row>
    <row r="25" spans="1:17" s="37" customFormat="1" ht="15" customHeight="1" x14ac:dyDescent="0.3">
      <c r="A25" s="7"/>
      <c r="B25" s="18" t="s">
        <v>285</v>
      </c>
      <c r="C25" s="18"/>
      <c r="D25" s="9">
        <f t="shared" ref="D25:O25" si="0">IFERROR(+D10-D20,0)</f>
        <v>20501.439999999995</v>
      </c>
      <c r="E25" s="9">
        <f t="shared" si="0"/>
        <v>346158.52999999997</v>
      </c>
      <c r="F25" s="9">
        <f t="shared" si="0"/>
        <v>1148709.5499999998</v>
      </c>
      <c r="G25" s="9">
        <f t="shared" si="0"/>
        <v>1265890.92</v>
      </c>
      <c r="H25" s="9">
        <f t="shared" si="0"/>
        <v>1062346.6499999999</v>
      </c>
      <c r="I25" s="9">
        <f t="shared" si="0"/>
        <v>800463.45</v>
      </c>
      <c r="J25" s="9">
        <f t="shared" si="0"/>
        <v>539449.98</v>
      </c>
      <c r="K25" s="9">
        <f t="shared" si="0"/>
        <v>1220009.47</v>
      </c>
      <c r="L25" s="9">
        <f t="shared" si="0"/>
        <v>1229026.8499999999</v>
      </c>
      <c r="M25" s="9">
        <f t="shared" si="0"/>
        <v>1580042.0700000003</v>
      </c>
      <c r="N25" s="9">
        <f t="shared" si="0"/>
        <v>592836</v>
      </c>
      <c r="O25" s="9">
        <f t="shared" si="0"/>
        <v>57101</v>
      </c>
      <c r="Q25" s="9">
        <f>IFERROR(+Q10-Q20,0)</f>
        <v>9862535.910000002</v>
      </c>
    </row>
    <row r="26" spans="1:17" s="38" customFormat="1" ht="15" customHeight="1" x14ac:dyDescent="0.3">
      <c r="B26" s="17"/>
      <c r="C26" s="17"/>
      <c r="D26" s="5">
        <f t="shared" ref="D26:O26" si="1">IFERROR(D25/D10,0)</f>
        <v>0.48024369367195702</v>
      </c>
      <c r="E26" s="5">
        <f t="shared" si="1"/>
        <v>0.64641756055213728</v>
      </c>
      <c r="F26" s="5">
        <f t="shared" si="1"/>
        <v>0.73788508527467311</v>
      </c>
      <c r="G26" s="5">
        <f t="shared" si="1"/>
        <v>0.70694942016775464</v>
      </c>
      <c r="H26" s="5">
        <f t="shared" si="1"/>
        <v>0.76563867785721851</v>
      </c>
      <c r="I26" s="5">
        <f t="shared" si="1"/>
        <v>0.74898059834595632</v>
      </c>
      <c r="J26" s="5">
        <f t="shared" si="1"/>
        <v>0.8339521641496187</v>
      </c>
      <c r="K26" s="5">
        <f t="shared" si="1"/>
        <v>0.75916747030971965</v>
      </c>
      <c r="L26" s="5">
        <f t="shared" si="1"/>
        <v>0.74138750191427916</v>
      </c>
      <c r="M26" s="5">
        <f t="shared" si="1"/>
        <v>0.78100529342890079</v>
      </c>
      <c r="N26" s="5">
        <f t="shared" si="1"/>
        <v>0.69686710958768849</v>
      </c>
      <c r="O26" s="5">
        <f t="shared" si="1"/>
        <v>0.67514424895951575</v>
      </c>
      <c r="P26" s="19"/>
      <c r="Q26" s="5">
        <f>IFERROR(Q25/Q10,0)</f>
        <v>0.74423719037006386</v>
      </c>
    </row>
    <row r="27" spans="1:17" ht="15" customHeight="1" x14ac:dyDescent="0.3">
      <c r="A27" s="6"/>
      <c r="B27" s="7"/>
      <c r="C27" s="6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Q27" s="2"/>
    </row>
    <row r="28" spans="1:17" s="37" customFormat="1" ht="15" customHeight="1" x14ac:dyDescent="0.3">
      <c r="A28" s="7"/>
      <c r="B28" s="17" t="s">
        <v>286</v>
      </c>
      <c r="C28" s="7"/>
      <c r="D28" s="12" cm="1">
        <f t="array" ref="D28">SUM(OSRRefD20x_0)</f>
        <v>340481.02000000008</v>
      </c>
      <c r="E28" s="12" cm="1">
        <f t="array" ref="E28">SUM(OSRRefD20x_1)</f>
        <v>515004.69000000012</v>
      </c>
      <c r="F28" s="12" cm="1">
        <f t="array" ref="F28">SUM(OSRRefD20x_2)</f>
        <v>673495.39000000013</v>
      </c>
      <c r="G28" s="12" cm="1">
        <f t="array" ref="G28">SUM(OSRRefD20x_3)</f>
        <v>961020.02000000014</v>
      </c>
      <c r="H28" s="12" cm="1">
        <f t="array" ref="H28">SUM(OSRRefD20x_4)</f>
        <v>647580.8899999999</v>
      </c>
      <c r="I28" s="12" cm="1">
        <f t="array" ref="I28">SUM(OSRRefD20x_5)</f>
        <v>635803.43999999971</v>
      </c>
      <c r="J28" s="12" cm="1">
        <f t="array" ref="J28">SUM(OSRRefD20x_6)</f>
        <v>521590.43000000005</v>
      </c>
      <c r="K28" s="12" cm="1">
        <f t="array" ref="K28">SUM(OSRRefD20x_7)</f>
        <v>731096.4800000001</v>
      </c>
      <c r="L28" s="12" cm="1">
        <f t="array" ref="L28">SUM(OSRRefD20x_8)</f>
        <v>763908.55000000028</v>
      </c>
      <c r="M28" s="12" cm="1">
        <f t="array" ref="M28">SUM(OSRRefD20x_9)</f>
        <v>863888.94</v>
      </c>
      <c r="N28" s="12" cm="1">
        <f t="array" ref="N28">SUM(OSRRefE20x_0)</f>
        <v>624908.43364127865</v>
      </c>
      <c r="O28" s="12" cm="1">
        <f t="array" ref="O28">SUM(OSRRefE20x_1)</f>
        <v>440709.70111112983</v>
      </c>
      <c r="Q28" s="12" cm="1">
        <f t="array" ref="Q28">SUM(OSRRefG20x)</f>
        <v>7719487.9847524082</v>
      </c>
    </row>
    <row r="29" spans="1:17" s="42" customFormat="1" ht="15" customHeight="1" collapsed="1" x14ac:dyDescent="0.3">
      <c r="A29" s="34"/>
      <c r="B29" s="15" t="str">
        <f>CONCATENATE("     ","*Benefits                                         ")</f>
        <v xml:space="preserve">     *Benefits                                         </v>
      </c>
      <c r="C29" s="15"/>
      <c r="D29" s="2">
        <f>SUM(OSRRefD21_0x_0)</f>
        <v>93134.58</v>
      </c>
      <c r="E29" s="2">
        <f>SUM(OSRRefD21_0x_1)</f>
        <v>103884.97</v>
      </c>
      <c r="F29" s="2">
        <f>SUM(OSRRefD21_0x_2)</f>
        <v>115647.20999999999</v>
      </c>
      <c r="G29" s="2">
        <f>SUM(OSRRefD21_0x_3)</f>
        <v>142505.12</v>
      </c>
      <c r="H29" s="2">
        <f>SUM(OSRRefD21_0x_4)</f>
        <v>117729.47000000002</v>
      </c>
      <c r="I29" s="2">
        <f>SUM(OSRRefD21_0x_5)</f>
        <v>115967.54</v>
      </c>
      <c r="J29" s="2">
        <f>SUM(OSRRefD21_0x_6)</f>
        <v>127417.18000000001</v>
      </c>
      <c r="K29" s="2">
        <f>SUM(OSRRefD21_0x_7)</f>
        <v>115911.3</v>
      </c>
      <c r="L29" s="2">
        <f>SUM(OSRRefD21_0x_8)</f>
        <v>117341.59000000003</v>
      </c>
      <c r="M29" s="2">
        <f>SUM(OSRRefD21_0x_9)</f>
        <v>131911.00999999998</v>
      </c>
      <c r="N29" s="2">
        <f>SUM(OSRRefE21_0x_0)</f>
        <v>132753.21966743263</v>
      </c>
      <c r="O29" s="2">
        <f>SUM(OSRRefE21_0x_1)</f>
        <v>125405.31411728368</v>
      </c>
      <c r="Q29" s="3">
        <f>SUM(OSRRefD20_0x)+IFERROR(SUM(OSRRefE20_0x),0)</f>
        <v>1439608.5037847166</v>
      </c>
    </row>
    <row r="30" spans="1:17" s="42" customFormat="1" ht="15" hidden="1" customHeight="1" outlineLevel="1" x14ac:dyDescent="0.3">
      <c r="A30" s="34"/>
      <c r="B30" s="11" t="str">
        <f>CONCATENATE("          ","6111"," - ","F.I.C.A.")</f>
        <v xml:space="preserve">          6111 - F.I.C.A.</v>
      </c>
      <c r="C30" s="15"/>
      <c r="D30" s="3">
        <v>9828.1299999999992</v>
      </c>
      <c r="E30" s="3">
        <v>13854.91</v>
      </c>
      <c r="F30" s="3">
        <v>18130.73</v>
      </c>
      <c r="G30" s="3">
        <v>25526.19</v>
      </c>
      <c r="H30" s="3">
        <v>16259.55</v>
      </c>
      <c r="I30" s="3">
        <v>15583.16</v>
      </c>
      <c r="J30" s="3">
        <v>12695.37</v>
      </c>
      <c r="K30" s="3">
        <v>16989.34</v>
      </c>
      <c r="L30" s="3">
        <v>17729.97</v>
      </c>
      <c r="M30" s="3">
        <v>24355.09</v>
      </c>
      <c r="N30" s="3">
        <v>14683.747996894201</v>
      </c>
      <c r="O30" s="3">
        <v>13608.036010822199</v>
      </c>
      <c r="P30" s="10"/>
      <c r="Q30" s="3">
        <f>SUM(OSRRefD21_0_0x)+IFERROR(SUM(OSRRefE21_0_0x),0)</f>
        <v>199244.2240077164</v>
      </c>
    </row>
    <row r="31" spans="1:17" s="42" customFormat="1" ht="15" hidden="1" customHeight="1" outlineLevel="1" x14ac:dyDescent="0.3">
      <c r="A31" s="34"/>
      <c r="B31" s="11" t="str">
        <f>CONCATENATE("          ","6112"," - ","COMPENSATION INSURANCE")</f>
        <v xml:space="preserve">          6112 - COMPENSATION INSURANCE</v>
      </c>
      <c r="C31" s="15"/>
      <c r="D31" s="3">
        <v>4219.59</v>
      </c>
      <c r="E31" s="3">
        <v>6025.09</v>
      </c>
      <c r="F31" s="3">
        <v>9879.5499999999993</v>
      </c>
      <c r="G31" s="3">
        <v>15861.43</v>
      </c>
      <c r="H31" s="3">
        <v>10652.62</v>
      </c>
      <c r="I31" s="3">
        <v>10323.07</v>
      </c>
      <c r="J31" s="3">
        <v>6049.65</v>
      </c>
      <c r="K31" s="3">
        <v>11608.16</v>
      </c>
      <c r="L31" s="3">
        <v>13540.5</v>
      </c>
      <c r="M31" s="3">
        <v>11031.17</v>
      </c>
      <c r="N31" s="3">
        <v>11472.455750159201</v>
      </c>
      <c r="O31" s="3">
        <v>7465.1828234492305</v>
      </c>
      <c r="P31" s="10"/>
      <c r="Q31" s="3">
        <f>SUM(OSRRefD21_0_1x)+IFERROR(SUM(OSRRefE21_0_1x),0)</f>
        <v>118128.46857360844</v>
      </c>
    </row>
    <row r="32" spans="1:17" s="42" customFormat="1" ht="15" hidden="1" customHeight="1" outlineLevel="1" x14ac:dyDescent="0.3">
      <c r="A32" s="34"/>
      <c r="B32" s="11" t="str">
        <f>CONCATENATE("          ","6113"," - ","GROUP INSURANCE")</f>
        <v xml:space="preserve">          6113 - GROUP INSURANCE</v>
      </c>
      <c r="C32" s="15"/>
      <c r="D32" s="3">
        <v>52698.36</v>
      </c>
      <c r="E32" s="3">
        <v>54726.42</v>
      </c>
      <c r="F32" s="3">
        <v>57185.05</v>
      </c>
      <c r="G32" s="3">
        <v>54891.82</v>
      </c>
      <c r="H32" s="3">
        <v>57555.43</v>
      </c>
      <c r="I32" s="3">
        <v>56887.35</v>
      </c>
      <c r="J32" s="3">
        <v>53812.43</v>
      </c>
      <c r="K32" s="3">
        <v>55061.599999999999</v>
      </c>
      <c r="L32" s="3">
        <v>52740.55</v>
      </c>
      <c r="M32" s="3">
        <v>51599.519999999997</v>
      </c>
      <c r="N32" s="3">
        <v>76463.415384615393</v>
      </c>
      <c r="O32" s="3">
        <v>77384.738461538407</v>
      </c>
      <c r="P32" s="10"/>
      <c r="Q32" s="3">
        <f>SUM(OSRRefD21_0_2x)+IFERROR(SUM(OSRRefE21_0_2x),0)</f>
        <v>701006.68384615378</v>
      </c>
    </row>
    <row r="33" spans="1:17" s="42" customFormat="1" ht="15" hidden="1" customHeight="1" outlineLevel="1" x14ac:dyDescent="0.3">
      <c r="A33" s="34"/>
      <c r="B33" s="11" t="str">
        <f>CONCATENATE("          ","6114"," - ","STATE UNEMPLOYMENT INSURANCE")</f>
        <v xml:space="preserve">          6114 - STATE UNEMPLOYMENT INSURANCE</v>
      </c>
      <c r="C33" s="15"/>
      <c r="D33" s="3">
        <v>333.52</v>
      </c>
      <c r="E33" s="3">
        <v>464.13</v>
      </c>
      <c r="F33" s="3">
        <v>743.81</v>
      </c>
      <c r="G33" s="3">
        <v>1189.1199999999999</v>
      </c>
      <c r="H33" s="3">
        <v>799.48</v>
      </c>
      <c r="I33" s="3">
        <v>775.43</v>
      </c>
      <c r="J33" s="3">
        <v>467.03</v>
      </c>
      <c r="K33" s="3">
        <v>868.51</v>
      </c>
      <c r="L33" s="3">
        <v>1008.02</v>
      </c>
      <c r="M33" s="3">
        <v>826.79</v>
      </c>
      <c r="N33" s="3">
        <v>635.67696768692304</v>
      </c>
      <c r="O33" s="3">
        <v>413.638098396923</v>
      </c>
      <c r="P33" s="10"/>
      <c r="Q33" s="3">
        <f>SUM(OSRRefD21_0_3x)+IFERROR(SUM(OSRRefE21_0_3x),0)</f>
        <v>8525.1550660838457</v>
      </c>
    </row>
    <row r="34" spans="1:17" s="42" customFormat="1" ht="15" hidden="1" customHeight="1" outlineLevel="1" x14ac:dyDescent="0.3">
      <c r="A34" s="34"/>
      <c r="B34" s="11" t="str">
        <f>CONCATENATE("          ","6115"," - ","P.E.R.S.")</f>
        <v xml:space="preserve">          6115 - P.E.R.S.</v>
      </c>
      <c r="C34" s="15"/>
      <c r="D34" s="3">
        <v>6526.56</v>
      </c>
      <c r="E34" s="3">
        <v>6888.55</v>
      </c>
      <c r="F34" s="3">
        <v>7282.93</v>
      </c>
      <c r="G34" s="3">
        <v>10630.59</v>
      </c>
      <c r="H34" s="3">
        <v>7341.91</v>
      </c>
      <c r="I34" s="3">
        <v>7758.72</v>
      </c>
      <c r="J34" s="3">
        <v>7282.68</v>
      </c>
      <c r="K34" s="3">
        <v>7072.52</v>
      </c>
      <c r="L34" s="3">
        <v>7151.07</v>
      </c>
      <c r="M34" s="3">
        <v>9806.4599999999991</v>
      </c>
      <c r="N34" s="3">
        <v>6656.33067076923</v>
      </c>
      <c r="O34" s="3">
        <v>6656.33067076923</v>
      </c>
      <c r="P34" s="10"/>
      <c r="Q34" s="3">
        <f>SUM(OSRRefD21_0_4x)+IFERROR(SUM(OSRRefE21_0_4x),0)</f>
        <v>91054.651341538454</v>
      </c>
    </row>
    <row r="35" spans="1:17" s="42" customFormat="1" ht="15" hidden="1" customHeight="1" outlineLevel="1" x14ac:dyDescent="0.3">
      <c r="A35" s="34"/>
      <c r="B35" s="11" t="str">
        <f>CONCATENATE("          ","6116"," - ","EDUCATIONAL BENEFITS")</f>
        <v xml:space="preserve">          6116 - EDUCATIONAL BENEFITS</v>
      </c>
      <c r="C35" s="15"/>
      <c r="D35" s="3"/>
      <c r="E35" s="3"/>
      <c r="F35" s="3"/>
      <c r="G35" s="3"/>
      <c r="H35" s="3"/>
      <c r="I35" s="3"/>
      <c r="J35" s="3"/>
      <c r="K35" s="3"/>
      <c r="L35" s="3"/>
      <c r="M35" s="3"/>
      <c r="N35" s="3">
        <v>0</v>
      </c>
      <c r="O35" s="3">
        <v>0</v>
      </c>
      <c r="P35" s="10"/>
      <c r="Q35" s="3">
        <f>SUM(OSRRefD21_0_5x)+IFERROR(SUM(OSRRefE21_0_5x),0)</f>
        <v>0</v>
      </c>
    </row>
    <row r="36" spans="1:17" s="42" customFormat="1" ht="15" hidden="1" customHeight="1" outlineLevel="1" x14ac:dyDescent="0.3">
      <c r="A36" s="34"/>
      <c r="B36" s="11" t="str">
        <f>CONCATENATE("          ","6117"," - ","RETIREMENT STAFF HOURLY")</f>
        <v xml:space="preserve">          6117 - RETIREMENT STAFF HOURLY</v>
      </c>
      <c r="C36" s="15"/>
      <c r="D36" s="3">
        <v>1281.6400000000001</v>
      </c>
      <c r="E36" s="3">
        <v>2188.98</v>
      </c>
      <c r="F36" s="3">
        <v>1146.68</v>
      </c>
      <c r="G36" s="3">
        <v>1868.11</v>
      </c>
      <c r="H36" s="3">
        <v>1804.57</v>
      </c>
      <c r="I36" s="3">
        <v>1654.25</v>
      </c>
      <c r="J36" s="3">
        <v>2041.18</v>
      </c>
      <c r="K36" s="3">
        <v>1870.09</v>
      </c>
      <c r="L36" s="3">
        <v>1704.21</v>
      </c>
      <c r="M36" s="3">
        <v>1515.22</v>
      </c>
      <c r="N36" s="3"/>
      <c r="O36" s="3"/>
      <c r="P36" s="10"/>
      <c r="Q36" s="3">
        <f>SUM(OSRRefD21_0_6x)+IFERROR(SUM(OSRRefE21_0_6x),0)</f>
        <v>17074.93</v>
      </c>
    </row>
    <row r="37" spans="1:17" s="42" customFormat="1" ht="15" hidden="1" customHeight="1" outlineLevel="1" x14ac:dyDescent="0.3">
      <c r="A37" s="34"/>
      <c r="B37" s="11" t="str">
        <f>CONCATENATE("          ","6118"," - ","VACATION")</f>
        <v xml:space="preserve">          6118 - VACATION</v>
      </c>
      <c r="C37" s="15"/>
      <c r="D37" s="3">
        <v>8985.02</v>
      </c>
      <c r="E37" s="3">
        <v>9698.2900000000009</v>
      </c>
      <c r="F37" s="3">
        <v>10120.81</v>
      </c>
      <c r="G37" s="3">
        <v>14584.64</v>
      </c>
      <c r="H37" s="3">
        <v>10002.56</v>
      </c>
      <c r="I37" s="3">
        <v>10443.58</v>
      </c>
      <c r="J37" s="3">
        <v>18800.02</v>
      </c>
      <c r="K37" s="3">
        <v>9963.57</v>
      </c>
      <c r="L37" s="3">
        <v>9883.7999999999993</v>
      </c>
      <c r="M37" s="3">
        <v>15047.48</v>
      </c>
      <c r="N37" s="3">
        <v>8133.3911741538404</v>
      </c>
      <c r="O37" s="3">
        <v>8184.5489021538397</v>
      </c>
      <c r="P37" s="10"/>
      <c r="Q37" s="3">
        <f>SUM(OSRRefD21_0_7x)+IFERROR(SUM(OSRRefE21_0_7x),0)</f>
        <v>133847.71007630767</v>
      </c>
    </row>
    <row r="38" spans="1:17" s="42" customFormat="1" ht="15" hidden="1" customHeight="1" outlineLevel="1" x14ac:dyDescent="0.3">
      <c r="A38" s="34"/>
      <c r="B38" s="11" t="str">
        <f>CONCATENATE("          ","6119"," - ","SICK LEAVE")</f>
        <v xml:space="preserve">          6119 - SICK LEAVE</v>
      </c>
      <c r="C38" s="15"/>
      <c r="D38" s="3">
        <v>5847.59</v>
      </c>
      <c r="E38" s="3">
        <v>6415.36</v>
      </c>
      <c r="F38" s="3">
        <v>7033.59</v>
      </c>
      <c r="G38" s="3">
        <v>10591.47</v>
      </c>
      <c r="H38" s="3">
        <v>7527.43</v>
      </c>
      <c r="I38" s="3">
        <v>7680.78</v>
      </c>
      <c r="J38" s="3">
        <v>22508.61</v>
      </c>
      <c r="K38" s="3">
        <v>7342.29</v>
      </c>
      <c r="L38" s="3">
        <v>7534.31</v>
      </c>
      <c r="M38" s="3">
        <v>11874.59</v>
      </c>
      <c r="N38" s="3">
        <v>8547.2017231538393</v>
      </c>
      <c r="O38" s="3">
        <v>5547.8391501538399</v>
      </c>
      <c r="P38" s="10"/>
      <c r="Q38" s="3">
        <f>SUM(OSRRefD21_0_8x)+IFERROR(SUM(OSRRefE21_0_8x),0)</f>
        <v>108451.06087330767</v>
      </c>
    </row>
    <row r="39" spans="1:17" s="42" customFormat="1" ht="15" hidden="1" customHeight="1" outlineLevel="1" x14ac:dyDescent="0.3">
      <c r="A39" s="34"/>
      <c r="B39" s="11" t="str">
        <f>CONCATENATE("          ","6156"," - ","EMPLOYEE MEALS")</f>
        <v xml:space="preserve">          6156 - EMPLOYEE MEALS</v>
      </c>
      <c r="C39" s="15"/>
      <c r="D39" s="3">
        <v>3414.17</v>
      </c>
      <c r="E39" s="3">
        <v>3623.24</v>
      </c>
      <c r="F39" s="3">
        <v>4124.0600000000004</v>
      </c>
      <c r="G39" s="3">
        <v>7361.75</v>
      </c>
      <c r="H39" s="3">
        <v>5785.92</v>
      </c>
      <c r="I39" s="3">
        <v>4861.2</v>
      </c>
      <c r="J39" s="3">
        <v>3760.21</v>
      </c>
      <c r="K39" s="3">
        <v>5135.22</v>
      </c>
      <c r="L39" s="3">
        <v>6049.16</v>
      </c>
      <c r="M39" s="3">
        <v>5854.69</v>
      </c>
      <c r="N39" s="3">
        <v>6161</v>
      </c>
      <c r="O39" s="3">
        <v>6145</v>
      </c>
      <c r="P39" s="10"/>
      <c r="Q39" s="3">
        <f>SUM(OSRRefD21_0_9x)+IFERROR(SUM(OSRRefE21_0_9x),0)</f>
        <v>62275.62000000001</v>
      </c>
    </row>
    <row r="40" spans="1:17" s="42" customFormat="1" ht="15" customHeight="1" collapsed="1" x14ac:dyDescent="0.3">
      <c r="A40" s="34"/>
      <c r="B40" s="15" t="str">
        <f>CONCATENATE("     ","*Payroll                                          ")</f>
        <v xml:space="preserve">     *Payroll                                          </v>
      </c>
      <c r="C40" s="15"/>
      <c r="D40" s="2">
        <f>SUM(OSRRefD21_1x_0)</f>
        <v>152798.49</v>
      </c>
      <c r="E40" s="2">
        <f>SUM(OSRRefD21_1x_1)</f>
        <v>200137.06</v>
      </c>
      <c r="F40" s="2">
        <f>SUM(OSRRefD21_1x_2)</f>
        <v>295334.95</v>
      </c>
      <c r="G40" s="2">
        <f>SUM(OSRRefD21_1x_3)</f>
        <v>469772.13999999996</v>
      </c>
      <c r="H40" s="2">
        <f>SUM(OSRRefD21_1x_4)</f>
        <v>299283.51</v>
      </c>
      <c r="I40" s="2">
        <f>SUM(OSRRefD21_1x_5)</f>
        <v>308186.99999999994</v>
      </c>
      <c r="J40" s="2">
        <f>SUM(OSRRefD21_1x_6)</f>
        <v>235141.97999999995</v>
      </c>
      <c r="K40" s="2">
        <f>SUM(OSRRefD21_1x_7)</f>
        <v>352180.46</v>
      </c>
      <c r="L40" s="2">
        <f>SUM(OSRRefD21_1x_8)</f>
        <v>385919.92</v>
      </c>
      <c r="M40" s="2">
        <f>SUM(OSRRefD21_1x_9)</f>
        <v>411498.98</v>
      </c>
      <c r="N40" s="2">
        <f>SUM(OSRRefE21_1x_0)</f>
        <v>286898.21397384605</v>
      </c>
      <c r="O40" s="2">
        <f>SUM(OSRRefE21_1x_1)</f>
        <v>183263.38699384613</v>
      </c>
      <c r="Q40" s="3">
        <f>SUM(OSRRefD20_1x)+IFERROR(SUM(OSRRefE20_1x),0)</f>
        <v>3580416.090967692</v>
      </c>
    </row>
    <row r="41" spans="1:17" s="42" customFormat="1" ht="15" hidden="1" customHeight="1" outlineLevel="1" x14ac:dyDescent="0.3">
      <c r="A41" s="34"/>
      <c r="B41" s="11" t="str">
        <f>CONCATENATE("          ","6001"," - ","ADMINISTRATIVE SALARIES")</f>
        <v xml:space="preserve">          6001 - ADMINISTRATIVE SALARIES</v>
      </c>
      <c r="C41" s="15"/>
      <c r="D41" s="3">
        <v>25035.82</v>
      </c>
      <c r="E41" s="3">
        <v>17814.96</v>
      </c>
      <c r="F41" s="3">
        <v>18131.38</v>
      </c>
      <c r="G41" s="3">
        <v>21715.45</v>
      </c>
      <c r="H41" s="3">
        <v>17129.88</v>
      </c>
      <c r="I41" s="3">
        <v>19788.48</v>
      </c>
      <c r="J41" s="3">
        <v>24173.39</v>
      </c>
      <c r="K41" s="3">
        <v>20254.38</v>
      </c>
      <c r="L41" s="3">
        <v>20829.98</v>
      </c>
      <c r="M41" s="3">
        <v>22337.87</v>
      </c>
      <c r="N41" s="3">
        <v>10268.307692307701</v>
      </c>
      <c r="O41" s="3">
        <v>10268.307692307701</v>
      </c>
      <c r="P41" s="10"/>
      <c r="Q41" s="3">
        <f>SUM(OSRRefD21_1_0x)+IFERROR(SUM(OSRRefE21_1_0x),0)</f>
        <v>227748.2053846154</v>
      </c>
    </row>
    <row r="42" spans="1:17" s="42" customFormat="1" ht="15" hidden="1" customHeight="1" outlineLevel="1" x14ac:dyDescent="0.3">
      <c r="A42" s="34"/>
      <c r="B42" s="11" t="str">
        <f>CONCATENATE("          ","6002"," - ","STAFF SALARIES")</f>
        <v xml:space="preserve">          6002 - STAFF SALARIES</v>
      </c>
      <c r="C42" s="15"/>
      <c r="D42" s="3">
        <v>58847.46</v>
      </c>
      <c r="E42" s="3">
        <v>52220.07</v>
      </c>
      <c r="F42" s="3">
        <v>61046.720000000001</v>
      </c>
      <c r="G42" s="3">
        <v>72337.210000000006</v>
      </c>
      <c r="H42" s="3">
        <v>57111.1</v>
      </c>
      <c r="I42" s="3">
        <v>58135.25</v>
      </c>
      <c r="J42" s="3">
        <v>63640.67</v>
      </c>
      <c r="K42" s="3">
        <v>54595.5</v>
      </c>
      <c r="L42" s="3">
        <v>61719.6</v>
      </c>
      <c r="M42" s="3">
        <v>64469.78</v>
      </c>
      <c r="N42" s="3">
        <v>62017.5431615384</v>
      </c>
      <c r="O42" s="3">
        <v>62017.5431615384</v>
      </c>
      <c r="P42" s="10"/>
      <c r="Q42" s="3">
        <f>SUM(OSRRefD21_1_1x)+IFERROR(SUM(OSRRefE21_1_1x),0)</f>
        <v>728158.44632307673</v>
      </c>
    </row>
    <row r="43" spans="1:17" s="42" customFormat="1" ht="15" hidden="1" customHeight="1" outlineLevel="1" x14ac:dyDescent="0.3">
      <c r="A43" s="34"/>
      <c r="B43" s="11" t="str">
        <f>CONCATENATE("          ","6003"," - ","STAFF HOURLY-9 MONTH")</f>
        <v xml:space="preserve">          6003 - STAFF HOURLY-9 MONTH</v>
      </c>
      <c r="C43" s="15"/>
      <c r="D43" s="3"/>
      <c r="E43" s="3"/>
      <c r="F43" s="3"/>
      <c r="G43" s="3"/>
      <c r="H43" s="3"/>
      <c r="I43" s="3"/>
      <c r="J43" s="3"/>
      <c r="K43" s="3"/>
      <c r="L43" s="3"/>
      <c r="M43" s="3"/>
      <c r="N43" s="3">
        <v>0</v>
      </c>
      <c r="O43" s="3">
        <v>0</v>
      </c>
      <c r="P43" s="10"/>
      <c r="Q43" s="3">
        <f>SUM(OSRRefD21_1_2x)+IFERROR(SUM(OSRRefE21_1_2x),0)</f>
        <v>0</v>
      </c>
    </row>
    <row r="44" spans="1:17" s="42" customFormat="1" ht="15" hidden="1" customHeight="1" outlineLevel="1" x14ac:dyDescent="0.3">
      <c r="A44" s="34"/>
      <c r="B44" s="11" t="str">
        <f>CONCATENATE("          ","6004"," - ","STAFF HOURLY")</f>
        <v xml:space="preserve">          6004 - STAFF HOURLY</v>
      </c>
      <c r="C44" s="15"/>
      <c r="D44" s="3">
        <v>46196.15</v>
      </c>
      <c r="E44" s="3">
        <v>56820.800000000003</v>
      </c>
      <c r="F44" s="3">
        <v>100733.54</v>
      </c>
      <c r="G44" s="3">
        <v>144397.54999999999</v>
      </c>
      <c r="H44" s="3">
        <v>92332.62</v>
      </c>
      <c r="I44" s="3">
        <v>76820.289999999994</v>
      </c>
      <c r="J44" s="3">
        <v>61086.71</v>
      </c>
      <c r="K44" s="3">
        <v>114347.52</v>
      </c>
      <c r="L44" s="3">
        <v>71880.73</v>
      </c>
      <c r="M44" s="3">
        <v>127503.52</v>
      </c>
      <c r="N44" s="3">
        <v>104521.57832</v>
      </c>
      <c r="O44" s="3">
        <v>92319.073040000003</v>
      </c>
      <c r="P44" s="10"/>
      <c r="Q44" s="3">
        <f>SUM(OSRRefD21_1_3x)+IFERROR(SUM(OSRRefE21_1_3x),0)</f>
        <v>1088960.08136</v>
      </c>
    </row>
    <row r="45" spans="1:17" s="42" customFormat="1" ht="15" hidden="1" customHeight="1" outlineLevel="1" x14ac:dyDescent="0.3">
      <c r="A45" s="34"/>
      <c r="B45" s="11" t="str">
        <f>CONCATENATE("          ","6005"," - ","TEMPORARY WAGES-HOURLY")</f>
        <v xml:space="preserve">          6005 - TEMPORARY WAGES-HOURLY</v>
      </c>
      <c r="C45" s="15"/>
      <c r="D45" s="3">
        <v>7979.27</v>
      </c>
      <c r="E45" s="3">
        <v>19916.96</v>
      </c>
      <c r="F45" s="3">
        <v>51606.39</v>
      </c>
      <c r="G45" s="3">
        <v>142550.01999999999</v>
      </c>
      <c r="H45" s="3">
        <v>33238.57</v>
      </c>
      <c r="I45" s="3">
        <v>56138.93</v>
      </c>
      <c r="J45" s="3">
        <v>20998.52</v>
      </c>
      <c r="K45" s="3">
        <v>54284.05</v>
      </c>
      <c r="L45" s="3">
        <v>40053.61</v>
      </c>
      <c r="M45" s="3">
        <v>61801.19</v>
      </c>
      <c r="N45" s="3">
        <v>23287.095549999998</v>
      </c>
      <c r="O45" s="3">
        <v>16133.2631</v>
      </c>
      <c r="P45" s="10"/>
      <c r="Q45" s="3">
        <f>SUM(OSRRefD21_1_4x)+IFERROR(SUM(OSRRefE21_1_4x),0)</f>
        <v>527987.86864999996</v>
      </c>
    </row>
    <row r="46" spans="1:17" s="42" customFormat="1" ht="15" hidden="1" customHeight="1" outlineLevel="1" x14ac:dyDescent="0.3">
      <c r="A46" s="34"/>
      <c r="B46" s="11" t="str">
        <f>CONCATENATE("          ","6006"," - ","TEMPORARY PART TIME")</f>
        <v xml:space="preserve">          6006 - TEMPORARY PART TIME</v>
      </c>
      <c r="C46" s="15"/>
      <c r="D46" s="3"/>
      <c r="E46" s="3"/>
      <c r="F46" s="3"/>
      <c r="G46" s="3"/>
      <c r="H46" s="3"/>
      <c r="I46" s="3"/>
      <c r="J46" s="3"/>
      <c r="K46" s="3">
        <v>644.6</v>
      </c>
      <c r="L46" s="3">
        <v>2919.2</v>
      </c>
      <c r="M46" s="3">
        <v>3639.92</v>
      </c>
      <c r="N46" s="3">
        <v>0</v>
      </c>
      <c r="O46" s="3">
        <v>0</v>
      </c>
      <c r="P46" s="10"/>
      <c r="Q46" s="3">
        <f>SUM(OSRRefD21_1_5x)+IFERROR(SUM(OSRRefE21_1_5x),0)</f>
        <v>7203.7199999999993</v>
      </c>
    </row>
    <row r="47" spans="1:17" s="42" customFormat="1" ht="15" hidden="1" customHeight="1" outlineLevel="1" x14ac:dyDescent="0.3">
      <c r="A47" s="34"/>
      <c r="B47" s="11" t="str">
        <f>CONCATENATE("          ","6007"," - ","STUDENT HOURLY")</f>
        <v xml:space="preserve">          6007 - STUDENT HOURLY</v>
      </c>
      <c r="C47" s="15"/>
      <c r="D47" s="3">
        <v>14739.79</v>
      </c>
      <c r="E47" s="3">
        <v>51734.81</v>
      </c>
      <c r="F47" s="3">
        <v>60858.720000000001</v>
      </c>
      <c r="G47" s="3">
        <v>75104.69</v>
      </c>
      <c r="H47" s="3">
        <v>73348.25</v>
      </c>
      <c r="I47" s="3">
        <v>66282.009999999995</v>
      </c>
      <c r="J47" s="3">
        <v>56501.36</v>
      </c>
      <c r="K47" s="3">
        <v>56974.9</v>
      </c>
      <c r="L47" s="3">
        <v>153343</v>
      </c>
      <c r="M47" s="3">
        <v>72375.240000000005</v>
      </c>
      <c r="N47" s="3">
        <v>1895.0555999999999</v>
      </c>
      <c r="O47" s="3">
        <v>0</v>
      </c>
      <c r="P47" s="10"/>
      <c r="Q47" s="3">
        <f>SUM(OSRRefD21_1_6x)+IFERROR(SUM(OSRRefE21_1_6x),0)</f>
        <v>683157.82559999998</v>
      </c>
    </row>
    <row r="48" spans="1:17" s="42" customFormat="1" ht="15" hidden="1" customHeight="1" outlineLevel="1" x14ac:dyDescent="0.3">
      <c r="A48" s="34"/>
      <c r="B48" s="11" t="str">
        <f>CONCATENATE("          ","6008"," - ","STUDENT HOURLY-FICA EXEMPT")</f>
        <v xml:space="preserve">          6008 - STUDENT HOURLY-FICA EXEMPT</v>
      </c>
      <c r="C48" s="15"/>
      <c r="D48" s="3"/>
      <c r="E48" s="3">
        <v>1629.46</v>
      </c>
      <c r="F48" s="3">
        <v>2958.2</v>
      </c>
      <c r="G48" s="3">
        <v>13667.22</v>
      </c>
      <c r="H48" s="3">
        <v>26123.09</v>
      </c>
      <c r="I48" s="3">
        <v>31022.04</v>
      </c>
      <c r="J48" s="3">
        <v>8741.33</v>
      </c>
      <c r="K48" s="3">
        <v>51079.51</v>
      </c>
      <c r="L48" s="3">
        <v>35173.800000000003</v>
      </c>
      <c r="M48" s="3">
        <v>59371.46</v>
      </c>
      <c r="N48" s="3">
        <v>84908.633650000003</v>
      </c>
      <c r="O48" s="3">
        <v>2525.1999999999998</v>
      </c>
      <c r="P48" s="10"/>
      <c r="Q48" s="3">
        <f>SUM(OSRRefD21_1_7x)+IFERROR(SUM(OSRRefE21_1_7x),0)</f>
        <v>317199.94365000003</v>
      </c>
    </row>
    <row r="49" spans="1:17" s="42" customFormat="1" ht="15" hidden="1" customHeight="1" outlineLevel="1" x14ac:dyDescent="0.3">
      <c r="A49" s="34"/>
      <c r="B49" s="11" t="str">
        <f>CONCATENATE("          ","6009"," - ","TEMPORARY-SEASONAL")</f>
        <v xml:space="preserve">          6009 - TEMPORARY-SEASONAL</v>
      </c>
      <c r="C49" s="15"/>
      <c r="D49" s="3"/>
      <c r="E49" s="3"/>
      <c r="F49" s="3"/>
      <c r="G49" s="3"/>
      <c r="H49" s="3"/>
      <c r="I49" s="3"/>
      <c r="J49" s="3"/>
      <c r="K49" s="3"/>
      <c r="L49" s="3"/>
      <c r="M49" s="3"/>
      <c r="N49" s="3">
        <v>0</v>
      </c>
      <c r="O49" s="3">
        <v>0</v>
      </c>
      <c r="P49" s="10"/>
      <c r="Q49" s="3">
        <f>SUM(OSRRefD21_1_8x)+IFERROR(SUM(OSRRefE21_1_8x),0)</f>
        <v>0</v>
      </c>
    </row>
    <row r="50" spans="1:17" s="42" customFormat="1" ht="15" hidden="1" customHeight="1" outlineLevel="1" x14ac:dyDescent="0.3">
      <c r="A50" s="34"/>
      <c r="B50" s="11" t="str">
        <f>CONCATENATE("          ","6010"," - ","GRATUITY")</f>
        <v xml:space="preserve">          6010 - GRATUITY</v>
      </c>
      <c r="C50" s="15"/>
      <c r="D50" s="3"/>
      <c r="E50" s="3"/>
      <c r="F50" s="3"/>
      <c r="G50" s="3"/>
      <c r="H50" s="3"/>
      <c r="I50" s="3"/>
      <c r="J50" s="3"/>
      <c r="K50" s="3"/>
      <c r="L50" s="3"/>
      <c r="M50" s="3"/>
      <c r="N50" s="3">
        <v>0</v>
      </c>
      <c r="O50" s="3">
        <v>0</v>
      </c>
      <c r="P50" s="10"/>
      <c r="Q50" s="3">
        <f>SUM(OSRRefD21_1_9x)+IFERROR(SUM(OSRRefE21_1_9x),0)</f>
        <v>0</v>
      </c>
    </row>
    <row r="51" spans="1:17" s="42" customFormat="1" ht="15" customHeight="1" collapsed="1" x14ac:dyDescent="0.3">
      <c r="A51" s="34"/>
      <c r="B51" s="15" t="str">
        <f>CONCATENATE("     ","Advertising/Promo                                 ")</f>
        <v xml:space="preserve">     Advertising/Promo                                 </v>
      </c>
      <c r="C51" s="15"/>
      <c r="D51" s="2">
        <f>SUM(OSRRefD21_2x_0)</f>
        <v>545.73</v>
      </c>
      <c r="E51" s="2">
        <f>SUM(OSRRefD21_2x_1)</f>
        <v>2018.7</v>
      </c>
      <c r="F51" s="2">
        <f>SUM(OSRRefD21_2x_2)</f>
        <v>933.53</v>
      </c>
      <c r="G51" s="2">
        <f>SUM(OSRRefD21_2x_3)</f>
        <v>95.23</v>
      </c>
      <c r="H51" s="2">
        <f>SUM(OSRRefD21_2x_4)</f>
        <v>270.02</v>
      </c>
      <c r="I51" s="2">
        <f>SUM(OSRRefD21_2x_5)</f>
        <v>247.65</v>
      </c>
      <c r="J51" s="2">
        <f>SUM(OSRRefD21_2x_6)</f>
        <v>485.5</v>
      </c>
      <c r="K51" s="2">
        <f>SUM(OSRRefD21_2x_7)</f>
        <v>153.55000000000001</v>
      </c>
      <c r="L51" s="2">
        <f>SUM(OSRRefD21_2x_8)</f>
        <v>418.36</v>
      </c>
      <c r="M51" s="2">
        <f>SUM(OSRRefD21_2x_9)</f>
        <v>811.15</v>
      </c>
      <c r="N51" s="2">
        <f>SUM(OSRRefE21_2x_0)</f>
        <v>1319</v>
      </c>
      <c r="O51" s="2">
        <f>SUM(OSRRefE21_2x_1)</f>
        <v>969</v>
      </c>
      <c r="Q51" s="3">
        <f>SUM(OSRRefD20_2x)+IFERROR(SUM(OSRRefE20_2x),0)</f>
        <v>8267.4199999999983</v>
      </c>
    </row>
    <row r="52" spans="1:17" s="42" customFormat="1" ht="15" hidden="1" customHeight="1" outlineLevel="1" x14ac:dyDescent="0.3">
      <c r="A52" s="34"/>
      <c r="B52" s="11" t="str">
        <f>CONCATENATE("          ","6362"," - ","ADVERTISING EXPENSE")</f>
        <v xml:space="preserve">          6362 - ADVERTISING EXPENSE</v>
      </c>
      <c r="C52" s="15"/>
      <c r="D52" s="3">
        <v>545.73</v>
      </c>
      <c r="E52" s="3">
        <v>2018.7</v>
      </c>
      <c r="F52" s="3">
        <v>933.53</v>
      </c>
      <c r="G52" s="3">
        <v>95.23</v>
      </c>
      <c r="H52" s="3">
        <v>270.02</v>
      </c>
      <c r="I52" s="3">
        <v>247.65</v>
      </c>
      <c r="J52" s="3">
        <v>485.5</v>
      </c>
      <c r="K52" s="3">
        <v>153.55000000000001</v>
      </c>
      <c r="L52" s="3">
        <v>418.36</v>
      </c>
      <c r="M52" s="3">
        <v>811.15</v>
      </c>
      <c r="N52" s="3">
        <v>1319</v>
      </c>
      <c r="O52" s="3">
        <v>969</v>
      </c>
      <c r="P52" s="10"/>
      <c r="Q52" s="3">
        <f>SUM(OSRRefD21_2_0x)+IFERROR(SUM(OSRRefE21_2_0x),0)</f>
        <v>8267.4199999999983</v>
      </c>
    </row>
    <row r="53" spans="1:17" s="42" customFormat="1" ht="15" customHeight="1" collapsed="1" x14ac:dyDescent="0.3">
      <c r="A53" s="34"/>
      <c r="B53" s="15" t="str">
        <f>CONCATENATE("     ","Bad Debts/Over/Short                              ")</f>
        <v xml:space="preserve">     Bad Debts/Over/Short                              </v>
      </c>
      <c r="C53" s="15"/>
      <c r="D53" s="2">
        <f>SUM(OSRRefD21_3x_0)</f>
        <v>-19.02</v>
      </c>
      <c r="E53" s="2">
        <f>SUM(OSRRefD21_3x_1)</f>
        <v>-88.22</v>
      </c>
      <c r="F53" s="2">
        <f>SUM(OSRRefD21_3x_2)</f>
        <v>-7.95</v>
      </c>
      <c r="G53" s="2">
        <f>SUM(OSRRefD21_3x_3)</f>
        <v>-11.81</v>
      </c>
      <c r="H53" s="2">
        <f>SUM(OSRRefD21_3x_4)</f>
        <v>-3.81</v>
      </c>
      <c r="I53" s="2">
        <f>SUM(OSRRefD21_3x_5)</f>
        <v>26</v>
      </c>
      <c r="J53" s="2">
        <f>SUM(OSRRefD21_3x_6)</f>
        <v>16.059999999999999</v>
      </c>
      <c r="K53" s="2">
        <f>SUM(OSRRefD21_3x_7)</f>
        <v>-8.5399999999999991</v>
      </c>
      <c r="L53" s="2">
        <f>SUM(OSRRefD21_3x_8)</f>
        <v>52.57</v>
      </c>
      <c r="M53" s="2">
        <f>SUM(OSRRefD21_3x_9)</f>
        <v>10</v>
      </c>
      <c r="N53" s="2">
        <f>SUM(OSRRefE21_3x_0)</f>
        <v>33</v>
      </c>
      <c r="O53" s="2">
        <f>SUM(OSRRefE21_3x_1)</f>
        <v>25</v>
      </c>
      <c r="Q53" s="3">
        <f>SUM(OSRRefD20_3x)+IFERROR(SUM(OSRRefE20_3x),0)</f>
        <v>23.280000000000008</v>
      </c>
    </row>
    <row r="54" spans="1:17" s="42" customFormat="1" ht="15" hidden="1" customHeight="1" outlineLevel="1" x14ac:dyDescent="0.3">
      <c r="A54" s="34"/>
      <c r="B54" s="11" t="str">
        <f>CONCATENATE("          ","6272"," - ","CASH (OVER/SHORT)")</f>
        <v xml:space="preserve">          6272 - CASH (OVER/SHORT)</v>
      </c>
      <c r="C54" s="15"/>
      <c r="D54" s="3">
        <v>-19.02</v>
      </c>
      <c r="E54" s="3">
        <v>-88.22</v>
      </c>
      <c r="F54" s="3">
        <v>-7.95</v>
      </c>
      <c r="G54" s="3">
        <v>-11.81</v>
      </c>
      <c r="H54" s="3">
        <v>-3.81</v>
      </c>
      <c r="I54" s="3">
        <v>26</v>
      </c>
      <c r="J54" s="3">
        <v>16.059999999999999</v>
      </c>
      <c r="K54" s="3">
        <v>-8.5399999999999991</v>
      </c>
      <c r="L54" s="3">
        <v>52.57</v>
      </c>
      <c r="M54" s="3">
        <v>10</v>
      </c>
      <c r="N54" s="3">
        <v>33</v>
      </c>
      <c r="O54" s="3">
        <v>25</v>
      </c>
      <c r="P54" s="10"/>
      <c r="Q54" s="3">
        <f>SUM(OSRRefD21_3_0x)+IFERROR(SUM(OSRRefE21_3_0x),0)</f>
        <v>23.280000000000008</v>
      </c>
    </row>
    <row r="55" spans="1:17" s="42" customFormat="1" ht="15" customHeight="1" collapsed="1" x14ac:dyDescent="0.3">
      <c r="A55" s="34"/>
      <c r="B55" s="15" t="str">
        <f>CONCATENATE("     ","Bank/card Fees                                    ")</f>
        <v xml:space="preserve">     Bank/card Fees                                    </v>
      </c>
      <c r="C55" s="15"/>
      <c r="D55" s="2">
        <f>SUM(OSRRefD21_4x_0)</f>
        <v>1010.3</v>
      </c>
      <c r="E55" s="2">
        <f>SUM(OSRRefD21_4x_1)</f>
        <v>2463.14</v>
      </c>
      <c r="F55" s="2">
        <f>SUM(OSRRefD21_4x_2)</f>
        <v>4934.43</v>
      </c>
      <c r="G55" s="2">
        <f>SUM(OSRRefD21_4x_3)</f>
        <v>6436.56</v>
      </c>
      <c r="H55" s="2">
        <f>SUM(OSRRefD21_4x_4)</f>
        <v>4474.22</v>
      </c>
      <c r="I55" s="2">
        <f>SUM(OSRRefD21_4x_5)</f>
        <v>4074.9</v>
      </c>
      <c r="J55" s="2">
        <f>SUM(OSRRefD21_4x_6)</f>
        <v>605.08000000000004</v>
      </c>
      <c r="K55" s="2">
        <f>SUM(OSRRefD21_4x_7)</f>
        <v>6456.22</v>
      </c>
      <c r="L55" s="2">
        <f>SUM(OSRRefD21_4x_8)</f>
        <v>9713.94</v>
      </c>
      <c r="M55" s="2">
        <f>SUM(OSRRefD21_4x_9)</f>
        <v>7250.43</v>
      </c>
      <c r="N55" s="2">
        <f>SUM(OSRRefE21_4x_0)</f>
        <v>11727</v>
      </c>
      <c r="O55" s="2">
        <f>SUM(OSRRefE21_4x_1)</f>
        <v>4849</v>
      </c>
      <c r="Q55" s="3">
        <f>SUM(OSRRefD20_4x)+IFERROR(SUM(OSRRefE20_4x),0)</f>
        <v>63995.220000000008</v>
      </c>
    </row>
    <row r="56" spans="1:17" s="42" customFormat="1" ht="15" hidden="1" customHeight="1" outlineLevel="1" x14ac:dyDescent="0.3">
      <c r="A56" s="34"/>
      <c r="B56" s="11" t="str">
        <f>CONCATENATE("          ","6381"," - ","BANK/CREDIT CARD FEES")</f>
        <v xml:space="preserve">          6381 - BANK/CREDIT CARD FEES</v>
      </c>
      <c r="C56" s="15"/>
      <c r="D56" s="3">
        <v>1010.3</v>
      </c>
      <c r="E56" s="3">
        <v>2463.14</v>
      </c>
      <c r="F56" s="3">
        <v>4934.43</v>
      </c>
      <c r="G56" s="3">
        <v>6436.56</v>
      </c>
      <c r="H56" s="3">
        <v>4474.22</v>
      </c>
      <c r="I56" s="3">
        <v>4074.9</v>
      </c>
      <c r="J56" s="3">
        <v>605.08000000000004</v>
      </c>
      <c r="K56" s="3">
        <v>6456.22</v>
      </c>
      <c r="L56" s="3">
        <v>9713.94</v>
      </c>
      <c r="M56" s="3">
        <v>7250.43</v>
      </c>
      <c r="N56" s="3">
        <v>11727</v>
      </c>
      <c r="O56" s="3">
        <v>4849</v>
      </c>
      <c r="P56" s="10"/>
      <c r="Q56" s="3">
        <f>SUM(OSRRefD21_4_0x)+IFERROR(SUM(OSRRefE21_4_0x),0)</f>
        <v>63995.220000000008</v>
      </c>
    </row>
    <row r="57" spans="1:17" s="42" customFormat="1" ht="15" customHeight="1" collapsed="1" x14ac:dyDescent="0.3">
      <c r="A57" s="34"/>
      <c r="B57" s="15" t="str">
        <f>CONCATENATE("     ","Depreciation                                      ")</f>
        <v xml:space="preserve">     Depreciation                                      </v>
      </c>
      <c r="C57" s="15"/>
      <c r="D57" s="2">
        <f>SUM(OSRRefD21_5x_0)</f>
        <v>33586.15</v>
      </c>
      <c r="E57" s="2">
        <f>SUM(OSRRefD21_5x_1)</f>
        <v>33586.15</v>
      </c>
      <c r="F57" s="2">
        <f>SUM(OSRRefD21_5x_2)</f>
        <v>33542.080000000002</v>
      </c>
      <c r="G57" s="2">
        <f>SUM(OSRRefD21_5x_3)</f>
        <v>33542.080000000002</v>
      </c>
      <c r="H57" s="2">
        <f>SUM(OSRRefD21_5x_4)</f>
        <v>33542.080000000002</v>
      </c>
      <c r="I57" s="2">
        <f>SUM(OSRRefD21_5x_5)</f>
        <v>33542.080000000002</v>
      </c>
      <c r="J57" s="2">
        <f>SUM(OSRRefD21_5x_6)</f>
        <v>33542.080000000002</v>
      </c>
      <c r="K57" s="2">
        <f>SUM(OSRRefD21_5x_7)</f>
        <v>33542.080000000002</v>
      </c>
      <c r="L57" s="2">
        <f>SUM(OSRRefD21_5x_8)</f>
        <v>32967.279999999999</v>
      </c>
      <c r="M57" s="2">
        <f>SUM(OSRRefD21_5x_9)</f>
        <v>36837.760000000002</v>
      </c>
      <c r="N57" s="2">
        <f>SUM(OSRRefE21_5x_0)</f>
        <v>32694</v>
      </c>
      <c r="O57" s="2">
        <f>SUM(OSRRefE21_5x_1)</f>
        <v>32694</v>
      </c>
      <c r="Q57" s="3">
        <f>SUM(OSRRefD20_5x)+IFERROR(SUM(OSRRefE20_5x),0)</f>
        <v>403617.82000000007</v>
      </c>
    </row>
    <row r="58" spans="1:17" s="42" customFormat="1" ht="15" hidden="1" customHeight="1" outlineLevel="1" x14ac:dyDescent="0.3">
      <c r="A58" s="34"/>
      <c r="B58" s="11" t="str">
        <f>CONCATENATE("          ","6321"," - ","BUILDING DEPRECIATION")</f>
        <v xml:space="preserve">          6321 - BUILDING DEPRECIATION</v>
      </c>
      <c r="C58" s="15"/>
      <c r="D58" s="3">
        <v>23583.47</v>
      </c>
      <c r="E58" s="3">
        <v>23583.47</v>
      </c>
      <c r="F58" s="3">
        <v>23539.4</v>
      </c>
      <c r="G58" s="3">
        <v>23539.4</v>
      </c>
      <c r="H58" s="3">
        <v>23539.4</v>
      </c>
      <c r="I58" s="3">
        <v>23539.4</v>
      </c>
      <c r="J58" s="3">
        <v>23539.4</v>
      </c>
      <c r="K58" s="3">
        <v>23539.4</v>
      </c>
      <c r="L58" s="3">
        <v>23539.4</v>
      </c>
      <c r="M58" s="3">
        <v>23539.4</v>
      </c>
      <c r="N58" s="3"/>
      <c r="O58" s="3"/>
      <c r="P58" s="10"/>
      <c r="Q58" s="3">
        <f>SUM(OSRRefD21_5_0x)+IFERROR(SUM(OSRRefE21_5_0x),0)</f>
        <v>235482.13999999996</v>
      </c>
    </row>
    <row r="59" spans="1:17" s="42" customFormat="1" ht="15" hidden="1" customHeight="1" outlineLevel="1" x14ac:dyDescent="0.3">
      <c r="A59" s="34"/>
      <c r="B59" s="11" t="str">
        <f>CONCATENATE("          ","6322"," - ","EQUIPMENT DEPRECIATION EXPENSE")</f>
        <v xml:space="preserve">          6322 - EQUIPMENT DEPRECIATION EXPENSE</v>
      </c>
      <c r="C59" s="15"/>
      <c r="D59" s="3">
        <v>10002.68</v>
      </c>
      <c r="E59" s="3">
        <v>10002.68</v>
      </c>
      <c r="F59" s="3">
        <v>10002.68</v>
      </c>
      <c r="G59" s="3">
        <v>10002.68</v>
      </c>
      <c r="H59" s="3">
        <v>10002.68</v>
      </c>
      <c r="I59" s="3">
        <v>10002.68</v>
      </c>
      <c r="J59" s="3">
        <v>10002.68</v>
      </c>
      <c r="K59" s="3">
        <v>10002.68</v>
      </c>
      <c r="L59" s="3">
        <v>9427.8799999999992</v>
      </c>
      <c r="M59" s="3">
        <v>13298.36</v>
      </c>
      <c r="N59" s="3">
        <v>32694</v>
      </c>
      <c r="O59" s="3">
        <v>32694</v>
      </c>
      <c r="P59" s="10"/>
      <c r="Q59" s="3">
        <f>SUM(OSRRefD21_5_1x)+IFERROR(SUM(OSRRefE21_5_1x),0)</f>
        <v>168135.67999999999</v>
      </c>
    </row>
    <row r="60" spans="1:17" s="42" customFormat="1" ht="15" customHeight="1" collapsed="1" x14ac:dyDescent="0.3">
      <c r="A60" s="34"/>
      <c r="B60" s="15" t="str">
        <f>CONCATENATE("     ","Donations                                         ")</f>
        <v xml:space="preserve">     Donations                                         </v>
      </c>
      <c r="C60" s="15"/>
      <c r="D60" s="2">
        <f>SUM(OSRRefD21_6x_0)</f>
        <v>0</v>
      </c>
      <c r="E60" s="2">
        <f>SUM(OSRRefD21_6x_1)</f>
        <v>4261.5600000000004</v>
      </c>
      <c r="F60" s="2">
        <f>SUM(OSRRefD21_6x_2)</f>
        <v>9653.6200000000008</v>
      </c>
      <c r="G60" s="2">
        <f>SUM(OSRRefD21_6x_3)</f>
        <v>10498.56</v>
      </c>
      <c r="H60" s="2">
        <f>SUM(OSRRefD21_6x_4)</f>
        <v>8398.85</v>
      </c>
      <c r="I60" s="2">
        <f>SUM(OSRRefD21_6x_5)</f>
        <v>3782.41</v>
      </c>
      <c r="J60" s="2">
        <f>SUM(OSRRefD21_6x_6)</f>
        <v>4031.65</v>
      </c>
      <c r="K60" s="2">
        <f>SUM(OSRRefD21_6x_7)</f>
        <v>8683.56</v>
      </c>
      <c r="L60" s="2">
        <f>SUM(OSRRefD21_6x_8)</f>
        <v>7724.92</v>
      </c>
      <c r="M60" s="2">
        <f>SUM(OSRRefD21_6x_9)</f>
        <v>9656.14</v>
      </c>
      <c r="N60" s="2">
        <f>SUM(OSRRefE21_6x_0)</f>
        <v>15500</v>
      </c>
      <c r="O60" s="2">
        <f>SUM(OSRRefE21_6x_1)</f>
        <v>0</v>
      </c>
      <c r="Q60" s="3">
        <f>SUM(OSRRefD20_6x)+IFERROR(SUM(OSRRefE20_6x),0)</f>
        <v>82191.26999999999</v>
      </c>
    </row>
    <row r="61" spans="1:17" s="42" customFormat="1" ht="15" hidden="1" customHeight="1" outlineLevel="1" x14ac:dyDescent="0.3">
      <c r="A61" s="34"/>
      <c r="B61" s="11" t="str">
        <f>CONCATENATE("          ","6399"," - ","DONATION-ON CAMPUS")</f>
        <v xml:space="preserve">          6399 - DONATION-ON CAMPUS</v>
      </c>
      <c r="C61" s="15"/>
      <c r="D61" s="3"/>
      <c r="E61" s="3">
        <v>4261.5600000000004</v>
      </c>
      <c r="F61" s="3">
        <v>9653.6200000000008</v>
      </c>
      <c r="G61" s="3">
        <v>10498.56</v>
      </c>
      <c r="H61" s="3">
        <v>8398.85</v>
      </c>
      <c r="I61" s="3">
        <v>3782.41</v>
      </c>
      <c r="J61" s="3">
        <v>4031.65</v>
      </c>
      <c r="K61" s="3">
        <v>8683.56</v>
      </c>
      <c r="L61" s="3">
        <v>7724.92</v>
      </c>
      <c r="M61" s="3">
        <v>9656.14</v>
      </c>
      <c r="N61" s="3">
        <v>15500</v>
      </c>
      <c r="O61" s="3"/>
      <c r="P61" s="10"/>
      <c r="Q61" s="3">
        <f>SUM(OSRRefD21_6_0x)+IFERROR(SUM(OSRRefE21_6_0x),0)</f>
        <v>82191.26999999999</v>
      </c>
    </row>
    <row r="62" spans="1:17" s="42" customFormat="1" ht="15" customHeight="1" collapsed="1" x14ac:dyDescent="0.3">
      <c r="A62" s="34"/>
      <c r="B62" s="15" t="str">
        <f>CONCATENATE("     ","Employees' Appreciation                           ")</f>
        <v xml:space="preserve">     Employees' Appreciation                           </v>
      </c>
      <c r="C62" s="15"/>
      <c r="D62" s="2">
        <f>SUM(OSRRefD21_7x_0)</f>
        <v>0</v>
      </c>
      <c r="E62" s="2">
        <f>SUM(OSRRefD21_7x_1)</f>
        <v>18</v>
      </c>
      <c r="F62" s="2">
        <f>SUM(OSRRefD21_7x_2)</f>
        <v>14.49</v>
      </c>
      <c r="G62" s="2">
        <f>SUM(OSRRefD21_7x_3)</f>
        <v>123.17</v>
      </c>
      <c r="H62" s="2">
        <f>SUM(OSRRefD21_7x_4)</f>
        <v>34.47</v>
      </c>
      <c r="I62" s="2">
        <f>SUM(OSRRefD21_7x_5)</f>
        <v>287.10000000000002</v>
      </c>
      <c r="J62" s="2">
        <f>SUM(OSRRefD21_7x_6)</f>
        <v>75.98</v>
      </c>
      <c r="K62" s="2">
        <f>SUM(OSRRefD21_7x_7)</f>
        <v>87.37</v>
      </c>
      <c r="L62" s="2">
        <f>SUM(OSRRefD21_7x_8)</f>
        <v>0</v>
      </c>
      <c r="M62" s="2">
        <f>SUM(OSRRefD21_7x_9)</f>
        <v>61.45</v>
      </c>
      <c r="N62" s="2">
        <f>SUM(OSRRefE21_7x_0)</f>
        <v>490</v>
      </c>
      <c r="O62" s="2">
        <f>SUM(OSRRefE21_7x_1)</f>
        <v>200</v>
      </c>
      <c r="Q62" s="3">
        <f>SUM(OSRRefD20_7x)+IFERROR(SUM(OSRRefE20_7x),0)</f>
        <v>1392.0300000000002</v>
      </c>
    </row>
    <row r="63" spans="1:17" s="42" customFormat="1" ht="15" hidden="1" customHeight="1" outlineLevel="1" x14ac:dyDescent="0.3">
      <c r="A63" s="34"/>
      <c r="B63" s="11" t="str">
        <f>CONCATENATE("          ","6277"," - ","EMPLOYEE APPRECIATION")</f>
        <v xml:space="preserve">          6277 - EMPLOYEE APPRECIATION</v>
      </c>
      <c r="C63" s="15"/>
      <c r="D63" s="3"/>
      <c r="E63" s="3">
        <v>18</v>
      </c>
      <c r="F63" s="3">
        <v>14.49</v>
      </c>
      <c r="G63" s="3">
        <v>123.17</v>
      </c>
      <c r="H63" s="3">
        <v>34.47</v>
      </c>
      <c r="I63" s="3">
        <v>287.10000000000002</v>
      </c>
      <c r="J63" s="3">
        <v>75.98</v>
      </c>
      <c r="K63" s="3">
        <v>87.37</v>
      </c>
      <c r="L63" s="3"/>
      <c r="M63" s="3">
        <v>61.45</v>
      </c>
      <c r="N63" s="3">
        <v>490</v>
      </c>
      <c r="O63" s="3">
        <v>200</v>
      </c>
      <c r="P63" s="10"/>
      <c r="Q63" s="3">
        <f>SUM(OSRRefD21_7_0x)+IFERROR(SUM(OSRRefE21_7_0x),0)</f>
        <v>1392.0300000000002</v>
      </c>
    </row>
    <row r="64" spans="1:17" s="42" customFormat="1" ht="15" customHeight="1" collapsed="1" x14ac:dyDescent="0.3">
      <c r="A64" s="34"/>
      <c r="B64" s="15" t="str">
        <f>CONCATENATE("     ","Equipment Rental                                  ")</f>
        <v xml:space="preserve">     Equipment Rental                                  </v>
      </c>
      <c r="C64" s="15"/>
      <c r="D64" s="2">
        <f>SUM(OSRRefD21_8x_0)</f>
        <v>1325.46</v>
      </c>
      <c r="E64" s="2">
        <f>SUM(OSRRefD21_8x_1)</f>
        <v>5272.12</v>
      </c>
      <c r="F64" s="2">
        <f>SUM(OSRRefD21_8x_2)</f>
        <v>411.46</v>
      </c>
      <c r="G64" s="2">
        <f>SUM(OSRRefD21_8x_3)</f>
        <v>2715.16</v>
      </c>
      <c r="H64" s="2">
        <f>SUM(OSRRefD21_8x_4)</f>
        <v>1328.91</v>
      </c>
      <c r="I64" s="2">
        <f>SUM(OSRRefD21_8x_5)</f>
        <v>2579.75</v>
      </c>
      <c r="J64" s="2">
        <f>SUM(OSRRefD21_8x_6)</f>
        <v>1351.46</v>
      </c>
      <c r="K64" s="2">
        <f>SUM(OSRRefD21_8x_7)</f>
        <v>1535.59</v>
      </c>
      <c r="L64" s="2">
        <f>SUM(OSRRefD21_8x_8)</f>
        <v>1122.8</v>
      </c>
      <c r="M64" s="2">
        <f>SUM(OSRRefD21_8x_9)</f>
        <v>3155.89</v>
      </c>
      <c r="N64" s="2">
        <f>SUM(OSRRefE21_8x_0)</f>
        <v>1570</v>
      </c>
      <c r="O64" s="2">
        <f>SUM(OSRRefE21_8x_1)</f>
        <v>1570</v>
      </c>
      <c r="Q64" s="3">
        <f>SUM(OSRRefD20_8x)+IFERROR(SUM(OSRRefE20_8x),0)</f>
        <v>23938.6</v>
      </c>
    </row>
    <row r="65" spans="1:17" s="42" customFormat="1" ht="15" hidden="1" customHeight="1" outlineLevel="1" x14ac:dyDescent="0.3">
      <c r="A65" s="34"/>
      <c r="B65" s="11" t="str">
        <f>CONCATENATE("          ","6351"," - ","EQUIPMENT RENTAL")</f>
        <v xml:space="preserve">          6351 - EQUIPMENT RENTAL</v>
      </c>
      <c r="C65" s="15"/>
      <c r="D65" s="3">
        <v>1325.46</v>
      </c>
      <c r="E65" s="3">
        <v>5272.12</v>
      </c>
      <c r="F65" s="3">
        <v>411.46</v>
      </c>
      <c r="G65" s="3">
        <v>2715.16</v>
      </c>
      <c r="H65" s="3">
        <v>1328.91</v>
      </c>
      <c r="I65" s="3">
        <v>2579.75</v>
      </c>
      <c r="J65" s="3">
        <v>1351.46</v>
      </c>
      <c r="K65" s="3">
        <v>1535.59</v>
      </c>
      <c r="L65" s="3">
        <v>1122.8</v>
      </c>
      <c r="M65" s="3">
        <v>3155.89</v>
      </c>
      <c r="N65" s="3">
        <v>1570</v>
      </c>
      <c r="O65" s="3">
        <v>1570</v>
      </c>
      <c r="P65" s="10"/>
      <c r="Q65" s="3">
        <f>SUM(OSRRefD21_8_0x)+IFERROR(SUM(OSRRefE21_8_0x),0)</f>
        <v>23938.6</v>
      </c>
    </row>
    <row r="66" spans="1:17" s="42" customFormat="1" ht="15" customHeight="1" collapsed="1" x14ac:dyDescent="0.3">
      <c r="A66" s="34"/>
      <c r="B66" s="15" t="str">
        <f>CONCATENATE("     ","General                                           ")</f>
        <v xml:space="preserve">     General                                           </v>
      </c>
      <c r="C66" s="15"/>
      <c r="D66" s="2">
        <f>SUM(OSRRefD21_9x_0)</f>
        <v>493.73</v>
      </c>
      <c r="E66" s="2">
        <f>SUM(OSRRefD21_9x_1)</f>
        <v>17430.580000000002</v>
      </c>
      <c r="F66" s="2">
        <f>SUM(OSRRefD21_9x_2)</f>
        <v>5273</v>
      </c>
      <c r="G66" s="2">
        <f>SUM(OSRRefD21_9x_3)</f>
        <v>2065.66</v>
      </c>
      <c r="H66" s="2">
        <f>SUM(OSRRefD21_9x_4)</f>
        <v>0</v>
      </c>
      <c r="I66" s="2">
        <f>SUM(OSRRefD21_9x_5)</f>
        <v>710</v>
      </c>
      <c r="J66" s="2">
        <f>SUM(OSRRefD21_9x_6)</f>
        <v>1981.68</v>
      </c>
      <c r="K66" s="2">
        <f>SUM(OSRRefD21_9x_7)</f>
        <v>2872.63</v>
      </c>
      <c r="L66" s="2">
        <f>SUM(OSRRefD21_9x_8)</f>
        <v>3611.24</v>
      </c>
      <c r="M66" s="2">
        <f>SUM(OSRRefD21_9x_9)</f>
        <v>4704.83</v>
      </c>
      <c r="N66" s="2">
        <f>SUM(OSRRefE21_9x_0)</f>
        <v>540</v>
      </c>
      <c r="O66" s="2">
        <f>SUM(OSRRefE21_9x_1)</f>
        <v>540</v>
      </c>
      <c r="Q66" s="3">
        <f>SUM(OSRRefD20_9x)+IFERROR(SUM(OSRRefE20_9x),0)</f>
        <v>40223.350000000006</v>
      </c>
    </row>
    <row r="67" spans="1:17" s="42" customFormat="1" ht="15" hidden="1" customHeight="1" outlineLevel="1" x14ac:dyDescent="0.3">
      <c r="A67" s="34"/>
      <c r="B67" s="11" t="str">
        <f>CONCATENATE("          ","6279"," - ","GENERAL EXPENSE")</f>
        <v xml:space="preserve">          6279 - GENERAL EXPENSE</v>
      </c>
      <c r="C67" s="15"/>
      <c r="D67" s="3">
        <v>493.73</v>
      </c>
      <c r="E67" s="3">
        <v>17430.580000000002</v>
      </c>
      <c r="F67" s="3">
        <v>5273</v>
      </c>
      <c r="G67" s="3">
        <v>2065.66</v>
      </c>
      <c r="H67" s="3"/>
      <c r="I67" s="3">
        <v>710</v>
      </c>
      <c r="J67" s="3">
        <v>1981.68</v>
      </c>
      <c r="K67" s="3">
        <v>2872.63</v>
      </c>
      <c r="L67" s="3">
        <v>3611.24</v>
      </c>
      <c r="M67" s="3">
        <v>4704.83</v>
      </c>
      <c r="N67" s="3">
        <v>540</v>
      </c>
      <c r="O67" s="3">
        <v>540</v>
      </c>
      <c r="P67" s="10"/>
      <c r="Q67" s="3">
        <f>SUM(OSRRefD21_9_0x)+IFERROR(SUM(OSRRefE21_9_0x),0)</f>
        <v>40223.350000000006</v>
      </c>
    </row>
    <row r="68" spans="1:17" s="42" customFormat="1" ht="15" customHeight="1" collapsed="1" x14ac:dyDescent="0.3">
      <c r="A68" s="34"/>
      <c r="B68" s="15" t="str">
        <f>CONCATENATE("     ","Insurance                                         ")</f>
        <v xml:space="preserve">     Insurance                                         </v>
      </c>
      <c r="C68" s="15"/>
      <c r="D68" s="2">
        <f>SUM(OSRRefD21_10x_0)</f>
        <v>5761.43</v>
      </c>
      <c r="E68" s="2">
        <f>SUM(OSRRefD21_10x_1)</f>
        <v>5761.42</v>
      </c>
      <c r="F68" s="2">
        <f>SUM(OSRRefD21_10x_2)</f>
        <v>5761.42</v>
      </c>
      <c r="G68" s="2">
        <f>SUM(OSRRefD21_10x_3)</f>
        <v>12644.42</v>
      </c>
      <c r="H68" s="2">
        <f>SUM(OSRRefD21_10x_4)</f>
        <v>5761.42</v>
      </c>
      <c r="I68" s="2">
        <f>SUM(OSRRefD21_10x_5)</f>
        <v>5761.42</v>
      </c>
      <c r="J68" s="2">
        <f>SUM(OSRRefD21_10x_6)</f>
        <v>5761.42</v>
      </c>
      <c r="K68" s="2">
        <f>SUM(OSRRefD21_10x_7)</f>
        <v>5761.42</v>
      </c>
      <c r="L68" s="2">
        <f>SUM(OSRRefD21_10x_8)</f>
        <v>5761.42</v>
      </c>
      <c r="M68" s="2">
        <f>SUM(OSRRefD21_10x_9)</f>
        <v>5761.42</v>
      </c>
      <c r="N68" s="2">
        <f>SUM(OSRRefE21_10x_0)</f>
        <v>5680</v>
      </c>
      <c r="O68" s="2">
        <f>SUM(OSRRefE21_10x_1)</f>
        <v>5680</v>
      </c>
      <c r="Q68" s="3">
        <f>SUM(OSRRefD20_10x)+IFERROR(SUM(OSRRefE20_10x),0)</f>
        <v>75857.209999999992</v>
      </c>
    </row>
    <row r="69" spans="1:17" s="42" customFormat="1" ht="15" hidden="1" customHeight="1" outlineLevel="1" x14ac:dyDescent="0.3">
      <c r="A69" s="34"/>
      <c r="B69" s="11" t="str">
        <f>CONCATENATE("          ","6314"," - ","LIABILITY INSURANCE")</f>
        <v xml:space="preserve">          6314 - LIABILITY INSURANCE</v>
      </c>
      <c r="C69" s="15"/>
      <c r="D69" s="3">
        <v>5761.43</v>
      </c>
      <c r="E69" s="3">
        <v>5761.42</v>
      </c>
      <c r="F69" s="3">
        <v>5761.42</v>
      </c>
      <c r="G69" s="3">
        <v>12644.42</v>
      </c>
      <c r="H69" s="3">
        <v>5761.42</v>
      </c>
      <c r="I69" s="3">
        <v>5761.42</v>
      </c>
      <c r="J69" s="3">
        <v>5761.42</v>
      </c>
      <c r="K69" s="3">
        <v>5761.42</v>
      </c>
      <c r="L69" s="3">
        <v>5761.42</v>
      </c>
      <c r="M69" s="3">
        <v>5761.42</v>
      </c>
      <c r="N69" s="3">
        <v>5680</v>
      </c>
      <c r="O69" s="3">
        <v>5680</v>
      </c>
      <c r="P69" s="10"/>
      <c r="Q69" s="3">
        <f>SUM(OSRRefD21_10_0x)+IFERROR(SUM(OSRRefE21_10_0x),0)</f>
        <v>75857.209999999992</v>
      </c>
    </row>
    <row r="70" spans="1:17" s="42" customFormat="1" ht="15" customHeight="1" collapsed="1" x14ac:dyDescent="0.3">
      <c r="A70" s="34"/>
      <c r="B70" s="15" t="str">
        <f>CONCATENATE("     ","Interest                                          ")</f>
        <v xml:space="preserve">     Interest                                          </v>
      </c>
      <c r="C70" s="15"/>
      <c r="D70" s="2">
        <f>SUM(OSRRefD21_11x_0)</f>
        <v>7253</v>
      </c>
      <c r="E70" s="2">
        <f>SUM(OSRRefD21_11x_1)</f>
        <v>7253</v>
      </c>
      <c r="F70" s="2">
        <f>SUM(OSRRefD21_11x_2)</f>
        <v>7253</v>
      </c>
      <c r="G70" s="2">
        <f>SUM(OSRRefD21_11x_3)</f>
        <v>6739</v>
      </c>
      <c r="H70" s="2">
        <f>SUM(OSRRefD21_11x_4)</f>
        <v>7253</v>
      </c>
      <c r="I70" s="2">
        <f>SUM(OSRRefD21_11x_5)</f>
        <v>7253</v>
      </c>
      <c r="J70" s="2">
        <f>SUM(OSRRefD21_11x_6)</f>
        <v>7253</v>
      </c>
      <c r="K70" s="2">
        <f>SUM(OSRRefD21_11x_7)</f>
        <v>7253</v>
      </c>
      <c r="L70" s="2">
        <f>SUM(OSRRefD21_11x_8)</f>
        <v>7253</v>
      </c>
      <c r="M70" s="2">
        <f>SUM(OSRRefD21_11x_9)</f>
        <v>5629</v>
      </c>
      <c r="N70" s="2">
        <f>SUM(OSRRefE21_11x_0)</f>
        <v>6982</v>
      </c>
      <c r="O70" s="2">
        <f>SUM(OSRRefE21_11x_1)</f>
        <v>6982</v>
      </c>
      <c r="Q70" s="3">
        <f>SUM(OSRRefD20_11x)+IFERROR(SUM(OSRRefE20_11x),0)</f>
        <v>84356</v>
      </c>
    </row>
    <row r="71" spans="1:17" s="42" customFormat="1" ht="15" hidden="1" customHeight="1" outlineLevel="1" x14ac:dyDescent="0.3">
      <c r="A71" s="34"/>
      <c r="B71" s="11" t="str">
        <f>CONCATENATE("          ","6401"," - ","INTEREST EXPENSE")</f>
        <v xml:space="preserve">          6401 - INTEREST EXPENSE</v>
      </c>
      <c r="C71" s="15"/>
      <c r="D71" s="3">
        <v>7253</v>
      </c>
      <c r="E71" s="3">
        <v>7253</v>
      </c>
      <c r="F71" s="3">
        <v>7253</v>
      </c>
      <c r="G71" s="3">
        <v>6739</v>
      </c>
      <c r="H71" s="3">
        <v>7253</v>
      </c>
      <c r="I71" s="3">
        <v>7253</v>
      </c>
      <c r="J71" s="3">
        <v>7253</v>
      </c>
      <c r="K71" s="3">
        <v>7253</v>
      </c>
      <c r="L71" s="3">
        <v>7253</v>
      </c>
      <c r="M71" s="3">
        <v>5629</v>
      </c>
      <c r="N71" s="3">
        <v>6982</v>
      </c>
      <c r="O71" s="3">
        <v>6982</v>
      </c>
      <c r="P71" s="10"/>
      <c r="Q71" s="3">
        <f>SUM(OSRRefD21_11_0x)+IFERROR(SUM(OSRRefE21_11_0x),0)</f>
        <v>84356</v>
      </c>
    </row>
    <row r="72" spans="1:17" s="42" customFormat="1" ht="15" customHeight="1" collapsed="1" x14ac:dyDescent="0.3">
      <c r="A72" s="34"/>
      <c r="B72" s="15" t="str">
        <f>CONCATENATE("     ","R/H Commissions                                   ")</f>
        <v xml:space="preserve">     R/H Commissions                                   </v>
      </c>
      <c r="C72" s="15"/>
      <c r="D72" s="2">
        <f>SUM(OSRRefD21_12x_0)</f>
        <v>1568</v>
      </c>
      <c r="E72" s="2">
        <f>SUM(OSRRefD21_12x_1)</f>
        <v>38588</v>
      </c>
      <c r="F72" s="2">
        <f>SUM(OSRRefD21_12x_2)</f>
        <v>102646.99</v>
      </c>
      <c r="G72" s="2">
        <f>SUM(OSRRefD21_12x_3)</f>
        <v>127967.99</v>
      </c>
      <c r="H72" s="2">
        <f>SUM(OSRRefD21_12x_4)</f>
        <v>102145.22</v>
      </c>
      <c r="I72" s="2">
        <f>SUM(OSRRefD21_12x_5)</f>
        <v>76752.539999999994</v>
      </c>
      <c r="J72" s="2">
        <f>SUM(OSRRefD21_12x_6)</f>
        <v>49958.66</v>
      </c>
      <c r="K72" s="2">
        <f>SUM(OSRRefD21_12x_7)</f>
        <v>109401.29</v>
      </c>
      <c r="L72" s="2">
        <f>SUM(OSRRefD21_12x_8)</f>
        <v>111663.48</v>
      </c>
      <c r="M72" s="2">
        <f>SUM(OSRRefD21_12x_9)</f>
        <v>135508.24</v>
      </c>
      <c r="N72" s="2">
        <f>SUM(OSRRefE21_12x_0)</f>
        <v>44064</v>
      </c>
      <c r="O72" s="2">
        <f>SUM(OSRRefE21_12x_1)</f>
        <v>0</v>
      </c>
      <c r="Q72" s="3">
        <f>SUM(OSRRefD20_12x)+IFERROR(SUM(OSRRefE20_12x),0)</f>
        <v>900264.40999999992</v>
      </c>
    </row>
    <row r="73" spans="1:17" s="42" customFormat="1" ht="15" hidden="1" customHeight="1" outlineLevel="1" x14ac:dyDescent="0.3">
      <c r="A73" s="34"/>
      <c r="B73" s="11" t="str">
        <f>CONCATENATE("          ","6387"," - ","COMMISSION DUE HOUSING")</f>
        <v xml:space="preserve">          6387 - COMMISSION DUE HOUSING</v>
      </c>
      <c r="C73" s="15"/>
      <c r="D73" s="3">
        <v>1568</v>
      </c>
      <c r="E73" s="3">
        <v>38588</v>
      </c>
      <c r="F73" s="3">
        <v>102646.99</v>
      </c>
      <c r="G73" s="3">
        <v>127967.99</v>
      </c>
      <c r="H73" s="3">
        <v>102145.22</v>
      </c>
      <c r="I73" s="3">
        <v>76752.539999999994</v>
      </c>
      <c r="J73" s="3">
        <v>49958.66</v>
      </c>
      <c r="K73" s="3">
        <v>109401.29</v>
      </c>
      <c r="L73" s="3">
        <v>111663.48</v>
      </c>
      <c r="M73" s="3">
        <v>135508.24</v>
      </c>
      <c r="N73" s="3">
        <v>44064</v>
      </c>
      <c r="O73" s="3"/>
      <c r="P73" s="10"/>
      <c r="Q73" s="3">
        <f>SUM(OSRRefD21_12_0x)+IFERROR(SUM(OSRRefE21_12_0x),0)</f>
        <v>900264.40999999992</v>
      </c>
    </row>
    <row r="74" spans="1:17" s="42" customFormat="1" ht="15" customHeight="1" collapsed="1" x14ac:dyDescent="0.3">
      <c r="A74" s="34"/>
      <c r="B74" s="15" t="str">
        <f>CONCATENATE("     ","Rent                                              ")</f>
        <v xml:space="preserve">     Rent                                              </v>
      </c>
      <c r="C74" s="15"/>
      <c r="D74" s="2">
        <f>SUM(OSRRefD21_13x_0)</f>
        <v>1850</v>
      </c>
      <c r="E74" s="2">
        <f>SUM(OSRRefD21_13x_1)</f>
        <v>1850</v>
      </c>
      <c r="F74" s="2">
        <f>SUM(OSRRefD21_13x_2)</f>
        <v>1850</v>
      </c>
      <c r="G74" s="2">
        <f>SUM(OSRRefD21_13x_3)</f>
        <v>1850</v>
      </c>
      <c r="H74" s="2">
        <f>SUM(OSRRefD21_13x_4)</f>
        <v>1850</v>
      </c>
      <c r="I74" s="2">
        <f>SUM(OSRRefD21_13x_5)</f>
        <v>1850</v>
      </c>
      <c r="J74" s="2">
        <f>SUM(OSRRefD21_13x_6)</f>
        <v>1850</v>
      </c>
      <c r="K74" s="2">
        <f>SUM(OSRRefD21_13x_7)</f>
        <v>1850</v>
      </c>
      <c r="L74" s="2">
        <f>SUM(OSRRefD21_13x_8)</f>
        <v>1850</v>
      </c>
      <c r="M74" s="2">
        <f>SUM(OSRRefD21_13x_9)</f>
        <v>1850</v>
      </c>
      <c r="N74" s="2">
        <f>SUM(OSRRefE21_13x_0)</f>
        <v>1850</v>
      </c>
      <c r="O74" s="2">
        <f>SUM(OSRRefE21_13x_1)</f>
        <v>1850</v>
      </c>
      <c r="Q74" s="3">
        <f>SUM(OSRRefD20_13x)+IFERROR(SUM(OSRRefE20_13x),0)</f>
        <v>22200</v>
      </c>
    </row>
    <row r="75" spans="1:17" s="42" customFormat="1" ht="15" hidden="1" customHeight="1" outlineLevel="1" x14ac:dyDescent="0.3">
      <c r="A75" s="34"/>
      <c r="B75" s="11" t="str">
        <f>CONCATENATE("          ","6273"," - ","RENT")</f>
        <v xml:space="preserve">          6273 - RENT</v>
      </c>
      <c r="C75" s="15"/>
      <c r="D75" s="3">
        <v>1850</v>
      </c>
      <c r="E75" s="3">
        <v>1850</v>
      </c>
      <c r="F75" s="3">
        <v>1850</v>
      </c>
      <c r="G75" s="3">
        <v>1850</v>
      </c>
      <c r="H75" s="3">
        <v>1850</v>
      </c>
      <c r="I75" s="3">
        <v>1850</v>
      </c>
      <c r="J75" s="3">
        <v>1850</v>
      </c>
      <c r="K75" s="3">
        <v>1850</v>
      </c>
      <c r="L75" s="3">
        <v>1850</v>
      </c>
      <c r="M75" s="3">
        <v>1850</v>
      </c>
      <c r="N75" s="3">
        <v>1850</v>
      </c>
      <c r="O75" s="3">
        <v>1850</v>
      </c>
      <c r="P75" s="10"/>
      <c r="Q75" s="3">
        <f>SUM(OSRRefD21_13_0x)+IFERROR(SUM(OSRRefE21_13_0x),0)</f>
        <v>22200</v>
      </c>
    </row>
    <row r="76" spans="1:17" s="42" customFormat="1" ht="15" customHeight="1" collapsed="1" x14ac:dyDescent="0.3">
      <c r="A76" s="34"/>
      <c r="B76" s="15" t="str">
        <f>CONCATENATE("     ","Repair and Maintenance                            ")</f>
        <v xml:space="preserve">     Repair and Maintenance                            </v>
      </c>
      <c r="C76" s="15"/>
      <c r="D76" s="2">
        <f>SUM(OSRRefD21_14x_0)</f>
        <v>7260.71</v>
      </c>
      <c r="E76" s="2">
        <f>SUM(OSRRefD21_14x_1)</f>
        <v>26035.839999999997</v>
      </c>
      <c r="F76" s="2">
        <f>SUM(OSRRefD21_14x_2)</f>
        <v>6973.89</v>
      </c>
      <c r="G76" s="2">
        <f>SUM(OSRRefD21_14x_3)</f>
        <v>14678.15</v>
      </c>
      <c r="H76" s="2">
        <f>SUM(OSRRefD21_14x_4)</f>
        <v>9529.7400000000016</v>
      </c>
      <c r="I76" s="2">
        <f>SUM(OSRRefD21_14x_5)</f>
        <v>14904.449999999999</v>
      </c>
      <c r="J76" s="2">
        <f>SUM(OSRRefD21_14x_6)</f>
        <v>7973.2000000000007</v>
      </c>
      <c r="K76" s="2">
        <f>SUM(OSRRefD21_14x_7)</f>
        <v>8465.98</v>
      </c>
      <c r="L76" s="2">
        <f>SUM(OSRRefD21_14x_8)</f>
        <v>12895.38</v>
      </c>
      <c r="M76" s="2">
        <f>SUM(OSRRefD21_14x_9)</f>
        <v>21930.02</v>
      </c>
      <c r="N76" s="2">
        <f>SUM(OSRRefE21_14x_0)</f>
        <v>8529</v>
      </c>
      <c r="O76" s="2">
        <f>SUM(OSRRefE21_14x_1)</f>
        <v>5705</v>
      </c>
      <c r="Q76" s="3">
        <f>SUM(OSRRefD20_14x)+IFERROR(SUM(OSRRefE20_14x),0)</f>
        <v>144881.35999999999</v>
      </c>
    </row>
    <row r="77" spans="1:17" s="42" customFormat="1" ht="15" hidden="1" customHeight="1" outlineLevel="1" x14ac:dyDescent="0.3">
      <c r="A77" s="34"/>
      <c r="B77" s="11" t="str">
        <f>CONCATENATE("          ","6371"," - ","COMPUTER SOFTWARE MAINTENANCE")</f>
        <v xml:space="preserve">          6371 - COMPUTER SOFTWARE MAINTENANCE</v>
      </c>
      <c r="C77" s="15"/>
      <c r="D77" s="3">
        <v>3500</v>
      </c>
      <c r="E77" s="3">
        <v>8677.7199999999993</v>
      </c>
      <c r="F77" s="3">
        <v>3500</v>
      </c>
      <c r="G77" s="3">
        <v>3659.68</v>
      </c>
      <c r="H77" s="3">
        <v>3880.32</v>
      </c>
      <c r="I77" s="3">
        <v>4118.3599999999997</v>
      </c>
      <c r="J77" s="3">
        <v>3981.09</v>
      </c>
      <c r="K77" s="3">
        <v>3500</v>
      </c>
      <c r="L77" s="3">
        <v>4283.7</v>
      </c>
      <c r="M77" s="3">
        <v>12466.19</v>
      </c>
      <c r="N77" s="3">
        <v>3500</v>
      </c>
      <c r="O77" s="3">
        <v>3500</v>
      </c>
      <c r="P77" s="10"/>
      <c r="Q77" s="3">
        <f>SUM(OSRRefD21_14_0x)+IFERROR(SUM(OSRRefE21_14_0x),0)</f>
        <v>58567.06</v>
      </c>
    </row>
    <row r="78" spans="1:17" s="42" customFormat="1" ht="15" hidden="1" customHeight="1" outlineLevel="1" x14ac:dyDescent="0.3">
      <c r="A78" s="34"/>
      <c r="B78" s="11" t="str">
        <f>CONCATENATE("          ","6373"," - ","MAINTENANCE CONTRACTS")</f>
        <v xml:space="preserve">          6373 - MAINTENANCE CONTRACTS</v>
      </c>
      <c r="C78" s="15"/>
      <c r="D78" s="3">
        <v>14.87</v>
      </c>
      <c r="E78" s="3"/>
      <c r="F78" s="3">
        <v>1125.43</v>
      </c>
      <c r="G78" s="3">
        <v>2983.57</v>
      </c>
      <c r="H78" s="3">
        <v>2873.05</v>
      </c>
      <c r="I78" s="3">
        <v>4715.1000000000004</v>
      </c>
      <c r="J78" s="3">
        <v>2639.86</v>
      </c>
      <c r="K78" s="3">
        <v>913.68</v>
      </c>
      <c r="L78" s="3">
        <v>5749.79</v>
      </c>
      <c r="M78" s="3">
        <v>0.32</v>
      </c>
      <c r="N78" s="3">
        <v>1800</v>
      </c>
      <c r="O78" s="3"/>
      <c r="P78" s="10"/>
      <c r="Q78" s="3">
        <f>SUM(OSRRefD21_14_1x)+IFERROR(SUM(OSRRefE21_14_1x),0)</f>
        <v>22815.670000000002</v>
      </c>
    </row>
    <row r="79" spans="1:17" s="42" customFormat="1" ht="15" hidden="1" customHeight="1" outlineLevel="1" x14ac:dyDescent="0.3">
      <c r="A79" s="34"/>
      <c r="B79" s="11" t="str">
        <f>CONCATENATE("          ","6375"," - ","OUTSIDE REPAIRS &amp; MAINTENANCE")</f>
        <v xml:space="preserve">          6375 - OUTSIDE REPAIRS &amp; MAINTENANCE</v>
      </c>
      <c r="C79" s="15"/>
      <c r="D79" s="3">
        <v>3745.84</v>
      </c>
      <c r="E79" s="3">
        <v>17358.12</v>
      </c>
      <c r="F79" s="3">
        <v>2348.46</v>
      </c>
      <c r="G79" s="3">
        <v>8034.9</v>
      </c>
      <c r="H79" s="3">
        <v>2776.37</v>
      </c>
      <c r="I79" s="3">
        <v>6070.99</v>
      </c>
      <c r="J79" s="3">
        <v>1352.25</v>
      </c>
      <c r="K79" s="3">
        <v>4052.3</v>
      </c>
      <c r="L79" s="3">
        <v>2861.89</v>
      </c>
      <c r="M79" s="3">
        <v>9463.51</v>
      </c>
      <c r="N79" s="3">
        <v>3229</v>
      </c>
      <c r="O79" s="3">
        <v>2205</v>
      </c>
      <c r="P79" s="10"/>
      <c r="Q79" s="3">
        <f>SUM(OSRRefD21_14_2x)+IFERROR(SUM(OSRRefE21_14_2x),0)</f>
        <v>63498.630000000005</v>
      </c>
    </row>
    <row r="80" spans="1:17" s="42" customFormat="1" ht="15" customHeight="1" collapsed="1" x14ac:dyDescent="0.3">
      <c r="A80" s="34"/>
      <c r="B80" s="15" t="str">
        <f>CONCATENATE("     ","Royalty &amp; Commissions                             ")</f>
        <v xml:space="preserve">     Royalty &amp; Commissions                             </v>
      </c>
      <c r="C80" s="15"/>
      <c r="D80" s="2">
        <f>SUM(OSRRefD21_15x_0)</f>
        <v>0</v>
      </c>
      <c r="E80" s="2">
        <f>SUM(OSRRefD21_15x_1)</f>
        <v>0</v>
      </c>
      <c r="F80" s="2">
        <f>SUM(OSRRefD21_15x_2)</f>
        <v>0</v>
      </c>
      <c r="G80" s="2">
        <f>SUM(OSRRefD21_15x_3)</f>
        <v>1066.22</v>
      </c>
      <c r="H80" s="2">
        <f>SUM(OSRRefD21_15x_4)</f>
        <v>366.22</v>
      </c>
      <c r="I80" s="2">
        <f>SUM(OSRRefD21_15x_5)</f>
        <v>412.47</v>
      </c>
      <c r="J80" s="2">
        <f>SUM(OSRRefD21_15x_6)</f>
        <v>0</v>
      </c>
      <c r="K80" s="2">
        <f>SUM(OSRRefD21_15x_7)</f>
        <v>1789.12</v>
      </c>
      <c r="L80" s="2">
        <f>SUM(OSRRefD21_15x_8)</f>
        <v>583.67999999999995</v>
      </c>
      <c r="M80" s="2">
        <f>SUM(OSRRefD21_15x_9)</f>
        <v>1845.35</v>
      </c>
      <c r="N80" s="2">
        <f>SUM(OSRRefE21_15x_0)</f>
        <v>0</v>
      </c>
      <c r="O80" s="2">
        <f>SUM(OSRRefE21_15x_1)</f>
        <v>0</v>
      </c>
      <c r="Q80" s="3">
        <f>SUM(OSRRefD20_15x)+IFERROR(SUM(OSRRefE20_15x),0)</f>
        <v>6063.0599999999995</v>
      </c>
    </row>
    <row r="81" spans="1:17" s="42" customFormat="1" ht="15" hidden="1" customHeight="1" outlineLevel="1" x14ac:dyDescent="0.3">
      <c r="A81" s="34"/>
      <c r="B81" s="11" t="str">
        <f>CONCATENATE("          ","6254"," - ","ROYALTY &amp; COMMISSIONS")</f>
        <v xml:space="preserve">          6254 - ROYALTY &amp; COMMISSIONS</v>
      </c>
      <c r="C81" s="15"/>
      <c r="D81" s="3"/>
      <c r="E81" s="3"/>
      <c r="F81" s="3"/>
      <c r="G81" s="3">
        <v>1066.22</v>
      </c>
      <c r="H81" s="3">
        <v>366.22</v>
      </c>
      <c r="I81" s="3">
        <v>412.47</v>
      </c>
      <c r="J81" s="3"/>
      <c r="K81" s="3">
        <v>1789.12</v>
      </c>
      <c r="L81" s="3">
        <v>583.67999999999995</v>
      </c>
      <c r="M81" s="3">
        <v>1845.35</v>
      </c>
      <c r="N81" s="3"/>
      <c r="O81" s="3"/>
      <c r="P81" s="10"/>
      <c r="Q81" s="3">
        <f>SUM(OSRRefD21_15_0x)+IFERROR(SUM(OSRRefE21_15_0x),0)</f>
        <v>6063.0599999999995</v>
      </c>
    </row>
    <row r="82" spans="1:17" s="42" customFormat="1" ht="15" customHeight="1" collapsed="1" x14ac:dyDescent="0.3">
      <c r="A82" s="34"/>
      <c r="B82" s="15" t="str">
        <f>CONCATENATE("     ","Services                                          ")</f>
        <v xml:space="preserve">     Services                                          </v>
      </c>
      <c r="C82" s="15"/>
      <c r="D82" s="2">
        <f>SUM(OSRRefD21_16x_0)</f>
        <v>17668.150000000001</v>
      </c>
      <c r="E82" s="2">
        <f>SUM(OSRRefD21_16x_1)</f>
        <v>29818.090000000004</v>
      </c>
      <c r="F82" s="2">
        <f>SUM(OSRRefD21_16x_2)</f>
        <v>21490.87</v>
      </c>
      <c r="G82" s="2">
        <f>SUM(OSRRefD21_16x_3)</f>
        <v>29062.21</v>
      </c>
      <c r="H82" s="2">
        <f>SUM(OSRRefD21_16x_4)</f>
        <v>23606.67</v>
      </c>
      <c r="I82" s="2">
        <f>SUM(OSRRefD21_16x_5)</f>
        <v>17538.489999999998</v>
      </c>
      <c r="J82" s="2">
        <f>SUM(OSRRefD21_16x_6)</f>
        <v>21977.329999999998</v>
      </c>
      <c r="K82" s="2">
        <f>SUM(OSRRefD21_16x_7)</f>
        <v>28277.919999999998</v>
      </c>
      <c r="L82" s="2">
        <f>SUM(OSRRefD21_16x_8)</f>
        <v>26860.120000000003</v>
      </c>
      <c r="M82" s="2">
        <f>SUM(OSRRefD21_16x_9)</f>
        <v>27470.12</v>
      </c>
      <c r="N82" s="2">
        <f>SUM(OSRRefE21_16x_0)</f>
        <v>32801</v>
      </c>
      <c r="O82" s="2">
        <f>SUM(OSRRefE21_16x_1)</f>
        <v>32884</v>
      </c>
      <c r="Q82" s="3">
        <f>SUM(OSRRefD20_16x)+IFERROR(SUM(OSRRefE20_16x),0)</f>
        <v>309454.96999999997</v>
      </c>
    </row>
    <row r="83" spans="1:17" s="42" customFormat="1" ht="15" hidden="1" customHeight="1" outlineLevel="1" x14ac:dyDescent="0.3">
      <c r="A83" s="34"/>
      <c r="B83" s="11" t="str">
        <f>CONCATENATE("          ","6282"," - ","JANITORIAL/EXTERMINATOR EXPENS")</f>
        <v xml:space="preserve">          6282 - JANITORIAL/EXTERMINATOR EXPENS</v>
      </c>
      <c r="C83" s="15"/>
      <c r="D83" s="3">
        <v>2178.6</v>
      </c>
      <c r="E83" s="3">
        <v>1442.99</v>
      </c>
      <c r="F83" s="3">
        <v>3358.12</v>
      </c>
      <c r="G83" s="3">
        <v>4857.59</v>
      </c>
      <c r="H83" s="3">
        <v>2727.38</v>
      </c>
      <c r="I83" s="3">
        <v>1868.9</v>
      </c>
      <c r="J83" s="3">
        <v>1584.3</v>
      </c>
      <c r="K83" s="3">
        <v>3585.55</v>
      </c>
      <c r="L83" s="3">
        <v>3945.7</v>
      </c>
      <c r="M83" s="3">
        <v>2452.8000000000002</v>
      </c>
      <c r="N83" s="3">
        <v>2698</v>
      </c>
      <c r="O83" s="3">
        <v>2698</v>
      </c>
      <c r="P83" s="10"/>
      <c r="Q83" s="3">
        <f>SUM(OSRRefD21_16_0x)+IFERROR(SUM(OSRRefE21_16_0x),0)</f>
        <v>33397.93</v>
      </c>
    </row>
    <row r="84" spans="1:17" s="42" customFormat="1" ht="15" hidden="1" customHeight="1" outlineLevel="1" x14ac:dyDescent="0.3">
      <c r="A84" s="34"/>
      <c r="B84" s="11" t="str">
        <f>CONCATENATE("          ","6283"," - ","PLANT SERVICE")</f>
        <v xml:space="preserve">          6283 - PLANT SERVICE</v>
      </c>
      <c r="C84" s="15"/>
      <c r="D84" s="3"/>
      <c r="E84" s="3"/>
      <c r="F84" s="3"/>
      <c r="G84" s="3"/>
      <c r="H84" s="3"/>
      <c r="I84" s="3"/>
      <c r="J84" s="3"/>
      <c r="K84" s="3"/>
      <c r="L84" s="3"/>
      <c r="M84" s="3"/>
      <c r="N84" s="3">
        <v>100</v>
      </c>
      <c r="O84" s="3">
        <v>100</v>
      </c>
      <c r="P84" s="10"/>
      <c r="Q84" s="3">
        <f>SUM(OSRRefD21_16_1x)+IFERROR(SUM(OSRRefE21_16_1x),0)</f>
        <v>200</v>
      </c>
    </row>
    <row r="85" spans="1:17" s="42" customFormat="1" ht="15" hidden="1" customHeight="1" outlineLevel="1" x14ac:dyDescent="0.3">
      <c r="A85" s="34"/>
      <c r="B85" s="11" t="str">
        <f>CONCATENATE("          ","6284"," - ","TRASH REMOVAL EXPENSE")</f>
        <v xml:space="preserve">          6284 - TRASH REMOVAL EXPENSE</v>
      </c>
      <c r="C85" s="15"/>
      <c r="D85" s="3"/>
      <c r="E85" s="3"/>
      <c r="F85" s="3"/>
      <c r="G85" s="3"/>
      <c r="H85" s="3"/>
      <c r="I85" s="3"/>
      <c r="J85" s="3"/>
      <c r="K85" s="3"/>
      <c r="L85" s="3"/>
      <c r="M85" s="3"/>
      <c r="N85" s="3">
        <v>1600</v>
      </c>
      <c r="O85" s="3">
        <v>1600</v>
      </c>
      <c r="P85" s="10"/>
      <c r="Q85" s="3">
        <f>SUM(OSRRefD21_16_2x)+IFERROR(SUM(OSRRefE21_16_2x),0)</f>
        <v>3200</v>
      </c>
    </row>
    <row r="86" spans="1:17" s="42" customFormat="1" ht="15" hidden="1" customHeight="1" outlineLevel="1" x14ac:dyDescent="0.3">
      <c r="A86" s="34"/>
      <c r="B86" s="11" t="str">
        <f>CONCATENATE("          ","6285"," - ","JANITORIAL SERVICES")</f>
        <v xml:space="preserve">          6285 - JANITORIAL SERVICES</v>
      </c>
      <c r="C86" s="15"/>
      <c r="D86" s="3">
        <v>14406.58</v>
      </c>
      <c r="E86" s="3">
        <v>25872.47</v>
      </c>
      <c r="F86" s="3">
        <v>16755.18</v>
      </c>
      <c r="G86" s="3">
        <v>16872.43</v>
      </c>
      <c r="H86" s="3">
        <v>18157.419999999998</v>
      </c>
      <c r="I86" s="3">
        <v>13631.9</v>
      </c>
      <c r="J86" s="3">
        <v>17415.21</v>
      </c>
      <c r="K86" s="3">
        <v>21499.18</v>
      </c>
      <c r="L86" s="3">
        <v>18238.2</v>
      </c>
      <c r="M86" s="3">
        <v>18546.52</v>
      </c>
      <c r="N86" s="3">
        <v>23083</v>
      </c>
      <c r="O86" s="3">
        <v>23083</v>
      </c>
      <c r="P86" s="10"/>
      <c r="Q86" s="3">
        <f>SUM(OSRRefD21_16_3x)+IFERROR(SUM(OSRRefE21_16_3x),0)</f>
        <v>227561.09</v>
      </c>
    </row>
    <row r="87" spans="1:17" s="42" customFormat="1" ht="15" hidden="1" customHeight="1" outlineLevel="1" x14ac:dyDescent="0.3">
      <c r="A87" s="34"/>
      <c r="B87" s="11" t="str">
        <f>CONCATENATE("          ","6286"," - ","LAUNDRY EXPENSE")</f>
        <v xml:space="preserve">          6286 - LAUNDRY EXPENSE</v>
      </c>
      <c r="C87" s="15"/>
      <c r="D87" s="3">
        <v>1082.97</v>
      </c>
      <c r="E87" s="3">
        <v>2502.63</v>
      </c>
      <c r="F87" s="3">
        <v>1377.57</v>
      </c>
      <c r="G87" s="3">
        <v>7332.19</v>
      </c>
      <c r="H87" s="3">
        <v>2721.87</v>
      </c>
      <c r="I87" s="3">
        <v>2037.69</v>
      </c>
      <c r="J87" s="3">
        <v>2977.82</v>
      </c>
      <c r="K87" s="3">
        <v>3193.19</v>
      </c>
      <c r="L87" s="3">
        <v>4676.22</v>
      </c>
      <c r="M87" s="3">
        <v>6470.8</v>
      </c>
      <c r="N87" s="3">
        <v>5320</v>
      </c>
      <c r="O87" s="3">
        <v>5403</v>
      </c>
      <c r="P87" s="10"/>
      <c r="Q87" s="3">
        <f>SUM(OSRRefD21_16_4x)+IFERROR(SUM(OSRRefE21_16_4x),0)</f>
        <v>45095.95</v>
      </c>
    </row>
    <row r="88" spans="1:17" s="42" customFormat="1" ht="15" customHeight="1" collapsed="1" x14ac:dyDescent="0.3">
      <c r="A88" s="34"/>
      <c r="B88" s="15" t="str">
        <f>CONCATENATE("     ","Subscriptions &amp; Dues                              ")</f>
        <v xml:space="preserve">     Subscriptions &amp; Dues                              </v>
      </c>
      <c r="C88" s="15"/>
      <c r="D88" s="2">
        <f>SUM(OSRRefD21_17x_0)</f>
        <v>130.66999999999999</v>
      </c>
      <c r="E88" s="2">
        <f>SUM(OSRRefD21_17x_1)</f>
        <v>593.59</v>
      </c>
      <c r="F88" s="2">
        <f>SUM(OSRRefD21_17x_2)</f>
        <v>408.93</v>
      </c>
      <c r="G88" s="2">
        <f>SUM(OSRRefD21_17x_3)</f>
        <v>813.81</v>
      </c>
      <c r="H88" s="2">
        <f>SUM(OSRRefD21_17x_4)</f>
        <v>569.5</v>
      </c>
      <c r="I88" s="2">
        <f>SUM(OSRRefD21_17x_5)</f>
        <v>1456.11</v>
      </c>
      <c r="J88" s="2">
        <f>SUM(OSRRefD21_17x_6)</f>
        <v>560.5</v>
      </c>
      <c r="K88" s="2">
        <f>SUM(OSRRefD21_17x_7)</f>
        <v>622.25</v>
      </c>
      <c r="L88" s="2">
        <f>SUM(OSRRefD21_17x_8)</f>
        <v>691.54</v>
      </c>
      <c r="M88" s="2">
        <f>SUM(OSRRefD21_17x_9)</f>
        <v>560.5</v>
      </c>
      <c r="N88" s="2">
        <f>SUM(OSRRefE21_17x_0)</f>
        <v>610</v>
      </c>
      <c r="O88" s="2">
        <f>SUM(OSRRefE21_17x_1)</f>
        <v>610</v>
      </c>
      <c r="Q88" s="3">
        <f>SUM(OSRRefD20_17x)+IFERROR(SUM(OSRRefE20_17x),0)</f>
        <v>7627.4</v>
      </c>
    </row>
    <row r="89" spans="1:17" s="42" customFormat="1" ht="15" hidden="1" customHeight="1" outlineLevel="1" x14ac:dyDescent="0.3">
      <c r="A89" s="34"/>
      <c r="B89" s="11" t="str">
        <f>CONCATENATE("          ","6275"," - ","SUBSCRIPTIONS")</f>
        <v xml:space="preserve">          6275 - SUBSCRIPTIONS</v>
      </c>
      <c r="C89" s="15"/>
      <c r="D89" s="3">
        <v>130.66999999999999</v>
      </c>
      <c r="E89" s="3">
        <v>593.59</v>
      </c>
      <c r="F89" s="3">
        <v>408.93</v>
      </c>
      <c r="G89" s="3">
        <v>813.81</v>
      </c>
      <c r="H89" s="3">
        <v>569.5</v>
      </c>
      <c r="I89" s="3">
        <v>1456.11</v>
      </c>
      <c r="J89" s="3">
        <v>560.5</v>
      </c>
      <c r="K89" s="3">
        <v>622.25</v>
      </c>
      <c r="L89" s="3">
        <v>691.54</v>
      </c>
      <c r="M89" s="3">
        <v>560.5</v>
      </c>
      <c r="N89" s="3">
        <v>610</v>
      </c>
      <c r="O89" s="3">
        <v>610</v>
      </c>
      <c r="P89" s="10"/>
      <c r="Q89" s="3">
        <f>SUM(OSRRefD21_17_0x)+IFERROR(SUM(OSRRefE21_17_0x),0)</f>
        <v>7627.4</v>
      </c>
    </row>
    <row r="90" spans="1:17" s="42" customFormat="1" ht="15" customHeight="1" collapsed="1" x14ac:dyDescent="0.3">
      <c r="A90" s="34"/>
      <c r="B90" s="15" t="str">
        <f>CONCATENATE("     ","Supplies                                          ")</f>
        <v xml:space="preserve">     Supplies                                          </v>
      </c>
      <c r="C90" s="15"/>
      <c r="D90" s="2">
        <f>SUM(OSRRefD21_18x_0)</f>
        <v>6941.0899999999992</v>
      </c>
      <c r="E90" s="2">
        <f>SUM(OSRRefD21_18x_1)</f>
        <v>26030.74</v>
      </c>
      <c r="F90" s="2">
        <f>SUM(OSRRefD21_18x_2)</f>
        <v>51611.32</v>
      </c>
      <c r="G90" s="2">
        <f>SUM(OSRRefD21_18x_3)</f>
        <v>90468.74</v>
      </c>
      <c r="H90" s="2">
        <f>SUM(OSRRefD21_18x_4)</f>
        <v>21671.710000000003</v>
      </c>
      <c r="I90" s="2">
        <f>SUM(OSRRefD21_18x_5)</f>
        <v>31034.079999999998</v>
      </c>
      <c r="J90" s="2">
        <f>SUM(OSRRefD21_18x_6)</f>
        <v>11479.149999999998</v>
      </c>
      <c r="K90" s="2">
        <f>SUM(OSRRefD21_18x_7)</f>
        <v>32111.83</v>
      </c>
      <c r="L90" s="2">
        <f>SUM(OSRRefD21_18x_8)</f>
        <v>25333.040000000001</v>
      </c>
      <c r="M90" s="2">
        <f>SUM(OSRRefD21_18x_9)</f>
        <v>46112.7</v>
      </c>
      <c r="N90" s="2">
        <f>SUM(OSRRefE21_18x_0)</f>
        <v>30475</v>
      </c>
      <c r="O90" s="2">
        <f>SUM(OSRRefE21_18x_1)</f>
        <v>26240</v>
      </c>
      <c r="Q90" s="3">
        <f>SUM(OSRRefD20_18x)+IFERROR(SUM(OSRRefE20_18x),0)</f>
        <v>399509.39999999997</v>
      </c>
    </row>
    <row r="91" spans="1:17" s="42" customFormat="1" ht="15" hidden="1" customHeight="1" outlineLevel="1" x14ac:dyDescent="0.3">
      <c r="A91" s="34"/>
      <c r="B91" s="11" t="str">
        <f>CONCATENATE("          ","6234"," - ","EXPENDABLE SUPPLIES &amp; EQUIPMEN")</f>
        <v xml:space="preserve">          6234 - EXPENDABLE SUPPLIES &amp; EQUIPMEN</v>
      </c>
      <c r="C91" s="15"/>
      <c r="D91" s="3"/>
      <c r="E91" s="3"/>
      <c r="F91" s="3">
        <v>21.98</v>
      </c>
      <c r="G91" s="3"/>
      <c r="H91" s="3"/>
      <c r="I91" s="3">
        <v>315</v>
      </c>
      <c r="J91" s="3">
        <v>57.77</v>
      </c>
      <c r="K91" s="3"/>
      <c r="L91" s="3">
        <v>108.73</v>
      </c>
      <c r="M91" s="3">
        <v>175.34</v>
      </c>
      <c r="N91" s="3">
        <v>342</v>
      </c>
      <c r="O91" s="3">
        <v>338</v>
      </c>
      <c r="P91" s="10"/>
      <c r="Q91" s="3">
        <f>SUM(OSRRefD21_18_0x)+IFERROR(SUM(OSRRefE21_18_0x),0)</f>
        <v>1358.8200000000002</v>
      </c>
    </row>
    <row r="92" spans="1:17" s="42" customFormat="1" ht="15" hidden="1" customHeight="1" outlineLevel="1" x14ac:dyDescent="0.3">
      <c r="A92" s="34"/>
      <c r="B92" s="11" t="str">
        <f>CONCATENATE("          ","6235"," - ","COVID-19 EXPENSES")</f>
        <v xml:space="preserve">          6235 - COVID-19 EXPENSES</v>
      </c>
      <c r="C92" s="15"/>
      <c r="D92" s="3"/>
      <c r="E92" s="3"/>
      <c r="F92" s="3">
        <v>193.5</v>
      </c>
      <c r="G92" s="3"/>
      <c r="H92" s="3"/>
      <c r="I92" s="3"/>
      <c r="J92" s="3">
        <v>318.42</v>
      </c>
      <c r="K92" s="3">
        <v>158.76</v>
      </c>
      <c r="L92" s="3">
        <v>107.16</v>
      </c>
      <c r="M92" s="3"/>
      <c r="N92" s="3">
        <v>250</v>
      </c>
      <c r="O92" s="3">
        <v>225</v>
      </c>
      <c r="P92" s="10"/>
      <c r="Q92" s="3">
        <f>SUM(OSRRefD21_18_1x)+IFERROR(SUM(OSRRefE21_18_1x),0)</f>
        <v>1252.8400000000001</v>
      </c>
    </row>
    <row r="93" spans="1:17" s="42" customFormat="1" ht="15" hidden="1" customHeight="1" outlineLevel="1" x14ac:dyDescent="0.3">
      <c r="A93" s="34"/>
      <c r="B93" s="11" t="str">
        <f>CONCATENATE("          ","6237"," - ","JANITORIAL SUPPLIES")</f>
        <v xml:space="preserve">          6237 - JANITORIAL SUPPLIES</v>
      </c>
      <c r="C93" s="15"/>
      <c r="D93" s="3">
        <v>4704.12</v>
      </c>
      <c r="E93" s="3">
        <v>3475.37</v>
      </c>
      <c r="F93" s="3">
        <v>13499.58</v>
      </c>
      <c r="G93" s="3">
        <v>5772.14</v>
      </c>
      <c r="H93" s="3">
        <v>4642.7700000000004</v>
      </c>
      <c r="I93" s="3">
        <v>5551.25</v>
      </c>
      <c r="J93" s="3">
        <v>2238.52</v>
      </c>
      <c r="K93" s="3">
        <v>9666.34</v>
      </c>
      <c r="L93" s="3">
        <v>6270.33</v>
      </c>
      <c r="M93" s="3">
        <v>23907.66</v>
      </c>
      <c r="N93" s="3">
        <v>9975</v>
      </c>
      <c r="O93" s="3">
        <v>7925</v>
      </c>
      <c r="P93" s="10"/>
      <c r="Q93" s="3">
        <f>SUM(OSRRefD21_18_2x)+IFERROR(SUM(OSRRefE21_18_2x),0)</f>
        <v>97628.08</v>
      </c>
    </row>
    <row r="94" spans="1:17" s="42" customFormat="1" ht="15" hidden="1" customHeight="1" outlineLevel="1" x14ac:dyDescent="0.3">
      <c r="A94" s="34"/>
      <c r="B94" s="11" t="str">
        <f>CONCATENATE("          ","6239"," - ","KITCHEN SUPPLIES")</f>
        <v xml:space="preserve">          6239 - KITCHEN SUPPLIES</v>
      </c>
      <c r="C94" s="15"/>
      <c r="D94" s="3">
        <v>32.03</v>
      </c>
      <c r="E94" s="3">
        <v>3069.8</v>
      </c>
      <c r="F94" s="3">
        <v>11018.05</v>
      </c>
      <c r="G94" s="3">
        <v>10993.74</v>
      </c>
      <c r="H94" s="3">
        <v>1163.5</v>
      </c>
      <c r="I94" s="3">
        <v>738.59</v>
      </c>
      <c r="J94" s="3">
        <v>1944.52</v>
      </c>
      <c r="K94" s="3">
        <v>3639.07</v>
      </c>
      <c r="L94" s="3">
        <v>3919.57</v>
      </c>
      <c r="M94" s="3">
        <v>8107.13</v>
      </c>
      <c r="N94" s="3">
        <v>3300</v>
      </c>
      <c r="O94" s="3">
        <v>3300</v>
      </c>
      <c r="P94" s="10"/>
      <c r="Q94" s="3">
        <f>SUM(OSRRefD21_18_3x)+IFERROR(SUM(OSRRefE21_18_3x),0)</f>
        <v>51226</v>
      </c>
    </row>
    <row r="95" spans="1:17" s="42" customFormat="1" ht="15" hidden="1" customHeight="1" outlineLevel="1" x14ac:dyDescent="0.3">
      <c r="A95" s="34"/>
      <c r="B95" s="11" t="str">
        <f>CONCATENATE("          ","6241"," - ","OFFICE EXPENSE")</f>
        <v xml:space="preserve">          6241 - OFFICE EXPENSE</v>
      </c>
      <c r="C95" s="15"/>
      <c r="D95" s="3">
        <v>976.49</v>
      </c>
      <c r="E95" s="3">
        <v>4615.03</v>
      </c>
      <c r="F95" s="3">
        <v>2804.71</v>
      </c>
      <c r="G95" s="3">
        <v>8396.0300000000007</v>
      </c>
      <c r="H95" s="3">
        <v>816.89</v>
      </c>
      <c r="I95" s="3">
        <v>2665.46</v>
      </c>
      <c r="J95" s="3">
        <v>792.05</v>
      </c>
      <c r="K95" s="3">
        <v>2281.86</v>
      </c>
      <c r="L95" s="3">
        <v>1123.8800000000001</v>
      </c>
      <c r="M95" s="3">
        <v>102.34</v>
      </c>
      <c r="N95" s="3">
        <v>1495</v>
      </c>
      <c r="O95" s="3">
        <v>1445</v>
      </c>
      <c r="P95" s="10"/>
      <c r="Q95" s="3">
        <f>SUM(OSRRefD21_18_4x)+IFERROR(SUM(OSRRefE21_18_4x),0)</f>
        <v>27514.74</v>
      </c>
    </row>
    <row r="96" spans="1:17" s="42" customFormat="1" ht="15" hidden="1" customHeight="1" outlineLevel="1" x14ac:dyDescent="0.3">
      <c r="A96" s="34"/>
      <c r="B96" s="11" t="str">
        <f>CONCATENATE("          ","6243"," - ","PAPER SUPPLIES")</f>
        <v xml:space="preserve">          6243 - PAPER SUPPLIES</v>
      </c>
      <c r="C96" s="15"/>
      <c r="D96" s="3">
        <v>1228.45</v>
      </c>
      <c r="E96" s="3">
        <v>14670.54</v>
      </c>
      <c r="F96" s="3">
        <v>23477.5</v>
      </c>
      <c r="G96" s="3">
        <v>58236.19</v>
      </c>
      <c r="H96" s="3">
        <v>14679.37</v>
      </c>
      <c r="I96" s="3">
        <v>21319.1</v>
      </c>
      <c r="J96" s="3">
        <v>5583.57</v>
      </c>
      <c r="K96" s="3">
        <v>14118.76</v>
      </c>
      <c r="L96" s="3">
        <v>12116.33</v>
      </c>
      <c r="M96" s="3">
        <v>13725.13</v>
      </c>
      <c r="N96" s="3">
        <v>13900</v>
      </c>
      <c r="O96" s="3">
        <v>11800</v>
      </c>
      <c r="P96" s="10"/>
      <c r="Q96" s="3">
        <f>SUM(OSRRefD21_18_5x)+IFERROR(SUM(OSRRefE21_18_5x),0)</f>
        <v>204854.94</v>
      </c>
    </row>
    <row r="97" spans="1:17" s="42" customFormat="1" ht="15" hidden="1" customHeight="1" outlineLevel="1" x14ac:dyDescent="0.3">
      <c r="A97" s="34"/>
      <c r="B97" s="11" t="str">
        <f>CONCATENATE("          ","6244"," - ","SAFETY SUPPLY EXPENSE")</f>
        <v xml:space="preserve">          6244 - SAFETY SUPPLY EXPENSE</v>
      </c>
      <c r="C97" s="15"/>
      <c r="D97" s="3"/>
      <c r="E97" s="3"/>
      <c r="F97" s="3"/>
      <c r="G97" s="3"/>
      <c r="H97" s="3"/>
      <c r="I97" s="3"/>
      <c r="J97" s="3"/>
      <c r="K97" s="3"/>
      <c r="L97" s="3"/>
      <c r="M97" s="3"/>
      <c r="N97" s="3">
        <v>525</v>
      </c>
      <c r="O97" s="3">
        <v>525</v>
      </c>
      <c r="P97" s="10"/>
      <c r="Q97" s="3">
        <f>SUM(OSRRefD21_18_6x)+IFERROR(SUM(OSRRefE21_18_6x),0)</f>
        <v>1050</v>
      </c>
    </row>
    <row r="98" spans="1:17" s="42" customFormat="1" ht="15" hidden="1" customHeight="1" outlineLevel="1" x14ac:dyDescent="0.3">
      <c r="A98" s="34"/>
      <c r="B98" s="11" t="str">
        <f>CONCATENATE("          ","6245"," - ","PRINTING")</f>
        <v xml:space="preserve">          6245 - PRINTING</v>
      </c>
      <c r="C98" s="15"/>
      <c r="D98" s="3"/>
      <c r="E98" s="3"/>
      <c r="F98" s="3"/>
      <c r="G98" s="3">
        <v>1071</v>
      </c>
      <c r="H98" s="3"/>
      <c r="I98" s="3"/>
      <c r="J98" s="3"/>
      <c r="K98" s="3"/>
      <c r="L98" s="3"/>
      <c r="M98" s="3"/>
      <c r="N98" s="3">
        <v>100</v>
      </c>
      <c r="O98" s="3">
        <v>100</v>
      </c>
      <c r="P98" s="10"/>
      <c r="Q98" s="3">
        <f>SUM(OSRRefD21_18_7x)+IFERROR(SUM(OSRRefE21_18_7x),0)</f>
        <v>1271</v>
      </c>
    </row>
    <row r="99" spans="1:17" s="42" customFormat="1" ht="15" hidden="1" customHeight="1" outlineLevel="1" x14ac:dyDescent="0.3">
      <c r="A99" s="34"/>
      <c r="B99" s="11" t="str">
        <f>CONCATENATE("          ","6247"," - ","STORE SUPPLIES")</f>
        <v xml:space="preserve">          6247 - STORE SUPPLIES</v>
      </c>
      <c r="C99" s="15"/>
      <c r="D99" s="3"/>
      <c r="E99" s="3">
        <v>200</v>
      </c>
      <c r="F99" s="3">
        <v>596</v>
      </c>
      <c r="G99" s="3">
        <v>388.41</v>
      </c>
      <c r="H99" s="3">
        <v>116.23</v>
      </c>
      <c r="I99" s="3">
        <v>444.68</v>
      </c>
      <c r="J99" s="3">
        <v>195</v>
      </c>
      <c r="K99" s="3">
        <v>724.79</v>
      </c>
      <c r="L99" s="3">
        <v>89.38</v>
      </c>
      <c r="M99" s="3">
        <v>-103.35</v>
      </c>
      <c r="N99" s="3"/>
      <c r="O99" s="3"/>
      <c r="P99" s="10"/>
      <c r="Q99" s="3">
        <f>SUM(OSRRefD21_18_8x)+IFERROR(SUM(OSRRefE21_18_8x),0)</f>
        <v>2651.1400000000003</v>
      </c>
    </row>
    <row r="100" spans="1:17" s="42" customFormat="1" ht="15" hidden="1" customHeight="1" outlineLevel="1" x14ac:dyDescent="0.3">
      <c r="A100" s="34"/>
      <c r="B100" s="11" t="str">
        <f>CONCATENATE("          ","6248"," - ","UNIFORMS")</f>
        <v xml:space="preserve">          6248 - UNIFORMS</v>
      </c>
      <c r="C100" s="15"/>
      <c r="D100" s="3"/>
      <c r="E100" s="3"/>
      <c r="F100" s="3"/>
      <c r="G100" s="3">
        <v>5611.23</v>
      </c>
      <c r="H100" s="3">
        <v>252.95</v>
      </c>
      <c r="I100" s="3"/>
      <c r="J100" s="3">
        <v>349.3</v>
      </c>
      <c r="K100" s="3">
        <v>1522.25</v>
      </c>
      <c r="L100" s="3">
        <v>1597.66</v>
      </c>
      <c r="M100" s="3">
        <v>198.45</v>
      </c>
      <c r="N100" s="3">
        <v>588</v>
      </c>
      <c r="O100" s="3">
        <v>582</v>
      </c>
      <c r="P100" s="10"/>
      <c r="Q100" s="3">
        <f>SUM(OSRRefD21_18_9x)+IFERROR(SUM(OSRRefE21_18_9x),0)</f>
        <v>10701.84</v>
      </c>
    </row>
    <row r="101" spans="1:17" s="42" customFormat="1" ht="15" customHeight="1" collapsed="1" x14ac:dyDescent="0.3">
      <c r="A101" s="34"/>
      <c r="B101" s="15" t="str">
        <f>CONCATENATE("     ","Telephone/Data Lines                              ")</f>
        <v xml:space="preserve">     Telephone/Data Lines                              </v>
      </c>
      <c r="C101" s="15"/>
      <c r="D101" s="2">
        <f>SUM(OSRRefD21_19x_0)</f>
        <v>1022.55</v>
      </c>
      <c r="E101" s="2">
        <f>SUM(OSRRefD21_19x_1)</f>
        <v>1344.95</v>
      </c>
      <c r="F101" s="2">
        <f>SUM(OSRRefD21_19x_2)</f>
        <v>1508.13</v>
      </c>
      <c r="G101" s="2">
        <f>SUM(OSRRefD21_19x_3)</f>
        <v>2237.61</v>
      </c>
      <c r="H101" s="2">
        <f>SUM(OSRRefD21_19x_4)</f>
        <v>1356.1</v>
      </c>
      <c r="I101" s="2">
        <f>SUM(OSRRefD21_19x_5)</f>
        <v>461.45</v>
      </c>
      <c r="J101" s="2">
        <f>SUM(OSRRefD21_19x_6)</f>
        <v>1654.65</v>
      </c>
      <c r="K101" s="2">
        <f>SUM(OSRRefD21_19x_7)</f>
        <v>1396.8</v>
      </c>
      <c r="L101" s="2">
        <f>SUM(OSRRefD21_19x_8)</f>
        <v>1394.15</v>
      </c>
      <c r="M101" s="2">
        <f>SUM(OSRRefD21_19x_9)</f>
        <v>2222</v>
      </c>
      <c r="N101" s="2">
        <f>SUM(OSRRefE21_19x_0)</f>
        <v>1111</v>
      </c>
      <c r="O101" s="2">
        <f>SUM(OSRRefE21_19x_1)</f>
        <v>965</v>
      </c>
      <c r="Q101" s="3">
        <f>SUM(OSRRefD20_19x)+IFERROR(SUM(OSRRefE20_19x),0)</f>
        <v>16674.39</v>
      </c>
    </row>
    <row r="102" spans="1:17" s="42" customFormat="1" ht="15" hidden="1" customHeight="1" outlineLevel="1" x14ac:dyDescent="0.3">
      <c r="A102" s="34"/>
      <c r="B102" s="11" t="str">
        <f>CONCATENATE("          ","6303"," - ","DATA PHONE LINES")</f>
        <v xml:space="preserve">          6303 - DATA PHONE LINES</v>
      </c>
      <c r="C102" s="15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>
        <v>193</v>
      </c>
      <c r="O102" s="3">
        <v>197</v>
      </c>
      <c r="P102" s="10"/>
      <c r="Q102" s="3">
        <f>SUM(OSRRefD21_19_0x)+IFERROR(SUM(OSRRefE21_19_0x),0)</f>
        <v>390</v>
      </c>
    </row>
    <row r="103" spans="1:17" s="42" customFormat="1" ht="15" hidden="1" customHeight="1" outlineLevel="1" x14ac:dyDescent="0.3">
      <c r="A103" s="34"/>
      <c r="B103" s="11" t="str">
        <f>CONCATENATE("          ","6309"," - ","TELEPHONE")</f>
        <v xml:space="preserve">          6309 - TELEPHONE</v>
      </c>
      <c r="C103" s="15"/>
      <c r="D103" s="3">
        <v>1022.55</v>
      </c>
      <c r="E103" s="3">
        <v>1344.95</v>
      </c>
      <c r="F103" s="3">
        <v>1508.13</v>
      </c>
      <c r="G103" s="3">
        <v>2237.61</v>
      </c>
      <c r="H103" s="3">
        <v>1356.1</v>
      </c>
      <c r="I103" s="3">
        <v>461.45</v>
      </c>
      <c r="J103" s="3">
        <v>1654.65</v>
      </c>
      <c r="K103" s="3">
        <v>1396.8</v>
      </c>
      <c r="L103" s="3">
        <v>1394.15</v>
      </c>
      <c r="M103" s="3">
        <v>2222</v>
      </c>
      <c r="N103" s="3">
        <v>918</v>
      </c>
      <c r="O103" s="3">
        <v>768</v>
      </c>
      <c r="P103" s="10"/>
      <c r="Q103" s="3">
        <f>SUM(OSRRefD21_19_1x)+IFERROR(SUM(OSRRefE21_19_1x),0)</f>
        <v>16284.39</v>
      </c>
    </row>
    <row r="104" spans="1:17" s="42" customFormat="1" ht="15" customHeight="1" collapsed="1" x14ac:dyDescent="0.3">
      <c r="A104" s="34"/>
      <c r="B104" s="15" t="str">
        <f>CONCATENATE("     ","Training                                          ")</f>
        <v xml:space="preserve">     Training                                          </v>
      </c>
      <c r="C104" s="15"/>
      <c r="D104" s="2">
        <f>SUM(OSRRefD21_20x_0)</f>
        <v>0</v>
      </c>
      <c r="E104" s="2">
        <f>SUM(OSRRefD21_20x_1)</f>
        <v>0</v>
      </c>
      <c r="F104" s="2">
        <f>SUM(OSRRefD21_20x_2)</f>
        <v>0</v>
      </c>
      <c r="G104" s="2">
        <f>SUM(OSRRefD21_20x_3)</f>
        <v>0</v>
      </c>
      <c r="H104" s="2">
        <f>SUM(OSRRefD21_20x_4)</f>
        <v>245</v>
      </c>
      <c r="I104" s="2">
        <f>SUM(OSRRefD21_20x_5)</f>
        <v>825</v>
      </c>
      <c r="J104" s="2">
        <f>SUM(OSRRefD21_20x_6)</f>
        <v>323.87</v>
      </c>
      <c r="K104" s="2">
        <f>SUM(OSRRefD21_20x_7)</f>
        <v>4480</v>
      </c>
      <c r="L104" s="2">
        <f>SUM(OSRRefD21_20x_8)</f>
        <v>2465.1</v>
      </c>
      <c r="M104" s="2">
        <f>SUM(OSRRefD21_20x_9)</f>
        <v>951.95</v>
      </c>
      <c r="N104" s="2">
        <f>SUM(OSRRefE21_20x_0)</f>
        <v>615</v>
      </c>
      <c r="O104" s="2">
        <f>SUM(OSRRefE21_20x_1)</f>
        <v>1615</v>
      </c>
      <c r="Q104" s="3">
        <f>SUM(OSRRefD20_20x)+IFERROR(SUM(OSRRefE20_20x),0)</f>
        <v>11520.92</v>
      </c>
    </row>
    <row r="105" spans="1:17" s="42" customFormat="1" ht="15" hidden="1" customHeight="1" outlineLevel="1" x14ac:dyDescent="0.3">
      <c r="A105" s="34"/>
      <c r="B105" s="11" t="str">
        <f>CONCATENATE("          ","6376"," - ","TRAINING")</f>
        <v xml:space="preserve">          6376 - TRAINING</v>
      </c>
      <c r="C105" s="15"/>
      <c r="D105" s="3"/>
      <c r="E105" s="3"/>
      <c r="F105" s="3"/>
      <c r="G105" s="3"/>
      <c r="H105" s="3">
        <v>245</v>
      </c>
      <c r="I105" s="3">
        <v>825</v>
      </c>
      <c r="J105" s="3">
        <v>323.87</v>
      </c>
      <c r="K105" s="3">
        <v>4480</v>
      </c>
      <c r="L105" s="3">
        <v>2465.1</v>
      </c>
      <c r="M105" s="3">
        <v>951.95</v>
      </c>
      <c r="N105" s="3">
        <v>615</v>
      </c>
      <c r="O105" s="3">
        <v>1615</v>
      </c>
      <c r="P105" s="10"/>
      <c r="Q105" s="3">
        <f>SUM(OSRRefD21_20_0x)+IFERROR(SUM(OSRRefE21_20_0x),0)</f>
        <v>11520.92</v>
      </c>
    </row>
    <row r="106" spans="1:17" s="42" customFormat="1" ht="15" customHeight="1" collapsed="1" x14ac:dyDescent="0.3">
      <c r="A106" s="34"/>
      <c r="B106" s="15" t="str">
        <f>CONCATENATE("     ","Travel                                            ")</f>
        <v xml:space="preserve">     Travel                                            </v>
      </c>
      <c r="C106" s="15"/>
      <c r="D106" s="2">
        <f>SUM(OSRRefD21_21x_0)</f>
        <v>0</v>
      </c>
      <c r="E106" s="2">
        <f>SUM(OSRRefD21_21x_1)</f>
        <v>595</v>
      </c>
      <c r="F106" s="2">
        <f>SUM(OSRRefD21_21x_2)</f>
        <v>104.02</v>
      </c>
      <c r="G106" s="2">
        <f>SUM(OSRRefD21_21x_3)</f>
        <v>0</v>
      </c>
      <c r="H106" s="2">
        <f>SUM(OSRRefD21_21x_4)</f>
        <v>18.59</v>
      </c>
      <c r="I106" s="2">
        <f>SUM(OSRRefD21_21x_5)</f>
        <v>0</v>
      </c>
      <c r="J106" s="2">
        <f>SUM(OSRRefD21_21x_6)</f>
        <v>0</v>
      </c>
      <c r="K106" s="2">
        <f>SUM(OSRRefD21_21x_7)</f>
        <v>122.65</v>
      </c>
      <c r="L106" s="2">
        <f>SUM(OSRRefD21_21x_8)</f>
        <v>135.02000000000001</v>
      </c>
      <c r="M106" s="2">
        <f>SUM(OSRRefD21_21x_9)</f>
        <v>0</v>
      </c>
      <c r="N106" s="2">
        <f>SUM(OSRRefE21_21x_0)</f>
        <v>0</v>
      </c>
      <c r="O106" s="2">
        <f>SUM(OSRRefE21_21x_1)</f>
        <v>0</v>
      </c>
      <c r="Q106" s="3">
        <f>SUM(OSRRefD20_21x)+IFERROR(SUM(OSRRefE20_21x),0)</f>
        <v>975.28</v>
      </c>
    </row>
    <row r="107" spans="1:17" s="42" customFormat="1" ht="15" hidden="1" customHeight="1" outlineLevel="1" x14ac:dyDescent="0.3">
      <c r="A107" s="34"/>
      <c r="B107" s="11" t="str">
        <f>CONCATENATE("          ","6292"," - ","TRAVEL/CONFERENCE")</f>
        <v xml:space="preserve">          6292 - TRAVEL/CONFERENCE</v>
      </c>
      <c r="C107" s="15"/>
      <c r="D107" s="3"/>
      <c r="E107" s="3">
        <v>595</v>
      </c>
      <c r="F107" s="3"/>
      <c r="G107" s="3"/>
      <c r="H107" s="3">
        <v>18.59</v>
      </c>
      <c r="I107" s="3"/>
      <c r="J107" s="3"/>
      <c r="K107" s="3"/>
      <c r="L107" s="3"/>
      <c r="M107" s="3"/>
      <c r="N107" s="3"/>
      <c r="O107" s="3"/>
      <c r="P107" s="10"/>
      <c r="Q107" s="3">
        <f>SUM(OSRRefD21_21_0x)+IFERROR(SUM(OSRRefE21_21_0x),0)</f>
        <v>613.59</v>
      </c>
    </row>
    <row r="108" spans="1:17" s="42" customFormat="1" ht="15" hidden="1" customHeight="1" outlineLevel="1" x14ac:dyDescent="0.3">
      <c r="A108" s="34"/>
      <c r="B108" s="11" t="str">
        <f>CONCATENATE("          ","6298"," - ","VEHICLE MILEAGE")</f>
        <v xml:space="preserve">          6298 - VEHICLE MILEAGE</v>
      </c>
      <c r="C108" s="15"/>
      <c r="D108" s="3"/>
      <c r="E108" s="3"/>
      <c r="F108" s="3">
        <v>104.02</v>
      </c>
      <c r="G108" s="3"/>
      <c r="H108" s="3"/>
      <c r="I108" s="3"/>
      <c r="J108" s="3"/>
      <c r="K108" s="3">
        <v>122.65</v>
      </c>
      <c r="L108" s="3">
        <v>135.02000000000001</v>
      </c>
      <c r="M108" s="3"/>
      <c r="N108" s="3"/>
      <c r="O108" s="3"/>
      <c r="P108" s="10"/>
      <c r="Q108" s="3">
        <f>SUM(OSRRefD21_21_1x)+IFERROR(SUM(OSRRefE21_21_1x),0)</f>
        <v>361.69000000000005</v>
      </c>
    </row>
    <row r="109" spans="1:17" s="42" customFormat="1" ht="15" customHeight="1" collapsed="1" x14ac:dyDescent="0.3">
      <c r="A109" s="34"/>
      <c r="B109" s="15" t="str">
        <f>CONCATENATE("     ","Utilities                                         ")</f>
        <v xml:space="preserve">     Utilities                                         </v>
      </c>
      <c r="C109" s="15"/>
      <c r="D109" s="2">
        <f>SUM(OSRRefD21_22x_0)</f>
        <v>8150</v>
      </c>
      <c r="E109" s="2">
        <f>SUM(OSRRefD21_22x_1)</f>
        <v>8150</v>
      </c>
      <c r="F109" s="2">
        <f>SUM(OSRRefD21_22x_2)</f>
        <v>8150</v>
      </c>
      <c r="G109" s="2">
        <f>SUM(OSRRefD21_22x_3)</f>
        <v>5750</v>
      </c>
      <c r="H109" s="2">
        <f>SUM(OSRRefD21_22x_4)</f>
        <v>8150</v>
      </c>
      <c r="I109" s="2">
        <f>SUM(OSRRefD21_22x_5)</f>
        <v>8150</v>
      </c>
      <c r="J109" s="2">
        <f>SUM(OSRRefD21_22x_6)</f>
        <v>8150</v>
      </c>
      <c r="K109" s="2">
        <f>SUM(OSRRefD21_22x_7)</f>
        <v>8150</v>
      </c>
      <c r="L109" s="2">
        <f>SUM(OSRRefD21_22x_8)</f>
        <v>8150</v>
      </c>
      <c r="M109" s="2">
        <f>SUM(OSRRefD21_22x_9)</f>
        <v>8150</v>
      </c>
      <c r="N109" s="2">
        <f>SUM(OSRRefE21_22x_0)</f>
        <v>8667</v>
      </c>
      <c r="O109" s="2">
        <f>SUM(OSRRefE21_22x_1)</f>
        <v>8663</v>
      </c>
      <c r="Q109" s="3">
        <f>SUM(OSRRefD20_22x)+IFERROR(SUM(OSRRefE20_22x),0)</f>
        <v>96430</v>
      </c>
    </row>
    <row r="110" spans="1:17" s="42" customFormat="1" ht="15" hidden="1" customHeight="1" outlineLevel="1" x14ac:dyDescent="0.3">
      <c r="A110" s="34"/>
      <c r="B110" s="11" t="str">
        <f>CONCATENATE("          ","6274"," - ","UTILITIES")</f>
        <v xml:space="preserve">          6274 - UTILITIES</v>
      </c>
      <c r="C110" s="15"/>
      <c r="D110" s="3">
        <v>8150</v>
      </c>
      <c r="E110" s="3">
        <v>8150</v>
      </c>
      <c r="F110" s="3">
        <v>8150</v>
      </c>
      <c r="G110" s="3">
        <v>5750</v>
      </c>
      <c r="H110" s="3">
        <v>8150</v>
      </c>
      <c r="I110" s="3">
        <v>8150</v>
      </c>
      <c r="J110" s="3">
        <v>8150</v>
      </c>
      <c r="K110" s="3">
        <v>8150</v>
      </c>
      <c r="L110" s="3">
        <v>8150</v>
      </c>
      <c r="M110" s="3">
        <v>8150</v>
      </c>
      <c r="N110" s="3">
        <v>8667</v>
      </c>
      <c r="O110" s="3">
        <v>8663</v>
      </c>
      <c r="P110" s="10"/>
      <c r="Q110" s="3">
        <f>SUM(OSRRefD21_22_0x)+IFERROR(SUM(OSRRefE21_22_0x),0)</f>
        <v>96430</v>
      </c>
    </row>
    <row r="111" spans="1:17" s="40" customFormat="1" ht="15" customHeight="1" x14ac:dyDescent="0.3">
      <c r="A111" s="22"/>
      <c r="B111" s="22"/>
      <c r="C111" s="2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Q111" s="2"/>
    </row>
    <row r="112" spans="1:17" s="39" customFormat="1" ht="15" customHeight="1" x14ac:dyDescent="0.3">
      <c r="A112" s="24"/>
      <c r="B112" s="17" t="s">
        <v>287</v>
      </c>
      <c r="C112" s="23"/>
      <c r="D112" s="4">
        <f>--2655.42</f>
        <v>2655.42</v>
      </c>
      <c r="E112" s="4">
        <f>--11546.83</f>
        <v>11546.83</v>
      </c>
      <c r="F112" s="4">
        <f>--2991.8</f>
        <v>2991.8</v>
      </c>
      <c r="G112" s="4">
        <f>--6812.67</f>
        <v>6812.67</v>
      </c>
      <c r="H112" s="4">
        <f>--6011.63</f>
        <v>6011.63</v>
      </c>
      <c r="I112" s="4">
        <f>--104600.16</f>
        <v>104600.16</v>
      </c>
      <c r="J112" s="4">
        <f>--6523.34</f>
        <v>6523.34</v>
      </c>
      <c r="K112" s="4">
        <f>--2073.62</f>
        <v>2073.62</v>
      </c>
      <c r="L112" s="4">
        <f>--25319.38</f>
        <v>25319.38</v>
      </c>
      <c r="M112" s="4">
        <f>--6601.19</f>
        <v>6601.19</v>
      </c>
      <c r="N112" s="4">
        <v>29120.49</v>
      </c>
      <c r="O112" s="4">
        <v>12000</v>
      </c>
      <c r="Q112" s="3">
        <f>SUM(OSRRefD23_0x)+IFERROR(SUM(OSRRefE23_0x),0)</f>
        <v>216256.53000000003</v>
      </c>
    </row>
    <row r="113" spans="1:17" ht="15" customHeight="1" x14ac:dyDescent="0.3">
      <c r="A113" s="6"/>
      <c r="B113" s="7"/>
      <c r="C113" s="7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Q113" s="4"/>
    </row>
    <row r="114" spans="1:17" s="37" customFormat="1" ht="15" customHeight="1" x14ac:dyDescent="0.3">
      <c r="A114" s="7"/>
      <c r="B114" s="18" t="s">
        <v>288</v>
      </c>
      <c r="C114" s="18"/>
      <c r="D114" s="9">
        <f t="shared" ref="D114:O114" si="2">IFERROR(+D25-D28+D112,0)</f>
        <v>-317324.16000000009</v>
      </c>
      <c r="E114" s="9">
        <f t="shared" si="2"/>
        <v>-157299.33000000016</v>
      </c>
      <c r="F114" s="9">
        <f t="shared" si="2"/>
        <v>478205.95999999967</v>
      </c>
      <c r="G114" s="9">
        <f t="shared" si="2"/>
        <v>311683.56999999977</v>
      </c>
      <c r="H114" s="9">
        <f t="shared" si="2"/>
        <v>420777.39</v>
      </c>
      <c r="I114" s="9">
        <f t="shared" si="2"/>
        <v>269260.17000000027</v>
      </c>
      <c r="J114" s="9">
        <f t="shared" si="2"/>
        <v>24382.88999999993</v>
      </c>
      <c r="K114" s="9">
        <f t="shared" si="2"/>
        <v>490986.60999999987</v>
      </c>
      <c r="L114" s="9">
        <f t="shared" si="2"/>
        <v>490437.67999999959</v>
      </c>
      <c r="M114" s="9">
        <f t="shared" si="2"/>
        <v>722754.3200000003</v>
      </c>
      <c r="N114" s="9">
        <f t="shared" si="2"/>
        <v>-2951.943641278649</v>
      </c>
      <c r="O114" s="9">
        <f t="shared" si="2"/>
        <v>-371608.70111112983</v>
      </c>
      <c r="Q114" s="9">
        <f>IFERROR(+Q25-Q28+Q112,0)</f>
        <v>2359304.455247594</v>
      </c>
    </row>
    <row r="115" spans="1:17" s="38" customFormat="1" ht="15" customHeight="1" x14ac:dyDescent="0.3">
      <c r="B115" s="17"/>
      <c r="C115" s="17"/>
      <c r="D115" s="5">
        <f t="shared" ref="D115:O115" si="3">IFERROR(D114/D10,0)</f>
        <v>-7.4332791594030061</v>
      </c>
      <c r="E115" s="5">
        <f t="shared" si="3"/>
        <v>-0.29374127852659226</v>
      </c>
      <c r="F115" s="5">
        <f t="shared" si="3"/>
        <v>0.30718038826564709</v>
      </c>
      <c r="G115" s="5">
        <f t="shared" si="3"/>
        <v>0.17406280083541131</v>
      </c>
      <c r="H115" s="5">
        <f t="shared" si="3"/>
        <v>0.30325642251689805</v>
      </c>
      <c r="I115" s="5">
        <f t="shared" si="3"/>
        <v>0.25194235069363147</v>
      </c>
      <c r="J115" s="5">
        <f t="shared" si="3"/>
        <v>3.769425273446491E-2</v>
      </c>
      <c r="K115" s="5">
        <f t="shared" si="3"/>
        <v>0.30552308964425068</v>
      </c>
      <c r="L115" s="5">
        <f t="shared" si="3"/>
        <v>0.29584737422118518</v>
      </c>
      <c r="M115" s="5">
        <f t="shared" si="3"/>
        <v>0.35725311400639209</v>
      </c>
      <c r="N115" s="5">
        <f t="shared" si="3"/>
        <v>-3.4699519478635045E-3</v>
      </c>
      <c r="O115" s="5">
        <f t="shared" si="3"/>
        <v>-4.3937843018247476</v>
      </c>
      <c r="P115" s="19"/>
      <c r="Q115" s="5">
        <f>IFERROR(Q114/Q10,0)</f>
        <v>0.17803556154565559</v>
      </c>
    </row>
    <row r="116" spans="1:17" ht="15" customHeight="1" x14ac:dyDescent="0.3">
      <c r="A116" s="6"/>
      <c r="B116" s="7"/>
      <c r="C116" s="6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Q116" s="4"/>
    </row>
    <row r="117" spans="1:17" s="37" customFormat="1" ht="15" customHeight="1" x14ac:dyDescent="0.3">
      <c r="A117" s="26"/>
      <c r="B117" s="7" t="s">
        <v>289</v>
      </c>
      <c r="C117" s="7"/>
      <c r="D117" s="4">
        <v>19722.46</v>
      </c>
      <c r="E117" s="4">
        <v>66678.61</v>
      </c>
      <c r="F117" s="4">
        <v>177853.95</v>
      </c>
      <c r="G117" s="4">
        <v>189510.82</v>
      </c>
      <c r="H117" s="4">
        <v>179089.22</v>
      </c>
      <c r="I117" s="4">
        <v>135334.26999999999</v>
      </c>
      <c r="J117" s="4">
        <v>162183.64000000001</v>
      </c>
      <c r="K117" s="4">
        <v>147565.12</v>
      </c>
      <c r="L117" s="4">
        <v>150564.98000000001</v>
      </c>
      <c r="M117" s="4">
        <v>166766.89000000001</v>
      </c>
      <c r="N117" s="4">
        <v>115001</v>
      </c>
      <c r="O117" s="4">
        <v>-105840</v>
      </c>
      <c r="Q117" s="3">
        <f>SUM(OSRRefD28_0x)+IFERROR(SUM(OSRRefE28_0x),0)</f>
        <v>1404430.96</v>
      </c>
    </row>
    <row r="118" spans="1:17" ht="15" customHeight="1" x14ac:dyDescent="0.3">
      <c r="A118" s="6"/>
      <c r="B118" s="7"/>
      <c r="C118" s="7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Q118" s="4"/>
    </row>
    <row r="119" spans="1:17" s="37" customFormat="1" ht="15.75" customHeight="1" x14ac:dyDescent="0.3">
      <c r="A119" s="7"/>
      <c r="B119" s="18" t="s">
        <v>290</v>
      </c>
      <c r="C119" s="18"/>
      <c r="D119" s="8">
        <f t="shared" ref="D119:O119" si="4">IFERROR(+D114-D117,0)</f>
        <v>-337046.62000000011</v>
      </c>
      <c r="E119" s="8">
        <f t="shared" si="4"/>
        <v>-223977.94000000018</v>
      </c>
      <c r="F119" s="8">
        <f t="shared" si="4"/>
        <v>300352.00999999966</v>
      </c>
      <c r="G119" s="8">
        <f t="shared" si="4"/>
        <v>122172.74999999977</v>
      </c>
      <c r="H119" s="8">
        <f t="shared" si="4"/>
        <v>241688.17</v>
      </c>
      <c r="I119" s="8">
        <f t="shared" si="4"/>
        <v>133925.90000000029</v>
      </c>
      <c r="J119" s="8">
        <f t="shared" si="4"/>
        <v>-137800.75000000009</v>
      </c>
      <c r="K119" s="8">
        <f t="shared" si="4"/>
        <v>343421.48999999987</v>
      </c>
      <c r="L119" s="8">
        <f t="shared" si="4"/>
        <v>339872.6999999996</v>
      </c>
      <c r="M119" s="8">
        <f t="shared" si="4"/>
        <v>555987.43000000028</v>
      </c>
      <c r="N119" s="8">
        <f t="shared" si="4"/>
        <v>-117952.94364127865</v>
      </c>
      <c r="O119" s="8">
        <f t="shared" si="4"/>
        <v>-265768.70111112983</v>
      </c>
      <c r="Q119" s="8">
        <f>IFERROR(+Q114-Q117,0)</f>
        <v>954873.49524759408</v>
      </c>
    </row>
    <row r="120" spans="1:17" ht="15.75" customHeight="1" x14ac:dyDescent="0.3">
      <c r="A120" s="6"/>
      <c r="B120" s="6"/>
      <c r="C120" s="6"/>
      <c r="D120" s="5">
        <f t="shared" ref="D120:O120" si="5">IFERROR(D119/D10,0)</f>
        <v>-7.8952753430221776</v>
      </c>
      <c r="E120" s="5">
        <f t="shared" si="5"/>
        <v>-0.4182571308940245</v>
      </c>
      <c r="F120" s="5">
        <f t="shared" si="5"/>
        <v>0.19293412204266019</v>
      </c>
      <c r="G120" s="5">
        <f t="shared" si="5"/>
        <v>6.8228591743749831E-2</v>
      </c>
      <c r="H120" s="5">
        <f t="shared" si="5"/>
        <v>0.17418590337958959</v>
      </c>
      <c r="I120" s="5">
        <f t="shared" si="5"/>
        <v>0.12531228092428323</v>
      </c>
      <c r="J120" s="5">
        <f t="shared" si="5"/>
        <v>-0.21303037898702054</v>
      </c>
      <c r="K120" s="5">
        <f t="shared" si="5"/>
        <v>0.21369868859566687</v>
      </c>
      <c r="L120" s="5">
        <f t="shared" si="5"/>
        <v>0.20502186101293146</v>
      </c>
      <c r="M120" s="5">
        <f t="shared" si="5"/>
        <v>0.27482124315204504</v>
      </c>
      <c r="N120" s="5">
        <f t="shared" si="5"/>
        <v>-0.13865137559570836</v>
      </c>
      <c r="O120" s="5">
        <f t="shared" si="5"/>
        <v>-3.1423654596000028</v>
      </c>
      <c r="P120" s="19"/>
      <c r="Q120" s="5">
        <f>IFERROR(Q119/Q10,0)</f>
        <v>7.2055744460342533E-2</v>
      </c>
    </row>
    <row r="121" spans="1:17" ht="15" customHeight="1" x14ac:dyDescent="0.3">
      <c r="A121" s="6"/>
      <c r="B121" s="6"/>
      <c r="C121" s="6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Q121" s="4"/>
    </row>
    <row r="122" spans="1:17" ht="15" customHeight="1" x14ac:dyDescent="0.3">
      <c r="A122" s="6"/>
      <c r="B122" s="6"/>
      <c r="C122" s="6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Q122" s="4"/>
    </row>
    <row r="123" spans="1:17" s="37" customFormat="1" ht="15.75" customHeight="1" x14ac:dyDescent="0.3">
      <c r="A123" s="7"/>
      <c r="B123" s="18" t="s">
        <v>293</v>
      </c>
      <c r="C123" s="18"/>
      <c r="D123" s="8">
        <f t="shared" ref="D123:O123" si="6">IFERROR(SUM(D119:D122),0)</f>
        <v>-337054.51527534315</v>
      </c>
      <c r="E123" s="8">
        <f t="shared" si="6"/>
        <v>-223978.35825713107</v>
      </c>
      <c r="F123" s="8">
        <f t="shared" si="6"/>
        <v>300352.20293412171</v>
      </c>
      <c r="G123" s="8">
        <f t="shared" si="6"/>
        <v>122172.81822859151</v>
      </c>
      <c r="H123" s="8">
        <f t="shared" si="6"/>
        <v>241688.34418590341</v>
      </c>
      <c r="I123" s="8">
        <f t="shared" si="6"/>
        <v>133926.02531228121</v>
      </c>
      <c r="J123" s="8">
        <f t="shared" si="6"/>
        <v>-137800.96303037906</v>
      </c>
      <c r="K123" s="8">
        <f t="shared" si="6"/>
        <v>343421.70369868848</v>
      </c>
      <c r="L123" s="8">
        <f t="shared" si="6"/>
        <v>339872.90502186061</v>
      </c>
      <c r="M123" s="8">
        <f t="shared" si="6"/>
        <v>555987.70482124342</v>
      </c>
      <c r="N123" s="8">
        <f t="shared" si="6"/>
        <v>-117953.08229265425</v>
      </c>
      <c r="O123" s="8">
        <f t="shared" si="6"/>
        <v>-265771.84347658942</v>
      </c>
      <c r="Q123" s="8">
        <f>IFERROR(SUM(Q119:Q122),0)</f>
        <v>954873.56730333855</v>
      </c>
    </row>
    <row r="124" spans="1:17" ht="15.75" customHeight="1" x14ac:dyDescent="0.3">
      <c r="A124" s="6"/>
      <c r="C124" s="6"/>
      <c r="D124" s="5">
        <f t="shared" ref="D124:O124" si="7">IFERROR(D123/D10,0)</f>
        <v>-7.8954602888695575</v>
      </c>
      <c r="E124" s="5">
        <f t="shared" si="7"/>
        <v>-0.41825791194874595</v>
      </c>
      <c r="F124" s="5">
        <f t="shared" si="7"/>
        <v>0.19293424597582598</v>
      </c>
      <c r="G124" s="5">
        <f t="shared" si="7"/>
        <v>6.8228629846687941E-2</v>
      </c>
      <c r="H124" s="5">
        <f t="shared" si="7"/>
        <v>0.17418602891626331</v>
      </c>
      <c r="I124" s="5">
        <f t="shared" si="7"/>
        <v>0.12531239817694123</v>
      </c>
      <c r="J124" s="5">
        <f t="shared" si="7"/>
        <v>-0.21303070831717563</v>
      </c>
      <c r="K124" s="5">
        <f t="shared" si="7"/>
        <v>0.21369882157257961</v>
      </c>
      <c r="L124" s="5">
        <f t="shared" si="7"/>
        <v>0.20502198468854146</v>
      </c>
      <c r="M124" s="5">
        <f t="shared" si="7"/>
        <v>0.27482137899453285</v>
      </c>
      <c r="N124" s="5">
        <f t="shared" si="7"/>
        <v>-0.13865153857768545</v>
      </c>
      <c r="O124" s="5">
        <f t="shared" si="7"/>
        <v>-3.1424026139399999</v>
      </c>
      <c r="P124" s="19"/>
      <c r="Q124" s="5">
        <f>IFERROR(Q123/Q10,0)</f>
        <v>7.2055749897743757E-2</v>
      </c>
    </row>
    <row r="125" spans="1:17" ht="15" customHeight="1" x14ac:dyDescent="0.3">
      <c r="A125" s="6"/>
      <c r="B125" s="33">
        <v>44694.89286767361</v>
      </c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Q125" s="14"/>
    </row>
    <row r="126" spans="1:17" ht="15" customHeight="1" x14ac:dyDescent="0.3">
      <c r="A126" s="6"/>
      <c r="B126" s="31" t="s">
        <v>294</v>
      </c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Q126" s="14"/>
    </row>
    <row r="127" spans="1:17" ht="15" customHeight="1" x14ac:dyDescent="0.3">
      <c r="A127" s="6"/>
      <c r="B127" s="27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Q127" s="14"/>
    </row>
    <row r="128" spans="1:17" ht="15" customHeight="1" x14ac:dyDescent="0.3"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Q128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A7763-01A4-0705-EA56-730A1C381B93}">
  <sheetPr>
    <tabColor theme="5" tint="0.39997558519241921"/>
    <outlinePr summaryBelow="0" summaryRight="0"/>
    <pageSetUpPr fitToPage="1"/>
  </sheetPr>
  <dimension ref="A2:R122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">
        <v>310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19702.309999999998</v>
      </c>
      <c r="E10" s="4">
        <f>SUM(OSRRefD11x_1)</f>
        <v>58943.909999999996</v>
      </c>
      <c r="F10" s="4">
        <f>SUM(OSRRefD11x_2)</f>
        <v>146278.29999999999</v>
      </c>
      <c r="G10" s="4">
        <f>SUM(OSRRefD11x_3)</f>
        <v>206370.10000000003</v>
      </c>
      <c r="H10" s="4">
        <f>SUM(OSRRefD11x_4)</f>
        <v>117637.06</v>
      </c>
      <c r="I10" s="4">
        <f>SUM(OSRRefD11x_5)</f>
        <v>116384.09</v>
      </c>
      <c r="J10" s="4">
        <f>SUM(OSRRefD11x_6)</f>
        <v>18311.25</v>
      </c>
      <c r="K10" s="4">
        <f>SUM(OSRRefD11x_7)</f>
        <v>310083.58</v>
      </c>
      <c r="L10" s="4">
        <f>SUM(OSRRefD11x_8)</f>
        <v>404601.61</v>
      </c>
      <c r="M10" s="4">
        <f>SUM(OSRRefD11x_9)</f>
        <v>403764.93</v>
      </c>
      <c r="N10" s="4">
        <f>SUM(OSRRefE11x_0)</f>
        <v>288686</v>
      </c>
      <c r="O10" s="4">
        <f>SUM(OSRRefE11x_1)</f>
        <v>97601</v>
      </c>
      <c r="P10" s="25"/>
      <c r="Q10" s="4">
        <f>SUM(OSRRefG11x)</f>
        <v>2188364.1399999997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0</f>
        <v>0</v>
      </c>
      <c r="E11" s="3">
        <f>--1234.92</f>
        <v>1234.92</v>
      </c>
      <c r="F11" s="3">
        <f>--2858.93</f>
        <v>2858.93</v>
      </c>
      <c r="G11" s="3">
        <f>--4222.65</f>
        <v>4222.6499999999996</v>
      </c>
      <c r="H11" s="3">
        <f>--2305.85</f>
        <v>2305.85</v>
      </c>
      <c r="I11" s="3">
        <f>--2128.3</f>
        <v>2128.3000000000002</v>
      </c>
      <c r="J11" s="3">
        <f>--803.91</f>
        <v>803.91</v>
      </c>
      <c r="K11" s="3">
        <f>--14914.64</f>
        <v>14914.64</v>
      </c>
      <c r="L11" s="3">
        <f>--19761.47</f>
        <v>19761.47</v>
      </c>
      <c r="M11" s="3">
        <f>--14181.08</f>
        <v>14181.08</v>
      </c>
      <c r="N11" s="3">
        <v>116046</v>
      </c>
      <c r="O11" s="3">
        <v>41892</v>
      </c>
      <c r="Q11" s="3">
        <f>SUM(OSRRefD11_0x)+IFERROR(SUM(OSRRefE11_0x),0)</f>
        <v>220349.75</v>
      </c>
    </row>
    <row r="12" spans="1:18" s="39" customFormat="1" ht="15" hidden="1" customHeight="1" outlineLevel="1" x14ac:dyDescent="0.3">
      <c r="A12" s="24"/>
      <c r="B12" s="11" t="str">
        <f>CONCATENATE("          ","4051"," - ","TAXABLE SALES-FOOD")</f>
        <v xml:space="preserve">          4051 - TAXABLE SALES-FOOD</v>
      </c>
      <c r="C12" s="23"/>
      <c r="D12" s="3">
        <f>--10630.93</f>
        <v>10630.93</v>
      </c>
      <c r="E12" s="3">
        <f>--20639.51</f>
        <v>20639.509999999998</v>
      </c>
      <c r="F12" s="3">
        <f>--33705.87</f>
        <v>33705.870000000003</v>
      </c>
      <c r="G12" s="3">
        <f>--39274.26</f>
        <v>39274.26</v>
      </c>
      <c r="H12" s="3">
        <f>--23100.6</f>
        <v>23100.6</v>
      </c>
      <c r="I12" s="3">
        <f>--19631.62</f>
        <v>19631.62</v>
      </c>
      <c r="J12" s="3">
        <f>--2376.57</f>
        <v>2376.5700000000002</v>
      </c>
      <c r="K12" s="3">
        <f>--56330.93</f>
        <v>56330.93</v>
      </c>
      <c r="L12" s="3">
        <f>--58129.76</f>
        <v>58129.760000000002</v>
      </c>
      <c r="M12" s="3">
        <f>--55113.37</f>
        <v>55113.37</v>
      </c>
      <c r="N12" s="3"/>
      <c r="O12" s="3"/>
      <c r="Q12" s="3">
        <f>SUM(OSRRefD11_1x)+IFERROR(SUM(OSRRefE11_1x),0)</f>
        <v>318933.42</v>
      </c>
    </row>
    <row r="13" spans="1:18" s="39" customFormat="1" ht="15" hidden="1" customHeight="1" outlineLevel="1" x14ac:dyDescent="0.3">
      <c r="A13" s="24"/>
      <c r="B13" s="11" t="str">
        <f>CONCATENATE("          ","4053"," - ","TAXABLE SALES-FOOD")</f>
        <v xml:space="preserve">          4053 - TAXABLE SALES-FOOD</v>
      </c>
      <c r="C13" s="23"/>
      <c r="D13" s="3">
        <f>0</f>
        <v>0</v>
      </c>
      <c r="E13" s="3">
        <f>0</f>
        <v>0</v>
      </c>
      <c r="F13" s="3">
        <f>--139.09</f>
        <v>139.09</v>
      </c>
      <c r="G13" s="3">
        <f>--4669.37</f>
        <v>4669.37</v>
      </c>
      <c r="H13" s="3">
        <f>--1549.19</f>
        <v>1549.19</v>
      </c>
      <c r="I13" s="3">
        <f>--1720.65</f>
        <v>1720.65</v>
      </c>
      <c r="J13" s="3">
        <f>--1412.89</f>
        <v>1412.89</v>
      </c>
      <c r="K13" s="3">
        <f>--5743.27</f>
        <v>5743.27</v>
      </c>
      <c r="L13" s="3">
        <f>--2747.38</f>
        <v>2747.38</v>
      </c>
      <c r="M13" s="3">
        <f>--7821.31</f>
        <v>7821.31</v>
      </c>
      <c r="N13" s="3"/>
      <c r="O13" s="3"/>
      <c r="Q13" s="3">
        <f>SUM(OSRRefD11_2x)+IFERROR(SUM(OSRRefE11_2x),0)</f>
        <v>25803.15</v>
      </c>
    </row>
    <row r="14" spans="1:18" s="39" customFormat="1" ht="15" hidden="1" customHeight="1" outlineLevel="1" x14ac:dyDescent="0.3">
      <c r="A14" s="24"/>
      <c r="B14" s="11" t="str">
        <f>CONCATENATE("          ","4100"," - ","NON-TAXABLE SALES")</f>
        <v xml:space="preserve">          4100 - NON-TAXABLE SALES</v>
      </c>
      <c r="C14" s="23"/>
      <c r="D14" s="3">
        <f>0</f>
        <v>0</v>
      </c>
      <c r="E14" s="3">
        <f>--5299.87</f>
        <v>5299.87</v>
      </c>
      <c r="F14" s="3">
        <f>--13245.23</f>
        <v>13245.23</v>
      </c>
      <c r="G14" s="3">
        <f>--21202.87</f>
        <v>21202.87</v>
      </c>
      <c r="H14" s="3">
        <f>--12930.99</f>
        <v>12930.99</v>
      </c>
      <c r="I14" s="3">
        <f>--10279.17</f>
        <v>10279.17</v>
      </c>
      <c r="J14" s="3">
        <f>--4029.55</f>
        <v>4029.55</v>
      </c>
      <c r="K14" s="3">
        <f>--78719.83</f>
        <v>78719.83</v>
      </c>
      <c r="L14" s="3">
        <f>--112758.65</f>
        <v>112758.65</v>
      </c>
      <c r="M14" s="3">
        <f>--88883.93</f>
        <v>88883.93</v>
      </c>
      <c r="N14" s="3">
        <v>172640</v>
      </c>
      <c r="O14" s="3">
        <v>55709</v>
      </c>
      <c r="Q14" s="3">
        <f>SUM(OSRRefD11_3x)+IFERROR(SUM(OSRRefE11_3x),0)</f>
        <v>575699.09</v>
      </c>
    </row>
    <row r="15" spans="1:18" s="39" customFormat="1" ht="15" hidden="1" customHeight="1" outlineLevel="1" x14ac:dyDescent="0.3">
      <c r="A15" s="24"/>
      <c r="B15" s="11" t="str">
        <f>CONCATENATE("          ","4151"," - ","NON-TAXABLE SALES-FOOD")</f>
        <v xml:space="preserve">          4151 - NON-TAXABLE SALES-FOOD</v>
      </c>
      <c r="C15" s="23"/>
      <c r="D15" s="3">
        <f>--9071.38</f>
        <v>9071.3799999999992</v>
      </c>
      <c r="E15" s="3">
        <f>--31639.26</f>
        <v>31639.26</v>
      </c>
      <c r="F15" s="3">
        <f>--96459.53</f>
        <v>96459.53</v>
      </c>
      <c r="G15" s="3">
        <f>--137000.95</f>
        <v>137000.95000000001</v>
      </c>
      <c r="H15" s="3">
        <f>--77750.43</f>
        <v>77750.429999999993</v>
      </c>
      <c r="I15" s="3">
        <f>--82624.35</f>
        <v>82624.350000000006</v>
      </c>
      <c r="J15" s="3">
        <f>--9688.33</f>
        <v>9688.33</v>
      </c>
      <c r="K15" s="3">
        <f>--154374.91</f>
        <v>154374.91</v>
      </c>
      <c r="L15" s="3">
        <f>--211204.35</f>
        <v>211204.35</v>
      </c>
      <c r="M15" s="3">
        <f>--237765.24</f>
        <v>237765.24</v>
      </c>
      <c r="N15" s="3"/>
      <c r="O15" s="3"/>
      <c r="Q15" s="3">
        <f>SUM(OSRRefD11_4x)+IFERROR(SUM(OSRRefE11_4x),0)</f>
        <v>1047578.73</v>
      </c>
    </row>
    <row r="16" spans="1:18" s="39" customFormat="1" ht="15" hidden="1" customHeight="1" outlineLevel="1" x14ac:dyDescent="0.3">
      <c r="A16" s="24"/>
      <c r="B16" s="11" t="str">
        <f>CONCATENATE("          ","4153"," - ","NON-TAXABLE SALES-FOOD")</f>
        <v xml:space="preserve">          4153 - NON-TAXABLE SALES-FOOD</v>
      </c>
      <c r="C16" s="23"/>
      <c r="D16" s="3">
        <f>0</f>
        <v>0</v>
      </c>
      <c r="E16" s="3">
        <f>--130.35</f>
        <v>130.35</v>
      </c>
      <c r="F16" s="3">
        <f>-130.35</f>
        <v>-130.35</v>
      </c>
      <c r="G16" s="3">
        <f>0</f>
        <v>0</v>
      </c>
      <c r="H16" s="3">
        <f>0</f>
        <v>0</v>
      </c>
      <c r="I16" s="3">
        <f>0</f>
        <v>0</v>
      </c>
      <c r="J16" s="3">
        <f>0</f>
        <v>0</v>
      </c>
      <c r="K16" s="3">
        <f>0</f>
        <v>0</v>
      </c>
      <c r="L16" s="3">
        <f>0</f>
        <v>0</v>
      </c>
      <c r="M16" s="3">
        <f>0</f>
        <v>0</v>
      </c>
      <c r="N16" s="3"/>
      <c r="O16" s="3"/>
      <c r="Q16" s="3">
        <f>SUM(OSRRefD11_5x)+IFERROR(SUM(OSRRefE11_5x),0)</f>
        <v>0</v>
      </c>
    </row>
    <row r="17" spans="1:17" ht="15" customHeight="1" x14ac:dyDescent="0.3">
      <c r="A17" s="6"/>
      <c r="B17" s="7"/>
      <c r="C17" s="6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Q17" s="4"/>
    </row>
    <row r="18" spans="1:17" s="39" customFormat="1" ht="15" customHeight="1" collapsed="1" x14ac:dyDescent="0.3">
      <c r="A18" s="24"/>
      <c r="B18" s="17" t="s">
        <v>284</v>
      </c>
      <c r="C18" s="23"/>
      <c r="D18" s="4">
        <f>SUM(OSRRefD14x_0)</f>
        <v>5059.3799999999992</v>
      </c>
      <c r="E18" s="4">
        <f>SUM(OSRRefD14x_1)</f>
        <v>17383.61</v>
      </c>
      <c r="F18" s="4">
        <f>SUM(OSRRefD14x_2)</f>
        <v>59124.75</v>
      </c>
      <c r="G18" s="4">
        <f>SUM(OSRRefD14x_3)</f>
        <v>89920.17</v>
      </c>
      <c r="H18" s="4">
        <f>SUM(OSRRefD14x_4)</f>
        <v>58189.270000000004</v>
      </c>
      <c r="I18" s="4">
        <f>SUM(OSRRefD14x_5)</f>
        <v>50419.22</v>
      </c>
      <c r="J18" s="4">
        <f>SUM(OSRRefD14x_6)</f>
        <v>14636.4</v>
      </c>
      <c r="K18" s="4">
        <f>SUM(OSRRefD14x_7)</f>
        <v>124282.15999999999</v>
      </c>
      <c r="L18" s="4">
        <f>SUM(OSRRefD14x_8)</f>
        <v>143920.77000000002</v>
      </c>
      <c r="M18" s="4">
        <f>SUM(OSRRefD14x_9)</f>
        <v>142306.84999999998</v>
      </c>
      <c r="N18" s="4">
        <f>SUM(OSRRefE14x_0)</f>
        <v>106228</v>
      </c>
      <c r="O18" s="4">
        <f>SUM(OSRRefE14x_1)</f>
        <v>33858</v>
      </c>
      <c r="Q18" s="4">
        <f>SUM(OSRRefG14x)</f>
        <v>845328.57999999984</v>
      </c>
    </row>
    <row r="19" spans="1:17" s="39" customFormat="1" ht="15" hidden="1" customHeight="1" outlineLevel="1" x14ac:dyDescent="0.3">
      <c r="A19" s="24"/>
      <c r="B19" s="11" t="str">
        <f>CONCATENATE("          ","5000"," - ","PURCHASES @ COST")</f>
        <v xml:space="preserve">          5000 - PURCHASES @ COST</v>
      </c>
      <c r="C19" s="23"/>
      <c r="D19" s="3"/>
      <c r="E19" s="3"/>
      <c r="F19" s="3"/>
      <c r="G19" s="3"/>
      <c r="H19" s="3"/>
      <c r="I19" s="3"/>
      <c r="J19" s="3"/>
      <c r="K19" s="3">
        <v>-10213</v>
      </c>
      <c r="L19" s="3">
        <v>4647</v>
      </c>
      <c r="M19" s="3">
        <v>-2496</v>
      </c>
      <c r="N19" s="3">
        <v>106228</v>
      </c>
      <c r="O19" s="3">
        <v>33858</v>
      </c>
      <c r="Q19" s="3">
        <f>SUM(OSRRefD14_0x)+IFERROR(SUM(OSRRefE14_0x),0)</f>
        <v>132024</v>
      </c>
    </row>
    <row r="20" spans="1:17" s="39" customFormat="1" ht="15" hidden="1" customHeight="1" outlineLevel="1" x14ac:dyDescent="0.3">
      <c r="A20" s="24"/>
      <c r="B20" s="11" t="str">
        <f>CONCATENATE("          ","5053"," - ","PURCHASES @ COST-FOOD")</f>
        <v xml:space="preserve">          5053 - PURCHASES @ COST-FOOD</v>
      </c>
      <c r="C20" s="23"/>
      <c r="D20" s="3">
        <v>8224.3799999999992</v>
      </c>
      <c r="E20" s="3">
        <v>52132.61</v>
      </c>
      <c r="F20" s="3">
        <v>47497.75</v>
      </c>
      <c r="G20" s="3">
        <v>82589.19</v>
      </c>
      <c r="H20" s="3">
        <v>42622.29</v>
      </c>
      <c r="I20" s="3">
        <v>25650.33</v>
      </c>
      <c r="J20" s="3">
        <v>12455.56</v>
      </c>
      <c r="K20" s="3">
        <v>67997.179999999993</v>
      </c>
      <c r="L20" s="3">
        <v>63383.41</v>
      </c>
      <c r="M20" s="3">
        <v>77066.7</v>
      </c>
      <c r="N20" s="3"/>
      <c r="O20" s="3"/>
      <c r="Q20" s="3">
        <f>SUM(OSRRefD14_1x)+IFERROR(SUM(OSRRefE14_1x),0)</f>
        <v>479619.39999999997</v>
      </c>
    </row>
    <row r="21" spans="1:17" s="39" customFormat="1" ht="15" hidden="1" customHeight="1" outlineLevel="1" x14ac:dyDescent="0.3">
      <c r="A21" s="24"/>
      <c r="B21" s="11" t="str">
        <f>CONCATENATE("          ","5059"," - ","PURCHASES @ COST-FOOD")</f>
        <v xml:space="preserve">          5059 - PURCHASES @ COST-FOOD</v>
      </c>
      <c r="C21" s="23"/>
      <c r="D21" s="3">
        <v>-3165</v>
      </c>
      <c r="E21" s="3">
        <v>-34749</v>
      </c>
      <c r="F21" s="3">
        <v>11627</v>
      </c>
      <c r="G21" s="3">
        <v>7330.98</v>
      </c>
      <c r="H21" s="3">
        <v>15566.98</v>
      </c>
      <c r="I21" s="3">
        <v>24768.89</v>
      </c>
      <c r="J21" s="3">
        <v>2180.84</v>
      </c>
      <c r="K21" s="3">
        <v>66497.98</v>
      </c>
      <c r="L21" s="3">
        <v>75890.36</v>
      </c>
      <c r="M21" s="3">
        <v>67736.149999999994</v>
      </c>
      <c r="N21" s="3"/>
      <c r="O21" s="3"/>
      <c r="Q21" s="3">
        <f>SUM(OSRRefD14_2x)+IFERROR(SUM(OSRRefE14_2x),0)</f>
        <v>233685.18</v>
      </c>
    </row>
    <row r="22" spans="1:17" ht="15" customHeight="1" x14ac:dyDescent="0.3">
      <c r="A22" s="6"/>
      <c r="B22" s="7"/>
      <c r="C22" s="7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Q22" s="4"/>
    </row>
    <row r="23" spans="1:17" s="37" customFormat="1" ht="15" customHeight="1" x14ac:dyDescent="0.3">
      <c r="A23" s="7"/>
      <c r="B23" s="18" t="s">
        <v>285</v>
      </c>
      <c r="C23" s="18"/>
      <c r="D23" s="9">
        <f t="shared" ref="D23:O23" si="0">IFERROR(+D10-D18,0)</f>
        <v>14642.929999999998</v>
      </c>
      <c r="E23" s="9">
        <f t="shared" si="0"/>
        <v>41560.299999999996</v>
      </c>
      <c r="F23" s="9">
        <f t="shared" si="0"/>
        <v>87153.549999999988</v>
      </c>
      <c r="G23" s="9">
        <f t="shared" si="0"/>
        <v>116449.93000000004</v>
      </c>
      <c r="H23" s="9">
        <f t="shared" si="0"/>
        <v>59447.789999999994</v>
      </c>
      <c r="I23" s="9">
        <f t="shared" si="0"/>
        <v>65964.87</v>
      </c>
      <c r="J23" s="9">
        <f t="shared" si="0"/>
        <v>3674.8500000000004</v>
      </c>
      <c r="K23" s="9">
        <f t="shared" si="0"/>
        <v>185801.42000000004</v>
      </c>
      <c r="L23" s="9">
        <f t="shared" si="0"/>
        <v>260680.83999999997</v>
      </c>
      <c r="M23" s="9">
        <f t="shared" si="0"/>
        <v>261458.08000000002</v>
      </c>
      <c r="N23" s="9">
        <f t="shared" si="0"/>
        <v>182458</v>
      </c>
      <c r="O23" s="9">
        <f t="shared" si="0"/>
        <v>63743</v>
      </c>
      <c r="Q23" s="9">
        <f>IFERROR(+Q10-Q18,0)</f>
        <v>1343035.5599999998</v>
      </c>
    </row>
    <row r="24" spans="1:17" s="38" customFormat="1" ht="15" customHeight="1" x14ac:dyDescent="0.3">
      <c r="B24" s="17"/>
      <c r="C24" s="17"/>
      <c r="D24" s="5">
        <f t="shared" ref="D24:O24" si="1">IFERROR(D23/D10,0)</f>
        <v>0.74320879125341144</v>
      </c>
      <c r="E24" s="5">
        <f t="shared" si="1"/>
        <v>0.70508217049055621</v>
      </c>
      <c r="F24" s="5">
        <f t="shared" si="1"/>
        <v>0.59580641831358438</v>
      </c>
      <c r="G24" s="5">
        <f t="shared" si="1"/>
        <v>0.56427714092303105</v>
      </c>
      <c r="H24" s="5">
        <f t="shared" si="1"/>
        <v>0.5053491646255015</v>
      </c>
      <c r="I24" s="5">
        <f t="shared" si="1"/>
        <v>0.56678597564323441</v>
      </c>
      <c r="J24" s="5">
        <f t="shared" si="1"/>
        <v>0.20068810157689948</v>
      </c>
      <c r="K24" s="5">
        <f t="shared" si="1"/>
        <v>0.5991978678780735</v>
      </c>
      <c r="L24" s="5">
        <f t="shared" si="1"/>
        <v>0.64429016977960119</v>
      </c>
      <c r="M24" s="5">
        <f t="shared" si="1"/>
        <v>0.64755024662493599</v>
      </c>
      <c r="N24" s="5">
        <f t="shared" si="1"/>
        <v>0.63202926362899481</v>
      </c>
      <c r="O24" s="5">
        <f t="shared" si="1"/>
        <v>0.6530978166207313</v>
      </c>
      <c r="P24" s="19"/>
      <c r="Q24" s="5">
        <f>IFERROR(Q23/Q10,0)</f>
        <v>0.6137166733137932</v>
      </c>
    </row>
    <row r="25" spans="1:17" ht="15" customHeight="1" x14ac:dyDescent="0.3">
      <c r="A25" s="6"/>
      <c r="B25" s="7"/>
      <c r="C25" s="6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Q25" s="2"/>
    </row>
    <row r="26" spans="1:17" s="37" customFormat="1" ht="15" customHeight="1" x14ac:dyDescent="0.3">
      <c r="A26" s="7"/>
      <c r="B26" s="17" t="s">
        <v>286</v>
      </c>
      <c r="C26" s="7"/>
      <c r="D26" s="12" cm="1">
        <f t="array" ref="D26">SUM(OSRRefD20x_0)</f>
        <v>157781.03</v>
      </c>
      <c r="E26" s="12" cm="1">
        <f t="array" ref="E26">SUM(OSRRefD20x_1)</f>
        <v>229400.47999999998</v>
      </c>
      <c r="F26" s="12" cm="1">
        <f t="array" ref="F26">SUM(OSRRefD20x_2)</f>
        <v>192395.54</v>
      </c>
      <c r="G26" s="12" cm="1">
        <f t="array" ref="G26">SUM(OSRRefD20x_3)</f>
        <v>229933.69999999998</v>
      </c>
      <c r="H26" s="12" cm="1">
        <f t="array" ref="H26">SUM(OSRRefD20x_4)</f>
        <v>181675.08000000002</v>
      </c>
      <c r="I26" s="12" cm="1">
        <f t="array" ref="I26">SUM(OSRRefD20x_5)</f>
        <v>200790.74000000002</v>
      </c>
      <c r="J26" s="12" cm="1">
        <f t="array" ref="J26">SUM(OSRRefD20x_6)</f>
        <v>198571.53</v>
      </c>
      <c r="K26" s="12" cm="1">
        <f t="array" ref="K26">SUM(OSRRefD20x_7)</f>
        <v>251187.8</v>
      </c>
      <c r="L26" s="12" cm="1">
        <f t="array" ref="L26">SUM(OSRRefD20x_8)</f>
        <v>271572.33</v>
      </c>
      <c r="M26" s="12" cm="1">
        <f t="array" ref="M26">SUM(OSRRefD20x_9)</f>
        <v>308163.71999999997</v>
      </c>
      <c r="N26" s="12" cm="1">
        <f t="array" ref="N26">SUM(OSRRefE20x_0)</f>
        <v>225207.18999382033</v>
      </c>
      <c r="O26" s="12" cm="1">
        <f t="array" ref="O26">SUM(OSRRefE20x_1)</f>
        <v>190751.17827967141</v>
      </c>
      <c r="Q26" s="12" cm="1">
        <f t="array" ref="Q26">SUM(OSRRefG20x)</f>
        <v>2637430.3182734917</v>
      </c>
    </row>
    <row r="27" spans="1:17" s="42" customFormat="1" ht="15" customHeight="1" collapsed="1" x14ac:dyDescent="0.3">
      <c r="A27" s="34"/>
      <c r="B27" s="15" t="str">
        <f>CONCATENATE("     ","*Benefits                                         ")</f>
        <v xml:space="preserve">     *Benefits                                         </v>
      </c>
      <c r="C27" s="15"/>
      <c r="D27" s="2">
        <f>SUM(OSRRefD21_0x_0)</f>
        <v>25335.059999999998</v>
      </c>
      <c r="E27" s="2">
        <f>SUM(OSRRefD21_0x_1)</f>
        <v>28199.300000000003</v>
      </c>
      <c r="F27" s="2">
        <f>SUM(OSRRefD21_0x_2)</f>
        <v>28818.44</v>
      </c>
      <c r="G27" s="2">
        <f>SUM(OSRRefD21_0x_3)</f>
        <v>36468.590000000004</v>
      </c>
      <c r="H27" s="2">
        <f>SUM(OSRRefD21_0x_4)</f>
        <v>29406.38</v>
      </c>
      <c r="I27" s="2">
        <f>SUM(OSRRefD21_0x_5)</f>
        <v>32222.719999999998</v>
      </c>
      <c r="J27" s="2">
        <f>SUM(OSRRefD21_0x_6)</f>
        <v>44126.73000000001</v>
      </c>
      <c r="K27" s="2">
        <f>SUM(OSRRefD21_0x_7)</f>
        <v>35984.92</v>
      </c>
      <c r="L27" s="2">
        <f>SUM(OSRRefD21_0x_8)</f>
        <v>38090.9</v>
      </c>
      <c r="M27" s="2">
        <f>SUM(OSRRefD21_0x_9)</f>
        <v>41835.269999999997</v>
      </c>
      <c r="N27" s="2">
        <f>SUM(OSRRefE21_0x_0)</f>
        <v>34553.407043051106</v>
      </c>
      <c r="O27" s="2">
        <f>SUM(OSRRefE21_0x_1)</f>
        <v>33958.759708902202</v>
      </c>
      <c r="Q27" s="3">
        <f>SUM(OSRRefD20_0x)+IFERROR(SUM(OSRRefE20_0x),0)</f>
        <v>409000.47675195336</v>
      </c>
    </row>
    <row r="28" spans="1:17" s="42" customFormat="1" ht="15" hidden="1" customHeight="1" outlineLevel="1" x14ac:dyDescent="0.3">
      <c r="A28" s="34"/>
      <c r="B28" s="11" t="str">
        <f>CONCATENATE("          ","6111"," - ","F.I.C.A.")</f>
        <v xml:space="preserve">          6111 - F.I.C.A.</v>
      </c>
      <c r="C28" s="15"/>
      <c r="D28" s="3">
        <v>3198.56</v>
      </c>
      <c r="E28" s="3">
        <v>4424.72</v>
      </c>
      <c r="F28" s="3">
        <v>4467.9399999999996</v>
      </c>
      <c r="G28" s="3">
        <v>6380.12</v>
      </c>
      <c r="H28" s="3">
        <v>4199.12</v>
      </c>
      <c r="I28" s="3">
        <v>5068.42</v>
      </c>
      <c r="J28" s="3">
        <v>4568.6099999999997</v>
      </c>
      <c r="K28" s="3">
        <v>5541.22</v>
      </c>
      <c r="L28" s="3">
        <v>6380.42</v>
      </c>
      <c r="M28" s="3">
        <v>8970.32</v>
      </c>
      <c r="N28" s="3">
        <v>4355.0965294356902</v>
      </c>
      <c r="O28" s="3">
        <v>4138.6021593636897</v>
      </c>
      <c r="P28" s="10"/>
      <c r="Q28" s="3">
        <f>SUM(OSRRefD21_0_0x)+IFERROR(SUM(OSRRefE21_0_0x),0)</f>
        <v>61693.148688799381</v>
      </c>
    </row>
    <row r="29" spans="1:17" s="42" customFormat="1" ht="15" hidden="1" customHeight="1" outlineLevel="1" x14ac:dyDescent="0.3">
      <c r="A29" s="34"/>
      <c r="B29" s="11" t="str">
        <f>CONCATENATE("          ","6112"," - ","COMPENSATION INSURANCE")</f>
        <v xml:space="preserve">          6112 - COMPENSATION INSURANCE</v>
      </c>
      <c r="C29" s="15"/>
      <c r="D29" s="3">
        <v>1106.6199999999999</v>
      </c>
      <c r="E29" s="3">
        <v>1624.76</v>
      </c>
      <c r="F29" s="3">
        <v>2250.73</v>
      </c>
      <c r="G29" s="3">
        <v>3215.5</v>
      </c>
      <c r="H29" s="3">
        <v>2024.87</v>
      </c>
      <c r="I29" s="3">
        <v>2388.9299999999998</v>
      </c>
      <c r="J29" s="3">
        <v>1675.99</v>
      </c>
      <c r="K29" s="3">
        <v>2611.85</v>
      </c>
      <c r="L29" s="3">
        <v>3616.88</v>
      </c>
      <c r="M29" s="3">
        <v>3285.65</v>
      </c>
      <c r="N29" s="3">
        <v>3585.4897962515402</v>
      </c>
      <c r="O29" s="3">
        <v>2769.4188515415399</v>
      </c>
      <c r="P29" s="10"/>
      <c r="Q29" s="3">
        <f>SUM(OSRRefD21_0_1x)+IFERROR(SUM(OSRRefE21_0_1x),0)</f>
        <v>30156.688647793082</v>
      </c>
    </row>
    <row r="30" spans="1:17" s="42" customFormat="1" ht="15" hidden="1" customHeight="1" outlineLevel="1" x14ac:dyDescent="0.3">
      <c r="A30" s="34"/>
      <c r="B30" s="11" t="str">
        <f>CONCATENATE("          ","6113"," - ","GROUP INSURANCE")</f>
        <v xml:space="preserve">          6113 - GROUP INSURANCE</v>
      </c>
      <c r="C30" s="15"/>
      <c r="D30" s="3">
        <v>11932.59</v>
      </c>
      <c r="E30" s="3">
        <v>12571.09</v>
      </c>
      <c r="F30" s="3">
        <v>12646.1</v>
      </c>
      <c r="G30" s="3">
        <v>12571.1</v>
      </c>
      <c r="H30" s="3">
        <v>12571.1</v>
      </c>
      <c r="I30" s="3">
        <v>12673.39</v>
      </c>
      <c r="J30" s="3">
        <v>14917.13</v>
      </c>
      <c r="K30" s="3">
        <v>14917.16</v>
      </c>
      <c r="L30" s="3">
        <v>14917.13</v>
      </c>
      <c r="M30" s="3">
        <v>13094.96</v>
      </c>
      <c r="N30" s="3">
        <v>16553.723076923099</v>
      </c>
      <c r="O30" s="3">
        <v>17475.0461538462</v>
      </c>
      <c r="P30" s="10"/>
      <c r="Q30" s="3">
        <f>SUM(OSRRefD21_0_2x)+IFERROR(SUM(OSRRefE21_0_2x),0)</f>
        <v>166840.51923076931</v>
      </c>
    </row>
    <row r="31" spans="1:17" s="42" customFormat="1" ht="15" hidden="1" customHeight="1" outlineLevel="1" x14ac:dyDescent="0.3">
      <c r="A31" s="34"/>
      <c r="B31" s="11" t="str">
        <f>CONCATENATE("          ","6114"," - ","STATE UNEMPLOYMENT INSURANCE")</f>
        <v xml:space="preserve">          6114 - STATE UNEMPLOYMENT INSURANCE</v>
      </c>
      <c r="C31" s="15"/>
      <c r="D31" s="3">
        <v>108.7</v>
      </c>
      <c r="E31" s="3">
        <v>149.68</v>
      </c>
      <c r="F31" s="3">
        <v>199.79</v>
      </c>
      <c r="G31" s="3">
        <v>288.29000000000002</v>
      </c>
      <c r="H31" s="3">
        <v>182.23</v>
      </c>
      <c r="I31" s="3">
        <v>213.56</v>
      </c>
      <c r="J31" s="3">
        <v>159.4</v>
      </c>
      <c r="K31" s="3">
        <v>252.41</v>
      </c>
      <c r="L31" s="3">
        <v>343.8</v>
      </c>
      <c r="M31" s="3">
        <v>309.07</v>
      </c>
      <c r="N31" s="3">
        <v>198.66830005615401</v>
      </c>
      <c r="O31" s="3">
        <v>153.45064876615399</v>
      </c>
      <c r="P31" s="10"/>
      <c r="Q31" s="3">
        <f>SUM(OSRRefD21_0_3x)+IFERROR(SUM(OSRRefE21_0_3x),0)</f>
        <v>2559.0489488223084</v>
      </c>
    </row>
    <row r="32" spans="1:17" s="42" customFormat="1" ht="15" hidden="1" customHeight="1" outlineLevel="1" x14ac:dyDescent="0.3">
      <c r="A32" s="34"/>
      <c r="B32" s="11" t="str">
        <f>CONCATENATE("          ","6115"," - ","P.E.R.S.")</f>
        <v xml:space="preserve">          6115 - P.E.R.S.</v>
      </c>
      <c r="C32" s="15"/>
      <c r="D32" s="3">
        <v>2989.03</v>
      </c>
      <c r="E32" s="3">
        <v>3152.51</v>
      </c>
      <c r="F32" s="3">
        <v>3152.51</v>
      </c>
      <c r="G32" s="3">
        <v>4728.7700000000004</v>
      </c>
      <c r="H32" s="3">
        <v>3325.3</v>
      </c>
      <c r="I32" s="3">
        <v>3682.62</v>
      </c>
      <c r="J32" s="3">
        <v>3723.88</v>
      </c>
      <c r="K32" s="3">
        <v>3702.87</v>
      </c>
      <c r="L32" s="3">
        <v>3629.7</v>
      </c>
      <c r="M32" s="3">
        <v>5219.79</v>
      </c>
      <c r="N32" s="3">
        <v>3199.1709584615401</v>
      </c>
      <c r="O32" s="3">
        <v>3199.1709584615401</v>
      </c>
      <c r="P32" s="10"/>
      <c r="Q32" s="3">
        <f>SUM(OSRRefD21_0_4x)+IFERROR(SUM(OSRRefE21_0_4x),0)</f>
        <v>43705.321916923087</v>
      </c>
    </row>
    <row r="33" spans="1:17" s="42" customFormat="1" ht="15" hidden="1" customHeight="1" outlineLevel="1" x14ac:dyDescent="0.3">
      <c r="A33" s="34"/>
      <c r="B33" s="11" t="str">
        <f>CONCATENATE("          ","6116"," - ","EDUCATIONAL BENEFITS")</f>
        <v xml:space="preserve">          6116 - EDUCATIONAL BENEFITS</v>
      </c>
      <c r="C33" s="15"/>
      <c r="D33" s="3"/>
      <c r="E33" s="3"/>
      <c r="F33" s="3"/>
      <c r="G33" s="3"/>
      <c r="H33" s="3"/>
      <c r="I33" s="3"/>
      <c r="J33" s="3"/>
      <c r="K33" s="3"/>
      <c r="L33" s="3"/>
      <c r="M33" s="3"/>
      <c r="N33" s="3">
        <v>0</v>
      </c>
      <c r="O33" s="3">
        <v>0</v>
      </c>
      <c r="P33" s="10"/>
      <c r="Q33" s="3">
        <f>SUM(OSRRefD21_0_5x)+IFERROR(SUM(OSRRefE21_0_5x),0)</f>
        <v>0</v>
      </c>
    </row>
    <row r="34" spans="1:17" s="42" customFormat="1" ht="15" hidden="1" customHeight="1" outlineLevel="1" x14ac:dyDescent="0.3">
      <c r="A34" s="34"/>
      <c r="B34" s="11" t="str">
        <f>CONCATENATE("          ","6117"," - ","RETIREMENT STAFF HOURLY")</f>
        <v xml:space="preserve">          6117 - RETIREMENT STAFF HOURLY</v>
      </c>
      <c r="C34" s="15"/>
      <c r="D34" s="3"/>
      <c r="E34" s="3"/>
      <c r="F34" s="3"/>
      <c r="G34" s="3"/>
      <c r="H34" s="3"/>
      <c r="I34" s="3"/>
      <c r="J34" s="3">
        <v>211.66</v>
      </c>
      <c r="K34" s="3">
        <v>250.77</v>
      </c>
      <c r="L34" s="3">
        <v>431.12</v>
      </c>
      <c r="M34" s="3">
        <v>268.02999999999997</v>
      </c>
      <c r="N34" s="3"/>
      <c r="O34" s="3"/>
      <c r="P34" s="10"/>
      <c r="Q34" s="3">
        <f>SUM(OSRRefD21_0_6x)+IFERROR(SUM(OSRRefE21_0_6x),0)</f>
        <v>1161.58</v>
      </c>
    </row>
    <row r="35" spans="1:17" s="42" customFormat="1" ht="15" hidden="1" customHeight="1" outlineLevel="1" x14ac:dyDescent="0.3">
      <c r="A35" s="34"/>
      <c r="B35" s="11" t="str">
        <f>CONCATENATE("          ","6118"," - ","VACATION")</f>
        <v xml:space="preserve">          6118 - VACATION</v>
      </c>
      <c r="C35" s="15"/>
      <c r="D35" s="3">
        <v>2954.94</v>
      </c>
      <c r="E35" s="3">
        <v>2973.5</v>
      </c>
      <c r="F35" s="3">
        <v>2982.74</v>
      </c>
      <c r="G35" s="3">
        <v>4487.97</v>
      </c>
      <c r="H35" s="3">
        <v>3350.12</v>
      </c>
      <c r="I35" s="3">
        <v>3610.56</v>
      </c>
      <c r="J35" s="3">
        <v>6131.31</v>
      </c>
      <c r="K35" s="3">
        <v>3658.02</v>
      </c>
      <c r="L35" s="3">
        <v>3658.02</v>
      </c>
      <c r="M35" s="3">
        <v>4943.88</v>
      </c>
      <c r="N35" s="3">
        <v>2683.4795664615399</v>
      </c>
      <c r="O35" s="3">
        <v>2734.63729446154</v>
      </c>
      <c r="P35" s="10"/>
      <c r="Q35" s="3">
        <f>SUM(OSRRefD21_0_7x)+IFERROR(SUM(OSRRefE21_0_7x),0)</f>
        <v>44169.176860923078</v>
      </c>
    </row>
    <row r="36" spans="1:17" s="42" customFormat="1" ht="15" hidden="1" customHeight="1" outlineLevel="1" x14ac:dyDescent="0.3">
      <c r="A36" s="34"/>
      <c r="B36" s="11" t="str">
        <f>CONCATENATE("          ","6119"," - ","SICK LEAVE")</f>
        <v xml:space="preserve">          6119 - SICK LEAVE</v>
      </c>
      <c r="C36" s="15"/>
      <c r="D36" s="3">
        <v>1898.78</v>
      </c>
      <c r="E36" s="3">
        <v>1911.66</v>
      </c>
      <c r="F36" s="3">
        <v>1922.83</v>
      </c>
      <c r="G36" s="3">
        <v>2900.7</v>
      </c>
      <c r="H36" s="3">
        <v>2220.08</v>
      </c>
      <c r="I36" s="3">
        <v>2592.46</v>
      </c>
      <c r="J36" s="3">
        <v>10834.45</v>
      </c>
      <c r="K36" s="3">
        <v>2633.58</v>
      </c>
      <c r="L36" s="3">
        <v>2633.58</v>
      </c>
      <c r="M36" s="3">
        <v>3717.86</v>
      </c>
      <c r="N36" s="3">
        <v>2016.77881546154</v>
      </c>
      <c r="O36" s="3">
        <v>1543.4336424615401</v>
      </c>
      <c r="P36" s="10"/>
      <c r="Q36" s="3">
        <f>SUM(OSRRefD21_0_8x)+IFERROR(SUM(OSRRefE21_0_8x),0)</f>
        <v>36826.192457923084</v>
      </c>
    </row>
    <row r="37" spans="1:17" s="42" customFormat="1" ht="15" hidden="1" customHeight="1" outlineLevel="1" x14ac:dyDescent="0.3">
      <c r="A37" s="34"/>
      <c r="B37" s="11" t="str">
        <f>CONCATENATE("          ","6156"," - ","EMPLOYEE MEALS")</f>
        <v xml:space="preserve">          6156 - EMPLOYEE MEALS</v>
      </c>
      <c r="C37" s="15"/>
      <c r="D37" s="3">
        <v>1145.8399999999999</v>
      </c>
      <c r="E37" s="3">
        <v>1391.38</v>
      </c>
      <c r="F37" s="3">
        <v>1195.8</v>
      </c>
      <c r="G37" s="3">
        <v>1896.14</v>
      </c>
      <c r="H37" s="3">
        <v>1533.56</v>
      </c>
      <c r="I37" s="3">
        <v>1992.78</v>
      </c>
      <c r="J37" s="3">
        <v>1904.3</v>
      </c>
      <c r="K37" s="3">
        <v>2417.04</v>
      </c>
      <c r="L37" s="3">
        <v>2480.25</v>
      </c>
      <c r="M37" s="3">
        <v>2025.71</v>
      </c>
      <c r="N37" s="3">
        <v>1961</v>
      </c>
      <c r="O37" s="3">
        <v>1945</v>
      </c>
      <c r="P37" s="10"/>
      <c r="Q37" s="3">
        <f>SUM(OSRRefD21_0_9x)+IFERROR(SUM(OSRRefE21_0_9x),0)</f>
        <v>21888.799999999999</v>
      </c>
    </row>
    <row r="38" spans="1:17" s="42" customFormat="1" ht="15" customHeight="1" collapsed="1" x14ac:dyDescent="0.3">
      <c r="A38" s="34"/>
      <c r="B38" s="15" t="str">
        <f>CONCATENATE("     ","*Payroll                                          ")</f>
        <v xml:space="preserve">     *Payroll                                          </v>
      </c>
      <c r="C38" s="15"/>
      <c r="D38" s="2">
        <f>SUM(OSRRefD21_1x_0)</f>
        <v>52602.950000000004</v>
      </c>
      <c r="E38" s="2">
        <f>SUM(OSRRefD21_1x_1)</f>
        <v>62536.37</v>
      </c>
      <c r="F38" s="2">
        <f>SUM(OSRRefD21_1x_2)</f>
        <v>73219.69</v>
      </c>
      <c r="G38" s="2">
        <f>SUM(OSRRefD21_1x_3)</f>
        <v>86531.97</v>
      </c>
      <c r="H38" s="2">
        <f>SUM(OSRRefD21_1x_4)</f>
        <v>65477.14</v>
      </c>
      <c r="I38" s="2">
        <f>SUM(OSRRefD21_1x_5)</f>
        <v>76083.17</v>
      </c>
      <c r="J38" s="2">
        <f>SUM(OSRRefD21_1x_6)</f>
        <v>71614.89</v>
      </c>
      <c r="K38" s="2">
        <f>SUM(OSRRefD21_1x_7)</f>
        <v>107262.54999999999</v>
      </c>
      <c r="L38" s="2">
        <f>SUM(OSRRefD21_1x_8)</f>
        <v>130328.83</v>
      </c>
      <c r="M38" s="2">
        <f>SUM(OSRRefD21_1x_9)</f>
        <v>145744.21</v>
      </c>
      <c r="N38" s="2">
        <f>SUM(OSRRefE21_1x_0)</f>
        <v>90023.782950769208</v>
      </c>
      <c r="O38" s="2">
        <f>SUM(OSRRefE21_1x_1)</f>
        <v>68818.918570769194</v>
      </c>
      <c r="Q38" s="3">
        <f>SUM(OSRRefD20_1x)+IFERROR(SUM(OSRRefE20_1x),0)</f>
        <v>1030244.4715215383</v>
      </c>
    </row>
    <row r="39" spans="1:17" s="42" customFormat="1" ht="15" hidden="1" customHeight="1" outlineLevel="1" x14ac:dyDescent="0.3">
      <c r="A39" s="34"/>
      <c r="B39" s="11" t="str">
        <f>CONCATENATE("          ","6001"," - ","ADMINISTRATIVE SALARIES")</f>
        <v xml:space="preserve">          6001 - ADMINISTRATIVE SALARIES</v>
      </c>
      <c r="C39" s="15"/>
      <c r="D39" s="3">
        <v>13836.28</v>
      </c>
      <c r="E39" s="3">
        <v>8855.42</v>
      </c>
      <c r="F39" s="3">
        <v>10515.82</v>
      </c>
      <c r="G39" s="3">
        <v>10516.14</v>
      </c>
      <c r="H39" s="3">
        <v>9209.65</v>
      </c>
      <c r="I39" s="3">
        <v>10936.46</v>
      </c>
      <c r="J39" s="3">
        <v>14390.06</v>
      </c>
      <c r="K39" s="3">
        <v>10936.46</v>
      </c>
      <c r="L39" s="3">
        <v>11512.06</v>
      </c>
      <c r="M39" s="3">
        <v>12087.68</v>
      </c>
      <c r="N39" s="3">
        <v>10268.307692307701</v>
      </c>
      <c r="O39" s="3">
        <v>10268.307692307701</v>
      </c>
      <c r="P39" s="10"/>
      <c r="Q39" s="3">
        <f>SUM(OSRRefD21_1_0x)+IFERROR(SUM(OSRRefE21_1_0x),0)</f>
        <v>133332.6453846154</v>
      </c>
    </row>
    <row r="40" spans="1:17" s="42" customFormat="1" ht="15" hidden="1" customHeight="1" outlineLevel="1" x14ac:dyDescent="0.3">
      <c r="A40" s="34"/>
      <c r="B40" s="11" t="str">
        <f>CONCATENATE("          ","6002"," - ","STAFF SALARIES")</f>
        <v xml:space="preserve">          6002 - STAFF SALARIES</v>
      </c>
      <c r="C40" s="15"/>
      <c r="D40" s="3">
        <v>23724.02</v>
      </c>
      <c r="E40" s="3">
        <v>20808.45</v>
      </c>
      <c r="F40" s="3">
        <v>19952.88</v>
      </c>
      <c r="G40" s="3">
        <v>25037.65</v>
      </c>
      <c r="H40" s="3">
        <v>21413.4</v>
      </c>
      <c r="I40" s="3">
        <v>24011.85</v>
      </c>
      <c r="J40" s="3">
        <v>30857.38</v>
      </c>
      <c r="K40" s="3">
        <v>25467.81</v>
      </c>
      <c r="L40" s="3">
        <v>26029.14</v>
      </c>
      <c r="M40" s="3">
        <v>30741.93</v>
      </c>
      <c r="N40" s="3">
        <v>23952.633038461499</v>
      </c>
      <c r="O40" s="3">
        <v>23952.633038461499</v>
      </c>
      <c r="P40" s="10"/>
      <c r="Q40" s="3">
        <f>SUM(OSRRefD21_1_1x)+IFERROR(SUM(OSRRefE21_1_1x),0)</f>
        <v>295949.77607692301</v>
      </c>
    </row>
    <row r="41" spans="1:17" s="42" customFormat="1" ht="15" hidden="1" customHeight="1" outlineLevel="1" x14ac:dyDescent="0.3">
      <c r="A41" s="34"/>
      <c r="B41" s="11" t="str">
        <f>CONCATENATE("          ","6003"," - ","STAFF HOURLY-9 MONTH")</f>
        <v xml:space="preserve">          6003 - STAFF HOURLY-9 MONTH</v>
      </c>
      <c r="C41" s="15"/>
      <c r="D41" s="3"/>
      <c r="E41" s="3"/>
      <c r="F41" s="3"/>
      <c r="G41" s="3"/>
      <c r="H41" s="3"/>
      <c r="I41" s="3"/>
      <c r="J41" s="3"/>
      <c r="K41" s="3"/>
      <c r="L41" s="3"/>
      <c r="M41" s="3"/>
      <c r="N41" s="3">
        <v>0</v>
      </c>
      <c r="O41" s="3">
        <v>0</v>
      </c>
      <c r="P41" s="10"/>
      <c r="Q41" s="3">
        <f>SUM(OSRRefD21_1_2x)+IFERROR(SUM(OSRRefE21_1_2x),0)</f>
        <v>0</v>
      </c>
    </row>
    <row r="42" spans="1:17" s="42" customFormat="1" ht="15" hidden="1" customHeight="1" outlineLevel="1" x14ac:dyDescent="0.3">
      <c r="A42" s="34"/>
      <c r="B42" s="11" t="str">
        <f>CONCATENATE("          ","6004"," - ","STAFF HOURLY")</f>
        <v xml:space="preserve">          6004 - STAFF HOURLY</v>
      </c>
      <c r="C42" s="15"/>
      <c r="D42" s="3">
        <v>7726.26</v>
      </c>
      <c r="E42" s="3">
        <v>8001.1</v>
      </c>
      <c r="F42" s="3">
        <v>9010.67</v>
      </c>
      <c r="G42" s="3">
        <v>11612.94</v>
      </c>
      <c r="H42" s="3">
        <v>9506.17</v>
      </c>
      <c r="I42" s="3">
        <v>13267.98</v>
      </c>
      <c r="J42" s="3">
        <v>13400.11</v>
      </c>
      <c r="K42" s="3">
        <v>22366.26</v>
      </c>
      <c r="L42" s="3">
        <v>13954.16</v>
      </c>
      <c r="M42" s="3">
        <v>26275.26</v>
      </c>
      <c r="N42" s="3">
        <v>17104.58022</v>
      </c>
      <c r="O42" s="3">
        <v>16098.45894</v>
      </c>
      <c r="P42" s="10"/>
      <c r="Q42" s="3">
        <f>SUM(OSRRefD21_1_3x)+IFERROR(SUM(OSRRefE21_1_3x),0)</f>
        <v>168323.94916000002</v>
      </c>
    </row>
    <row r="43" spans="1:17" s="42" customFormat="1" ht="15" hidden="1" customHeight="1" outlineLevel="1" x14ac:dyDescent="0.3">
      <c r="A43" s="34"/>
      <c r="B43" s="11" t="str">
        <f>CONCATENATE("          ","6005"," - ","TEMPORARY WAGES-HOURLY")</f>
        <v xml:space="preserve">          6005 - TEMPORARY WAGES-HOURLY</v>
      </c>
      <c r="C43" s="15"/>
      <c r="D43" s="3">
        <v>3353.39</v>
      </c>
      <c r="E43" s="3">
        <v>10218.36</v>
      </c>
      <c r="F43" s="3">
        <v>16568.47</v>
      </c>
      <c r="G43" s="3">
        <v>21712.23</v>
      </c>
      <c r="H43" s="3">
        <v>10102.19</v>
      </c>
      <c r="I43" s="3">
        <v>13727.83</v>
      </c>
      <c r="J43" s="3">
        <v>4125.04</v>
      </c>
      <c r="K43" s="3">
        <v>19547.66</v>
      </c>
      <c r="L43" s="3">
        <v>17009.22</v>
      </c>
      <c r="M43" s="3">
        <v>28622.11</v>
      </c>
      <c r="N43" s="3">
        <v>11265.885550000001</v>
      </c>
      <c r="O43" s="3">
        <v>11716.8531</v>
      </c>
      <c r="P43" s="10"/>
      <c r="Q43" s="3">
        <f>SUM(OSRRefD21_1_4x)+IFERROR(SUM(OSRRefE21_1_4x),0)</f>
        <v>167969.23865000001</v>
      </c>
    </row>
    <row r="44" spans="1:17" s="42" customFormat="1" ht="15" hidden="1" customHeight="1" outlineLevel="1" x14ac:dyDescent="0.3">
      <c r="A44" s="34"/>
      <c r="B44" s="11" t="str">
        <f>CONCATENATE("          ","6006"," - ","TEMPORARY PART TIME")</f>
        <v xml:space="preserve">          6006 - TEMPORARY PART TIME</v>
      </c>
      <c r="C44" s="15"/>
      <c r="D44" s="3"/>
      <c r="E44" s="3"/>
      <c r="F44" s="3"/>
      <c r="G44" s="3"/>
      <c r="H44" s="3"/>
      <c r="I44" s="3"/>
      <c r="J44" s="3"/>
      <c r="K44" s="3">
        <v>641</v>
      </c>
      <c r="L44" s="3">
        <v>1702.24</v>
      </c>
      <c r="M44" s="3">
        <v>2858.76</v>
      </c>
      <c r="N44" s="3">
        <v>0</v>
      </c>
      <c r="O44" s="3">
        <v>0</v>
      </c>
      <c r="P44" s="10"/>
      <c r="Q44" s="3">
        <f>SUM(OSRRefD21_1_5x)+IFERROR(SUM(OSRRefE21_1_5x),0)</f>
        <v>5202</v>
      </c>
    </row>
    <row r="45" spans="1:17" s="42" customFormat="1" ht="15" hidden="1" customHeight="1" outlineLevel="1" x14ac:dyDescent="0.3">
      <c r="A45" s="34"/>
      <c r="B45" s="11" t="str">
        <f>CONCATENATE("          ","6007"," - ","STUDENT HOURLY")</f>
        <v xml:space="preserve">          6007 - STUDENT HOURLY</v>
      </c>
      <c r="C45" s="15"/>
      <c r="D45" s="3">
        <v>3963</v>
      </c>
      <c r="E45" s="3">
        <v>14653.04</v>
      </c>
      <c r="F45" s="3">
        <v>17171.849999999999</v>
      </c>
      <c r="G45" s="3">
        <v>17653.009999999998</v>
      </c>
      <c r="H45" s="3">
        <v>15245.73</v>
      </c>
      <c r="I45" s="3">
        <v>14139.05</v>
      </c>
      <c r="J45" s="3">
        <v>8842.2999999999993</v>
      </c>
      <c r="K45" s="3">
        <v>26016.959999999999</v>
      </c>
      <c r="L45" s="3">
        <v>55283.72</v>
      </c>
      <c r="M45" s="3">
        <v>37611.370000000003</v>
      </c>
      <c r="N45" s="3">
        <v>1895.0555999999999</v>
      </c>
      <c r="O45" s="3">
        <v>0</v>
      </c>
      <c r="P45" s="10"/>
      <c r="Q45" s="3">
        <f>SUM(OSRRefD21_1_6x)+IFERROR(SUM(OSRRefE21_1_6x),0)</f>
        <v>212475.08559999999</v>
      </c>
    </row>
    <row r="46" spans="1:17" s="42" customFormat="1" ht="15" hidden="1" customHeight="1" outlineLevel="1" x14ac:dyDescent="0.3">
      <c r="A46" s="34"/>
      <c r="B46" s="11" t="str">
        <f>CONCATENATE("          ","6008"," - ","STUDENT HOURLY-FICA EXEMPT")</f>
        <v xml:space="preserve">          6008 - STUDENT HOURLY-FICA EXEMPT</v>
      </c>
      <c r="C46" s="15"/>
      <c r="D46" s="3"/>
      <c r="E46" s="3"/>
      <c r="F46" s="3"/>
      <c r="G46" s="3"/>
      <c r="H46" s="3"/>
      <c r="I46" s="3"/>
      <c r="J46" s="3"/>
      <c r="K46" s="3">
        <v>2286.4</v>
      </c>
      <c r="L46" s="3">
        <v>4838.29</v>
      </c>
      <c r="M46" s="3">
        <v>7547.1</v>
      </c>
      <c r="N46" s="3">
        <v>25537.32085</v>
      </c>
      <c r="O46" s="3">
        <v>6782.6657999999998</v>
      </c>
      <c r="P46" s="10"/>
      <c r="Q46" s="3">
        <f>SUM(OSRRefD21_1_7x)+IFERROR(SUM(OSRRefE21_1_7x),0)</f>
        <v>46991.77665</v>
      </c>
    </row>
    <row r="47" spans="1:17" s="42" customFormat="1" ht="15" hidden="1" customHeight="1" outlineLevel="1" x14ac:dyDescent="0.3">
      <c r="A47" s="34"/>
      <c r="B47" s="11" t="str">
        <f>CONCATENATE("          ","6009"," - ","TEMPORARY-SEASONAL")</f>
        <v xml:space="preserve">          6009 - TEMPORARY-SEASONAL</v>
      </c>
      <c r="C47" s="15"/>
      <c r="D47" s="3"/>
      <c r="E47" s="3"/>
      <c r="F47" s="3"/>
      <c r="G47" s="3"/>
      <c r="H47" s="3"/>
      <c r="I47" s="3"/>
      <c r="J47" s="3"/>
      <c r="K47" s="3"/>
      <c r="L47" s="3"/>
      <c r="M47" s="3"/>
      <c r="N47" s="3">
        <v>0</v>
      </c>
      <c r="O47" s="3">
        <v>0</v>
      </c>
      <c r="P47" s="10"/>
      <c r="Q47" s="3">
        <f>SUM(OSRRefD21_1_8x)+IFERROR(SUM(OSRRefE21_1_8x),0)</f>
        <v>0</v>
      </c>
    </row>
    <row r="48" spans="1:17" s="42" customFormat="1" ht="15" hidden="1" customHeight="1" outlineLevel="1" x14ac:dyDescent="0.3">
      <c r="A48" s="34"/>
      <c r="B48" s="11" t="str">
        <f>CONCATENATE("          ","6010"," - ","GRATUITY")</f>
        <v xml:space="preserve">          6010 - GRATUITY</v>
      </c>
      <c r="C48" s="15"/>
      <c r="D48" s="3"/>
      <c r="E48" s="3"/>
      <c r="F48" s="3"/>
      <c r="G48" s="3"/>
      <c r="H48" s="3"/>
      <c r="I48" s="3"/>
      <c r="J48" s="3"/>
      <c r="K48" s="3"/>
      <c r="L48" s="3"/>
      <c r="M48" s="3"/>
      <c r="N48" s="3">
        <v>0</v>
      </c>
      <c r="O48" s="3">
        <v>0</v>
      </c>
      <c r="P48" s="10"/>
      <c r="Q48" s="3">
        <f>SUM(OSRRefD21_1_9x)+IFERROR(SUM(OSRRefE21_1_9x),0)</f>
        <v>0</v>
      </c>
    </row>
    <row r="49" spans="1:17" s="42" customFormat="1" ht="15" customHeight="1" collapsed="1" x14ac:dyDescent="0.3">
      <c r="A49" s="34"/>
      <c r="B49" s="15" t="str">
        <f>CONCATENATE("     ","Advertising/Promo                                 ")</f>
        <v xml:space="preserve">     Advertising/Promo                                 </v>
      </c>
      <c r="C49" s="15"/>
      <c r="D49" s="2">
        <f>SUM(OSRRefD21_2x_0)</f>
        <v>424.79</v>
      </c>
      <c r="E49" s="2">
        <f>SUM(OSRRefD21_2x_1)</f>
        <v>135.47</v>
      </c>
      <c r="F49" s="2">
        <f>SUM(OSRRefD21_2x_2)</f>
        <v>200.77</v>
      </c>
      <c r="G49" s="2">
        <f>SUM(OSRRefD21_2x_3)</f>
        <v>50.23</v>
      </c>
      <c r="H49" s="2">
        <f>SUM(OSRRefD21_2x_4)</f>
        <v>149.79</v>
      </c>
      <c r="I49" s="2">
        <f>SUM(OSRRefD21_2x_5)</f>
        <v>43.53</v>
      </c>
      <c r="J49" s="2">
        <f>SUM(OSRRefD21_2x_6)</f>
        <v>261.93</v>
      </c>
      <c r="K49" s="2">
        <f>SUM(OSRRefD21_2x_7)</f>
        <v>678.69</v>
      </c>
      <c r="L49" s="2">
        <f>SUM(OSRRefD21_2x_8)</f>
        <v>221.85</v>
      </c>
      <c r="M49" s="2">
        <f>SUM(OSRRefD21_2x_9)</f>
        <v>602.39</v>
      </c>
      <c r="N49" s="2">
        <f>SUM(OSRRefE21_2x_0)</f>
        <v>0</v>
      </c>
      <c r="O49" s="2">
        <f>SUM(OSRRefE21_2x_1)</f>
        <v>0</v>
      </c>
      <c r="Q49" s="3">
        <f>SUM(OSRRefD20_2x)+IFERROR(SUM(OSRRefE20_2x),0)</f>
        <v>2769.44</v>
      </c>
    </row>
    <row r="50" spans="1:17" s="42" customFormat="1" ht="15" hidden="1" customHeight="1" outlineLevel="1" x14ac:dyDescent="0.3">
      <c r="A50" s="34"/>
      <c r="B50" s="11" t="str">
        <f>CONCATENATE("          ","6362"," - ","ADVERTISING EXPENSE")</f>
        <v xml:space="preserve">          6362 - ADVERTISING EXPENSE</v>
      </c>
      <c r="C50" s="15"/>
      <c r="D50" s="3">
        <v>424.79</v>
      </c>
      <c r="E50" s="3">
        <v>135.47</v>
      </c>
      <c r="F50" s="3">
        <v>200.77</v>
      </c>
      <c r="G50" s="3">
        <v>50.23</v>
      </c>
      <c r="H50" s="3">
        <v>149.79</v>
      </c>
      <c r="I50" s="3">
        <v>43.53</v>
      </c>
      <c r="J50" s="3">
        <v>261.93</v>
      </c>
      <c r="K50" s="3">
        <v>678.69</v>
      </c>
      <c r="L50" s="3">
        <v>221.85</v>
      </c>
      <c r="M50" s="3">
        <v>602.39</v>
      </c>
      <c r="N50" s="3"/>
      <c r="O50" s="3"/>
      <c r="P50" s="10"/>
      <c r="Q50" s="3">
        <f>SUM(OSRRefD21_2_0x)+IFERROR(SUM(OSRRefE21_2_0x),0)</f>
        <v>2769.44</v>
      </c>
    </row>
    <row r="51" spans="1:17" s="42" customFormat="1" ht="15" customHeight="1" collapsed="1" x14ac:dyDescent="0.3">
      <c r="A51" s="34"/>
      <c r="B51" s="15" t="str">
        <f>CONCATENATE("     ","Bad Debts/Over/Short                              ")</f>
        <v xml:space="preserve">     Bad Debts/Over/Short                              </v>
      </c>
      <c r="C51" s="15"/>
      <c r="D51" s="2">
        <f>SUM(OSRRefD21_3x_0)</f>
        <v>-19.02</v>
      </c>
      <c r="E51" s="2">
        <f>SUM(OSRRefD21_3x_1)</f>
        <v>-89.52</v>
      </c>
      <c r="F51" s="2">
        <f>SUM(OSRRefD21_3x_2)</f>
        <v>7.74</v>
      </c>
      <c r="G51" s="2">
        <f>SUM(OSRRefD21_3x_3)</f>
        <v>-3.12</v>
      </c>
      <c r="H51" s="2">
        <f>SUM(OSRRefD21_3x_4)</f>
        <v>6.25</v>
      </c>
      <c r="I51" s="2">
        <f>SUM(OSRRefD21_3x_5)</f>
        <v>45.6</v>
      </c>
      <c r="J51" s="2">
        <f>SUM(OSRRefD21_3x_6)</f>
        <v>-20.56</v>
      </c>
      <c r="K51" s="2">
        <f>SUM(OSRRefD21_3x_7)</f>
        <v>0.35</v>
      </c>
      <c r="L51" s="2">
        <f>SUM(OSRRefD21_3x_8)</f>
        <v>51.82</v>
      </c>
      <c r="M51" s="2">
        <f>SUM(OSRRefD21_3x_9)</f>
        <v>10.51</v>
      </c>
      <c r="N51" s="2">
        <f>SUM(OSRRefE21_3x_0)</f>
        <v>0</v>
      </c>
      <c r="O51" s="2">
        <f>SUM(OSRRefE21_3x_1)</f>
        <v>10</v>
      </c>
      <c r="Q51" s="3">
        <f>SUM(OSRRefD20_3x)+IFERROR(SUM(OSRRefE20_3x),0)</f>
        <v>4.9999999999998934E-2</v>
      </c>
    </row>
    <row r="52" spans="1:17" s="42" customFormat="1" ht="15" hidden="1" customHeight="1" outlineLevel="1" x14ac:dyDescent="0.3">
      <c r="A52" s="34"/>
      <c r="B52" s="11" t="str">
        <f>CONCATENATE("          ","6272"," - ","CASH (OVER/SHORT)")</f>
        <v xml:space="preserve">          6272 - CASH (OVER/SHORT)</v>
      </c>
      <c r="C52" s="15"/>
      <c r="D52" s="3">
        <v>-19.02</v>
      </c>
      <c r="E52" s="3">
        <v>-89.52</v>
      </c>
      <c r="F52" s="3">
        <v>7.74</v>
      </c>
      <c r="G52" s="3">
        <v>-3.12</v>
      </c>
      <c r="H52" s="3">
        <v>6.25</v>
      </c>
      <c r="I52" s="3">
        <v>45.6</v>
      </c>
      <c r="J52" s="3">
        <v>-20.56</v>
      </c>
      <c r="K52" s="3">
        <v>0.35</v>
      </c>
      <c r="L52" s="3">
        <v>51.82</v>
      </c>
      <c r="M52" s="3">
        <v>10.51</v>
      </c>
      <c r="N52" s="3">
        <v>0</v>
      </c>
      <c r="O52" s="3">
        <v>10</v>
      </c>
      <c r="P52" s="10"/>
      <c r="Q52" s="3">
        <f>SUM(OSRRefD21_3_0x)+IFERROR(SUM(OSRRefE21_3_0x),0)</f>
        <v>4.9999999999998934E-2</v>
      </c>
    </row>
    <row r="53" spans="1:17" s="42" customFormat="1" ht="15" customHeight="1" collapsed="1" x14ac:dyDescent="0.3">
      <c r="A53" s="34"/>
      <c r="B53" s="15" t="str">
        <f>CONCATENATE("     ","Bank/card Fees                                    ")</f>
        <v xml:space="preserve">     Bank/card Fees                                    </v>
      </c>
      <c r="C53" s="15"/>
      <c r="D53" s="2">
        <f>SUM(OSRRefD21_4x_0)</f>
        <v>1008.71</v>
      </c>
      <c r="E53" s="2">
        <f>SUM(OSRRefD21_4x_1)</f>
        <v>2761.03</v>
      </c>
      <c r="F53" s="2">
        <f>SUM(OSRRefD21_4x_2)</f>
        <v>5813.93</v>
      </c>
      <c r="G53" s="2">
        <f>SUM(OSRRefD21_4x_3)</f>
        <v>7396.63</v>
      </c>
      <c r="H53" s="2">
        <f>SUM(OSRRefD21_4x_4)</f>
        <v>5070.1099999999997</v>
      </c>
      <c r="I53" s="2">
        <f>SUM(OSRRefD21_4x_5)</f>
        <v>4469.4399999999996</v>
      </c>
      <c r="J53" s="2">
        <f>SUM(OSRRefD21_4x_6)</f>
        <v>715.75</v>
      </c>
      <c r="K53" s="2">
        <f>SUM(OSRRefD21_4x_7)</f>
        <v>10178.36</v>
      </c>
      <c r="L53" s="2">
        <f>SUM(OSRRefD21_4x_8)</f>
        <v>15318.68</v>
      </c>
      <c r="M53" s="2">
        <f>SUM(OSRRefD21_4x_9)</f>
        <v>12691.87</v>
      </c>
      <c r="N53" s="2">
        <f>SUM(OSRRefE21_4x_0)</f>
        <v>14095</v>
      </c>
      <c r="O53" s="2">
        <f>SUM(OSRRefE21_4x_1)</f>
        <v>5145.5</v>
      </c>
      <c r="Q53" s="3">
        <f>SUM(OSRRefD20_4x)+IFERROR(SUM(OSRRefE20_4x),0)</f>
        <v>84665.010000000009</v>
      </c>
    </row>
    <row r="54" spans="1:17" s="42" customFormat="1" ht="15" hidden="1" customHeight="1" outlineLevel="1" x14ac:dyDescent="0.3">
      <c r="A54" s="34"/>
      <c r="B54" s="11" t="str">
        <f>CONCATENATE("          ","6381"," - ","BANK/CREDIT CARD FEES")</f>
        <v xml:space="preserve">          6381 - BANK/CREDIT CARD FEES</v>
      </c>
      <c r="C54" s="15"/>
      <c r="D54" s="3">
        <v>1008.71</v>
      </c>
      <c r="E54" s="3">
        <v>2761.03</v>
      </c>
      <c r="F54" s="3">
        <v>5813.93</v>
      </c>
      <c r="G54" s="3">
        <v>7396.63</v>
      </c>
      <c r="H54" s="3">
        <v>5070.1099999999997</v>
      </c>
      <c r="I54" s="3">
        <v>4469.4399999999996</v>
      </c>
      <c r="J54" s="3">
        <v>715.75</v>
      </c>
      <c r="K54" s="3">
        <v>10178.36</v>
      </c>
      <c r="L54" s="3">
        <v>15318.68</v>
      </c>
      <c r="M54" s="3">
        <v>12691.87</v>
      </c>
      <c r="N54" s="3">
        <v>14095</v>
      </c>
      <c r="O54" s="3">
        <v>5145.5</v>
      </c>
      <c r="P54" s="10"/>
      <c r="Q54" s="3">
        <f>SUM(OSRRefD21_4_0x)+IFERROR(SUM(OSRRefE21_4_0x),0)</f>
        <v>84665.010000000009</v>
      </c>
    </row>
    <row r="55" spans="1:17" s="42" customFormat="1" ht="15" customHeight="1" collapsed="1" x14ac:dyDescent="0.3">
      <c r="A55" s="34"/>
      <c r="B55" s="15" t="str">
        <f>CONCATENATE("     ","Depreciation                                      ")</f>
        <v xml:space="preserve">     Depreciation                                      </v>
      </c>
      <c r="C55" s="15"/>
      <c r="D55" s="2">
        <f>SUM(OSRRefD21_5x_0)</f>
        <v>39961.65</v>
      </c>
      <c r="E55" s="2">
        <f>SUM(OSRRefD21_5x_1)</f>
        <v>39961.65</v>
      </c>
      <c r="F55" s="2">
        <f>SUM(OSRRefD21_5x_2)</f>
        <v>39917.57</v>
      </c>
      <c r="G55" s="2">
        <f>SUM(OSRRefD21_5x_3)</f>
        <v>39106.79</v>
      </c>
      <c r="H55" s="2">
        <f>SUM(OSRRefD21_5x_4)</f>
        <v>39106.79</v>
      </c>
      <c r="I55" s="2">
        <f>SUM(OSRRefD21_5x_5)</f>
        <v>39106.79</v>
      </c>
      <c r="J55" s="2">
        <f>SUM(OSRRefD21_5x_6)</f>
        <v>39106.79</v>
      </c>
      <c r="K55" s="2">
        <f>SUM(OSRRefD21_5x_7)</f>
        <v>39106.79</v>
      </c>
      <c r="L55" s="2">
        <f>SUM(OSRRefD21_5x_8)</f>
        <v>38531.99</v>
      </c>
      <c r="M55" s="2">
        <f>SUM(OSRRefD21_5x_9)</f>
        <v>42402.47</v>
      </c>
      <c r="N55" s="2">
        <f>SUM(OSRRefE21_5x_0)</f>
        <v>38532</v>
      </c>
      <c r="O55" s="2">
        <f>SUM(OSRRefE21_5x_1)</f>
        <v>38374</v>
      </c>
      <c r="Q55" s="3">
        <f>SUM(OSRRefD20_5x)+IFERROR(SUM(OSRRefE20_5x),0)</f>
        <v>473215.28</v>
      </c>
    </row>
    <row r="56" spans="1:17" s="42" customFormat="1" ht="15" hidden="1" customHeight="1" outlineLevel="1" x14ac:dyDescent="0.3">
      <c r="A56" s="34"/>
      <c r="B56" s="11" t="str">
        <f>CONCATENATE("          ","6321"," - ","BUILDING DEPRECIATION")</f>
        <v xml:space="preserve">          6321 - BUILDING DEPRECIATION</v>
      </c>
      <c r="C56" s="15"/>
      <c r="D56" s="3">
        <v>28663.98</v>
      </c>
      <c r="E56" s="3">
        <v>28663.98</v>
      </c>
      <c r="F56" s="3">
        <v>28619.91</v>
      </c>
      <c r="G56" s="3">
        <v>28619.91</v>
      </c>
      <c r="H56" s="3">
        <v>28619.91</v>
      </c>
      <c r="I56" s="3">
        <v>28619.91</v>
      </c>
      <c r="J56" s="3">
        <v>28619.91</v>
      </c>
      <c r="K56" s="3">
        <v>28619.91</v>
      </c>
      <c r="L56" s="3">
        <v>28619.91</v>
      </c>
      <c r="M56" s="3">
        <v>28619.91</v>
      </c>
      <c r="N56" s="3"/>
      <c r="O56" s="3"/>
      <c r="P56" s="10"/>
      <c r="Q56" s="3">
        <f>SUM(OSRRefD21_5_0x)+IFERROR(SUM(OSRRefE21_5_0x),0)</f>
        <v>286287.24</v>
      </c>
    </row>
    <row r="57" spans="1:17" s="42" customFormat="1" ht="15" hidden="1" customHeight="1" outlineLevel="1" x14ac:dyDescent="0.3">
      <c r="A57" s="34"/>
      <c r="B57" s="11" t="str">
        <f>CONCATENATE("          ","6322"," - ","EQUIPMENT DEPRECIATION EXPENSE")</f>
        <v xml:space="preserve">          6322 - EQUIPMENT DEPRECIATION EXPENSE</v>
      </c>
      <c r="C57" s="15"/>
      <c r="D57" s="3">
        <v>11297.67</v>
      </c>
      <c r="E57" s="3">
        <v>11297.67</v>
      </c>
      <c r="F57" s="3">
        <v>11297.66</v>
      </c>
      <c r="G57" s="3">
        <v>10486.88</v>
      </c>
      <c r="H57" s="3">
        <v>10486.88</v>
      </c>
      <c r="I57" s="3">
        <v>10486.88</v>
      </c>
      <c r="J57" s="3">
        <v>10486.88</v>
      </c>
      <c r="K57" s="3">
        <v>10486.88</v>
      </c>
      <c r="L57" s="3">
        <v>9912.08</v>
      </c>
      <c r="M57" s="3">
        <v>13782.56</v>
      </c>
      <c r="N57" s="3">
        <v>38532</v>
      </c>
      <c r="O57" s="3">
        <v>38374</v>
      </c>
      <c r="P57" s="10"/>
      <c r="Q57" s="3">
        <f>SUM(OSRRefD21_5_1x)+IFERROR(SUM(OSRRefE21_5_1x),0)</f>
        <v>186928.03999999998</v>
      </c>
    </row>
    <row r="58" spans="1:17" s="42" customFormat="1" ht="15" customHeight="1" collapsed="1" x14ac:dyDescent="0.3">
      <c r="A58" s="34"/>
      <c r="B58" s="15" t="str">
        <f>CONCATENATE("     ","Employees' Appreciation                           ")</f>
        <v xml:space="preserve">     Employees' Appreciation                           </v>
      </c>
      <c r="C58" s="15"/>
      <c r="D58" s="2">
        <f>SUM(OSRRefD21_6x_0)</f>
        <v>0</v>
      </c>
      <c r="E58" s="2">
        <f>SUM(OSRRefD21_6x_1)</f>
        <v>18</v>
      </c>
      <c r="F58" s="2">
        <f>SUM(OSRRefD21_6x_2)</f>
        <v>0</v>
      </c>
      <c r="G58" s="2">
        <f>SUM(OSRRefD21_6x_3)</f>
        <v>123.17</v>
      </c>
      <c r="H58" s="2">
        <f>SUM(OSRRefD21_6x_4)</f>
        <v>0</v>
      </c>
      <c r="I58" s="2">
        <f>SUM(OSRRefD21_6x_5)</f>
        <v>173.7</v>
      </c>
      <c r="J58" s="2">
        <f>SUM(OSRRefD21_6x_6)</f>
        <v>0</v>
      </c>
      <c r="K58" s="2">
        <f>SUM(OSRRefD21_6x_7)</f>
        <v>0</v>
      </c>
      <c r="L58" s="2">
        <f>SUM(OSRRefD21_6x_8)</f>
        <v>0</v>
      </c>
      <c r="M58" s="2">
        <f>SUM(OSRRefD21_6x_9)</f>
        <v>61.45</v>
      </c>
      <c r="N58" s="2">
        <f>SUM(OSRRefE21_6x_0)</f>
        <v>140</v>
      </c>
      <c r="O58" s="2">
        <f>SUM(OSRRefE21_6x_1)</f>
        <v>0</v>
      </c>
      <c r="Q58" s="3">
        <f>SUM(OSRRefD20_6x)+IFERROR(SUM(OSRRefE20_6x),0)</f>
        <v>516.31999999999994</v>
      </c>
    </row>
    <row r="59" spans="1:17" s="42" customFormat="1" ht="15" hidden="1" customHeight="1" outlineLevel="1" x14ac:dyDescent="0.3">
      <c r="A59" s="34"/>
      <c r="B59" s="11" t="str">
        <f>CONCATENATE("          ","6277"," - ","EMPLOYEE APPRECIATION")</f>
        <v xml:space="preserve">          6277 - EMPLOYEE APPRECIATION</v>
      </c>
      <c r="C59" s="15"/>
      <c r="D59" s="3"/>
      <c r="E59" s="3">
        <v>18</v>
      </c>
      <c r="F59" s="3"/>
      <c r="G59" s="3">
        <v>123.17</v>
      </c>
      <c r="H59" s="3"/>
      <c r="I59" s="3">
        <v>173.7</v>
      </c>
      <c r="J59" s="3"/>
      <c r="K59" s="3"/>
      <c r="L59" s="3"/>
      <c r="M59" s="3">
        <v>61.45</v>
      </c>
      <c r="N59" s="3">
        <v>140</v>
      </c>
      <c r="O59" s="3"/>
      <c r="P59" s="10"/>
      <c r="Q59" s="3">
        <f>SUM(OSRRefD21_6_0x)+IFERROR(SUM(OSRRefE21_6_0x),0)</f>
        <v>516.31999999999994</v>
      </c>
    </row>
    <row r="60" spans="1:17" s="42" customFormat="1" ht="15" customHeight="1" collapsed="1" x14ac:dyDescent="0.3">
      <c r="A60" s="34"/>
      <c r="B60" s="15" t="str">
        <f>CONCATENATE("     ","Equipment Rental                                  ")</f>
        <v xml:space="preserve">     Equipment Rental                                  </v>
      </c>
      <c r="C60" s="15"/>
      <c r="D60" s="2">
        <f>SUM(OSRRefD21_7x_0)</f>
        <v>467.93</v>
      </c>
      <c r="E60" s="2">
        <f>SUM(OSRRefD21_7x_1)</f>
        <v>1239.52</v>
      </c>
      <c r="F60" s="2">
        <f>SUM(OSRRefD21_7x_2)</f>
        <v>91.26</v>
      </c>
      <c r="G60" s="2">
        <f>SUM(OSRRefD21_7x_3)</f>
        <v>1125.7</v>
      </c>
      <c r="H60" s="2">
        <f>SUM(OSRRefD21_7x_4)</f>
        <v>726.98</v>
      </c>
      <c r="I60" s="2">
        <f>SUM(OSRRefD21_7x_5)</f>
        <v>1746.76</v>
      </c>
      <c r="J60" s="2">
        <f>SUM(OSRRefD21_7x_6)</f>
        <v>958.04</v>
      </c>
      <c r="K60" s="2">
        <f>SUM(OSRRefD21_7x_7)</f>
        <v>1064.47</v>
      </c>
      <c r="L60" s="2">
        <f>SUM(OSRRefD21_7x_8)</f>
        <v>632.67999999999995</v>
      </c>
      <c r="M60" s="2">
        <f>SUM(OSRRefD21_7x_9)</f>
        <v>1997.37</v>
      </c>
      <c r="N60" s="2">
        <f>SUM(OSRRefE21_7x_0)</f>
        <v>951</v>
      </c>
      <c r="O60" s="2">
        <f>SUM(OSRRefE21_7x_1)</f>
        <v>951</v>
      </c>
      <c r="Q60" s="3">
        <f>SUM(OSRRefD20_7x)+IFERROR(SUM(OSRRefE20_7x),0)</f>
        <v>11952.71</v>
      </c>
    </row>
    <row r="61" spans="1:17" s="42" customFormat="1" ht="15" hidden="1" customHeight="1" outlineLevel="1" x14ac:dyDescent="0.3">
      <c r="A61" s="34"/>
      <c r="B61" s="11" t="str">
        <f>CONCATENATE("          ","6351"," - ","EQUIPMENT RENTAL")</f>
        <v xml:space="preserve">          6351 - EQUIPMENT RENTAL</v>
      </c>
      <c r="C61" s="15"/>
      <c r="D61" s="3">
        <v>467.93</v>
      </c>
      <c r="E61" s="3">
        <v>1239.52</v>
      </c>
      <c r="F61" s="3">
        <v>91.26</v>
      </c>
      <c r="G61" s="3">
        <v>1125.7</v>
      </c>
      <c r="H61" s="3">
        <v>726.98</v>
      </c>
      <c r="I61" s="3">
        <v>1746.76</v>
      </c>
      <c r="J61" s="3">
        <v>958.04</v>
      </c>
      <c r="K61" s="3">
        <v>1064.47</v>
      </c>
      <c r="L61" s="3">
        <v>632.67999999999995</v>
      </c>
      <c r="M61" s="3">
        <v>1997.37</v>
      </c>
      <c r="N61" s="3">
        <v>951</v>
      </c>
      <c r="O61" s="3">
        <v>951</v>
      </c>
      <c r="P61" s="10"/>
      <c r="Q61" s="3">
        <f>SUM(OSRRefD21_7_0x)+IFERROR(SUM(OSRRefE21_7_0x),0)</f>
        <v>11952.71</v>
      </c>
    </row>
    <row r="62" spans="1:17" s="42" customFormat="1" ht="15" customHeight="1" collapsed="1" x14ac:dyDescent="0.3">
      <c r="A62" s="34"/>
      <c r="B62" s="15" t="str">
        <f>CONCATENATE("     ","General                                           ")</f>
        <v xml:space="preserve">     General                                           </v>
      </c>
      <c r="C62" s="15"/>
      <c r="D62" s="2">
        <f>SUM(OSRRefD21_8x_0)</f>
        <v>165.28</v>
      </c>
      <c r="E62" s="2">
        <f>SUM(OSRRefD21_8x_1)</f>
        <v>13768.93</v>
      </c>
      <c r="F62" s="2">
        <f>SUM(OSRRefD21_8x_2)</f>
        <v>0</v>
      </c>
      <c r="G62" s="2">
        <f>SUM(OSRRefD21_8x_3)</f>
        <v>1768.05</v>
      </c>
      <c r="H62" s="2">
        <f>SUM(OSRRefD21_8x_4)</f>
        <v>547.19000000000005</v>
      </c>
      <c r="I62" s="2">
        <f>SUM(OSRRefD21_8x_5)</f>
        <v>1142.19</v>
      </c>
      <c r="J62" s="2">
        <f>SUM(OSRRefD21_8x_6)</f>
        <v>1985.06</v>
      </c>
      <c r="K62" s="2">
        <f>SUM(OSRRefD21_8x_7)</f>
        <v>2846.65</v>
      </c>
      <c r="L62" s="2">
        <f>SUM(OSRRefD21_8x_8)</f>
        <v>1494.65</v>
      </c>
      <c r="M62" s="2">
        <f>SUM(OSRRefD21_8x_9)</f>
        <v>-316.45</v>
      </c>
      <c r="N62" s="2">
        <f>SUM(OSRRefE21_8x_0)</f>
        <v>0</v>
      </c>
      <c r="O62" s="2">
        <f>SUM(OSRRefE21_8x_1)</f>
        <v>0</v>
      </c>
      <c r="Q62" s="3">
        <f>SUM(OSRRefD20_8x)+IFERROR(SUM(OSRRefE20_8x),0)</f>
        <v>23401.550000000003</v>
      </c>
    </row>
    <row r="63" spans="1:17" s="42" customFormat="1" ht="15" hidden="1" customHeight="1" outlineLevel="1" x14ac:dyDescent="0.3">
      <c r="A63" s="34"/>
      <c r="B63" s="11" t="str">
        <f>CONCATENATE("          ","6279"," - ","GENERAL EXPENSE")</f>
        <v xml:space="preserve">          6279 - GENERAL EXPENSE</v>
      </c>
      <c r="C63" s="15"/>
      <c r="D63" s="3">
        <v>165.28</v>
      </c>
      <c r="E63" s="3">
        <v>13768.93</v>
      </c>
      <c r="F63" s="3"/>
      <c r="G63" s="3">
        <v>1768.05</v>
      </c>
      <c r="H63" s="3">
        <v>547.19000000000005</v>
      </c>
      <c r="I63" s="3">
        <v>1142.19</v>
      </c>
      <c r="J63" s="3">
        <v>1985.06</v>
      </c>
      <c r="K63" s="3">
        <v>2846.65</v>
      </c>
      <c r="L63" s="3">
        <v>1494.65</v>
      </c>
      <c r="M63" s="3">
        <v>-316.45</v>
      </c>
      <c r="N63" s="3"/>
      <c r="O63" s="3"/>
      <c r="P63" s="10"/>
      <c r="Q63" s="3">
        <f>SUM(OSRRefD21_8_0x)+IFERROR(SUM(OSRRefE21_8_0x),0)</f>
        <v>23401.550000000003</v>
      </c>
    </row>
    <row r="64" spans="1:17" s="42" customFormat="1" ht="15" customHeight="1" collapsed="1" x14ac:dyDescent="0.3">
      <c r="A64" s="34"/>
      <c r="B64" s="15" t="str">
        <f>CONCATENATE("     ","Insurance                                         ")</f>
        <v xml:space="preserve">     Insurance                                         </v>
      </c>
      <c r="C64" s="15"/>
      <c r="D64" s="2">
        <f>SUM(OSRRefD21_9x_0)</f>
        <v>6087.22</v>
      </c>
      <c r="E64" s="2">
        <f>SUM(OSRRefD21_9x_1)</f>
        <v>6087.22</v>
      </c>
      <c r="F64" s="2">
        <f>SUM(OSRRefD21_9x_2)</f>
        <v>6087.22</v>
      </c>
      <c r="G64" s="2">
        <f>SUM(OSRRefD21_9x_3)</f>
        <v>12970.22</v>
      </c>
      <c r="H64" s="2">
        <f>SUM(OSRRefD21_9x_4)</f>
        <v>6087.22</v>
      </c>
      <c r="I64" s="2">
        <f>SUM(OSRRefD21_9x_5)</f>
        <v>6087.22</v>
      </c>
      <c r="J64" s="2">
        <f>SUM(OSRRefD21_9x_6)</f>
        <v>6087.22</v>
      </c>
      <c r="K64" s="2">
        <f>SUM(OSRRefD21_9x_7)</f>
        <v>6087.22</v>
      </c>
      <c r="L64" s="2">
        <f>SUM(OSRRefD21_9x_8)</f>
        <v>6087.22</v>
      </c>
      <c r="M64" s="2">
        <f>SUM(OSRRefD21_9x_9)</f>
        <v>6087.22</v>
      </c>
      <c r="N64" s="2">
        <f>SUM(OSRRefE21_9x_0)</f>
        <v>6000</v>
      </c>
      <c r="O64" s="2">
        <f>SUM(OSRRefE21_9x_1)</f>
        <v>6000</v>
      </c>
      <c r="Q64" s="3">
        <f>SUM(OSRRefD20_9x)+IFERROR(SUM(OSRRefE20_9x),0)</f>
        <v>79755.199999999997</v>
      </c>
    </row>
    <row r="65" spans="1:17" s="42" customFormat="1" ht="15" hidden="1" customHeight="1" outlineLevel="1" x14ac:dyDescent="0.3">
      <c r="A65" s="34"/>
      <c r="B65" s="11" t="str">
        <f>CONCATENATE("          ","6314"," - ","LIABILITY INSURANCE")</f>
        <v xml:space="preserve">          6314 - LIABILITY INSURANCE</v>
      </c>
      <c r="C65" s="15"/>
      <c r="D65" s="3">
        <v>6087.22</v>
      </c>
      <c r="E65" s="3">
        <v>6087.22</v>
      </c>
      <c r="F65" s="3">
        <v>6087.22</v>
      </c>
      <c r="G65" s="3">
        <v>12970.22</v>
      </c>
      <c r="H65" s="3">
        <v>6087.22</v>
      </c>
      <c r="I65" s="3">
        <v>6087.22</v>
      </c>
      <c r="J65" s="3">
        <v>6087.22</v>
      </c>
      <c r="K65" s="3">
        <v>6087.22</v>
      </c>
      <c r="L65" s="3">
        <v>6087.22</v>
      </c>
      <c r="M65" s="3">
        <v>6087.22</v>
      </c>
      <c r="N65" s="3">
        <v>6000</v>
      </c>
      <c r="O65" s="3">
        <v>6000</v>
      </c>
      <c r="P65" s="10"/>
      <c r="Q65" s="3">
        <f>SUM(OSRRefD21_9_0x)+IFERROR(SUM(OSRRefE21_9_0x),0)</f>
        <v>79755.199999999997</v>
      </c>
    </row>
    <row r="66" spans="1:17" s="42" customFormat="1" ht="15" customHeight="1" collapsed="1" x14ac:dyDescent="0.3">
      <c r="A66" s="34"/>
      <c r="B66" s="15" t="str">
        <f>CONCATENATE("     ","Interest                                          ")</f>
        <v xml:space="preserve">     Interest                                          </v>
      </c>
      <c r="C66" s="15"/>
      <c r="D66" s="2">
        <f>SUM(OSRRefD21_10x_0)</f>
        <v>11158</v>
      </c>
      <c r="E66" s="2">
        <f>SUM(OSRRefD21_10x_1)</f>
        <v>11158</v>
      </c>
      <c r="F66" s="2">
        <f>SUM(OSRRefD21_10x_2)</f>
        <v>11158</v>
      </c>
      <c r="G66" s="2">
        <f>SUM(OSRRefD21_10x_3)</f>
        <v>10368</v>
      </c>
      <c r="H66" s="2">
        <f>SUM(OSRRefD21_10x_4)</f>
        <v>11158</v>
      </c>
      <c r="I66" s="2">
        <f>SUM(OSRRefD21_10x_5)</f>
        <v>11158</v>
      </c>
      <c r="J66" s="2">
        <f>SUM(OSRRefD21_10x_6)</f>
        <v>11158</v>
      </c>
      <c r="K66" s="2">
        <f>SUM(OSRRefD21_10x_7)</f>
        <v>11158</v>
      </c>
      <c r="L66" s="2">
        <f>SUM(OSRRefD21_10x_8)</f>
        <v>11158</v>
      </c>
      <c r="M66" s="2">
        <f>SUM(OSRRefD21_10x_9)</f>
        <v>8660</v>
      </c>
      <c r="N66" s="2">
        <f>SUM(OSRRefE21_10x_0)</f>
        <v>10742</v>
      </c>
      <c r="O66" s="2">
        <f>SUM(OSRRefE21_10x_1)</f>
        <v>10742</v>
      </c>
      <c r="Q66" s="3">
        <f>SUM(OSRRefD20_10x)+IFERROR(SUM(OSRRefE20_10x),0)</f>
        <v>129776</v>
      </c>
    </row>
    <row r="67" spans="1:17" s="42" customFormat="1" ht="15" hidden="1" customHeight="1" outlineLevel="1" x14ac:dyDescent="0.3">
      <c r="A67" s="34"/>
      <c r="B67" s="11" t="str">
        <f>CONCATENATE("          ","6401"," - ","INTEREST EXPENSE")</f>
        <v xml:space="preserve">          6401 - INTEREST EXPENSE</v>
      </c>
      <c r="C67" s="15"/>
      <c r="D67" s="3">
        <v>11158</v>
      </c>
      <c r="E67" s="3">
        <v>11158</v>
      </c>
      <c r="F67" s="3">
        <v>11158</v>
      </c>
      <c r="G67" s="3">
        <v>10368</v>
      </c>
      <c r="H67" s="3">
        <v>11158</v>
      </c>
      <c r="I67" s="3">
        <v>11158</v>
      </c>
      <c r="J67" s="3">
        <v>11158</v>
      </c>
      <c r="K67" s="3">
        <v>11158</v>
      </c>
      <c r="L67" s="3">
        <v>11158</v>
      </c>
      <c r="M67" s="3">
        <v>8660</v>
      </c>
      <c r="N67" s="3">
        <v>10742</v>
      </c>
      <c r="O67" s="3">
        <v>10742</v>
      </c>
      <c r="P67" s="10"/>
      <c r="Q67" s="3">
        <f>SUM(OSRRefD21_10_0x)+IFERROR(SUM(OSRRefE21_10_0x),0)</f>
        <v>129776</v>
      </c>
    </row>
    <row r="68" spans="1:17" s="42" customFormat="1" ht="15" customHeight="1" collapsed="1" x14ac:dyDescent="0.3">
      <c r="A68" s="34"/>
      <c r="B68" s="15" t="str">
        <f>CONCATENATE("     ","Rent                                              ")</f>
        <v xml:space="preserve">     Rent                                              </v>
      </c>
      <c r="C68" s="15"/>
      <c r="D68" s="2">
        <f>SUM(OSRRefD21_11x_0)</f>
        <v>1850</v>
      </c>
      <c r="E68" s="2">
        <f>SUM(OSRRefD21_11x_1)</f>
        <v>1850</v>
      </c>
      <c r="F68" s="2">
        <f>SUM(OSRRefD21_11x_2)</f>
        <v>1850</v>
      </c>
      <c r="G68" s="2">
        <f>SUM(OSRRefD21_11x_3)</f>
        <v>1850</v>
      </c>
      <c r="H68" s="2">
        <f>SUM(OSRRefD21_11x_4)</f>
        <v>1850</v>
      </c>
      <c r="I68" s="2">
        <f>SUM(OSRRefD21_11x_5)</f>
        <v>1850</v>
      </c>
      <c r="J68" s="2">
        <f>SUM(OSRRefD21_11x_6)</f>
        <v>1850</v>
      </c>
      <c r="K68" s="2">
        <f>SUM(OSRRefD21_11x_7)</f>
        <v>1850</v>
      </c>
      <c r="L68" s="2">
        <f>SUM(OSRRefD21_11x_8)</f>
        <v>1850</v>
      </c>
      <c r="M68" s="2">
        <f>SUM(OSRRefD21_11x_9)</f>
        <v>1850</v>
      </c>
      <c r="N68" s="2">
        <f>SUM(OSRRefE21_11x_0)</f>
        <v>1850</v>
      </c>
      <c r="O68" s="2">
        <f>SUM(OSRRefE21_11x_1)</f>
        <v>1850</v>
      </c>
      <c r="Q68" s="3">
        <f>SUM(OSRRefD20_11x)+IFERROR(SUM(OSRRefE20_11x),0)</f>
        <v>22200</v>
      </c>
    </row>
    <row r="69" spans="1:17" s="42" customFormat="1" ht="15" hidden="1" customHeight="1" outlineLevel="1" x14ac:dyDescent="0.3">
      <c r="A69" s="34"/>
      <c r="B69" s="11" t="str">
        <f>CONCATENATE("          ","6273"," - ","RENT")</f>
        <v xml:space="preserve">          6273 - RENT</v>
      </c>
      <c r="C69" s="15"/>
      <c r="D69" s="3">
        <v>1850</v>
      </c>
      <c r="E69" s="3">
        <v>1850</v>
      </c>
      <c r="F69" s="3">
        <v>1850</v>
      </c>
      <c r="G69" s="3">
        <v>1850</v>
      </c>
      <c r="H69" s="3">
        <v>1850</v>
      </c>
      <c r="I69" s="3">
        <v>1850</v>
      </c>
      <c r="J69" s="3">
        <v>1850</v>
      </c>
      <c r="K69" s="3">
        <v>1850</v>
      </c>
      <c r="L69" s="3">
        <v>1850</v>
      </c>
      <c r="M69" s="3">
        <v>1850</v>
      </c>
      <c r="N69" s="3">
        <v>1850</v>
      </c>
      <c r="O69" s="3">
        <v>1850</v>
      </c>
      <c r="P69" s="10"/>
      <c r="Q69" s="3">
        <f>SUM(OSRRefD21_11_0x)+IFERROR(SUM(OSRRefE21_11_0x),0)</f>
        <v>22200</v>
      </c>
    </row>
    <row r="70" spans="1:17" s="42" customFormat="1" ht="15" customHeight="1" collapsed="1" x14ac:dyDescent="0.3">
      <c r="A70" s="34"/>
      <c r="B70" s="15" t="str">
        <f>CONCATENATE("     ","Repair and Maintenance                            ")</f>
        <v xml:space="preserve">     Repair and Maintenance                            </v>
      </c>
      <c r="C70" s="15"/>
      <c r="D70" s="2">
        <f>SUM(OSRRefD21_12x_0)</f>
        <v>3131.71</v>
      </c>
      <c r="E70" s="2">
        <f>SUM(OSRRefD21_12x_1)</f>
        <v>24416.530000000002</v>
      </c>
      <c r="F70" s="2">
        <f>SUM(OSRRefD21_12x_2)</f>
        <v>3481.81</v>
      </c>
      <c r="G70" s="2">
        <f>SUM(OSRRefD21_12x_3)</f>
        <v>7846.24</v>
      </c>
      <c r="H70" s="2">
        <f>SUM(OSRRefD21_12x_4)</f>
        <v>5673.9500000000007</v>
      </c>
      <c r="I70" s="2">
        <f>SUM(OSRRefD21_12x_5)</f>
        <v>11316.02</v>
      </c>
      <c r="J70" s="2">
        <f>SUM(OSRRefD21_12x_6)</f>
        <v>4635.3</v>
      </c>
      <c r="K70" s="2">
        <f>SUM(OSRRefD21_12x_7)</f>
        <v>7395.51</v>
      </c>
      <c r="L70" s="2">
        <f>SUM(OSRRefD21_12x_8)</f>
        <v>4629.09</v>
      </c>
      <c r="M70" s="2">
        <f>SUM(OSRRefD21_12x_9)</f>
        <v>17886.07</v>
      </c>
      <c r="N70" s="2">
        <f>SUM(OSRRefE21_12x_0)</f>
        <v>2894</v>
      </c>
      <c r="O70" s="2">
        <f>SUM(OSRRefE21_12x_1)</f>
        <v>1870</v>
      </c>
      <c r="Q70" s="3">
        <f>SUM(OSRRefD20_12x)+IFERROR(SUM(OSRRefE20_12x),0)</f>
        <v>95176.23000000001</v>
      </c>
    </row>
    <row r="71" spans="1:17" s="42" customFormat="1" ht="15" hidden="1" customHeight="1" outlineLevel="1" x14ac:dyDescent="0.3">
      <c r="A71" s="34"/>
      <c r="B71" s="11" t="str">
        <f>CONCATENATE("          ","6371"," - ","COMPUTER SOFTWARE MAINTENANCE")</f>
        <v xml:space="preserve">          6371 - COMPUTER SOFTWARE MAINTENANCE</v>
      </c>
      <c r="C71" s="15"/>
      <c r="D71" s="3"/>
      <c r="E71" s="3">
        <v>5177.72</v>
      </c>
      <c r="F71" s="3"/>
      <c r="G71" s="3">
        <v>159.68</v>
      </c>
      <c r="H71" s="3">
        <v>380.32</v>
      </c>
      <c r="I71" s="3">
        <v>618.36</v>
      </c>
      <c r="J71" s="3">
        <v>481.09</v>
      </c>
      <c r="K71" s="3"/>
      <c r="L71" s="3">
        <v>783.7</v>
      </c>
      <c r="M71" s="3">
        <v>8966.19</v>
      </c>
      <c r="N71" s="3"/>
      <c r="O71" s="3"/>
      <c r="P71" s="10"/>
      <c r="Q71" s="3">
        <f>SUM(OSRRefD21_12_0x)+IFERROR(SUM(OSRRefE21_12_0x),0)</f>
        <v>16567.060000000001</v>
      </c>
    </row>
    <row r="72" spans="1:17" s="42" customFormat="1" ht="15" hidden="1" customHeight="1" outlineLevel="1" x14ac:dyDescent="0.3">
      <c r="A72" s="34"/>
      <c r="B72" s="11" t="str">
        <f>CONCATENATE("          ","6373"," - ","MAINTENANCE CONTRACTS")</f>
        <v xml:space="preserve">          6373 - MAINTENANCE CONTRACTS</v>
      </c>
      <c r="C72" s="15"/>
      <c r="D72" s="3">
        <v>0.87</v>
      </c>
      <c r="E72" s="3"/>
      <c r="F72" s="3">
        <v>1161.3499999999999</v>
      </c>
      <c r="G72" s="3">
        <v>2854.56</v>
      </c>
      <c r="H72" s="3">
        <v>2846.3</v>
      </c>
      <c r="I72" s="3">
        <v>5060.55</v>
      </c>
      <c r="J72" s="3">
        <v>2634.51</v>
      </c>
      <c r="K72" s="3">
        <v>902.75</v>
      </c>
      <c r="L72" s="3">
        <v>2102.46</v>
      </c>
      <c r="M72" s="3">
        <v>-4.3499999999999996</v>
      </c>
      <c r="N72" s="3"/>
      <c r="O72" s="3"/>
      <c r="P72" s="10"/>
      <c r="Q72" s="3">
        <f>SUM(OSRRefD21_12_1x)+IFERROR(SUM(OSRRefE21_12_1x),0)</f>
        <v>17559.000000000004</v>
      </c>
    </row>
    <row r="73" spans="1:17" s="42" customFormat="1" ht="15" hidden="1" customHeight="1" outlineLevel="1" x14ac:dyDescent="0.3">
      <c r="A73" s="34"/>
      <c r="B73" s="11" t="str">
        <f>CONCATENATE("          ","6375"," - ","OUTSIDE REPAIRS &amp; MAINTENANCE")</f>
        <v xml:space="preserve">          6375 - OUTSIDE REPAIRS &amp; MAINTENANCE</v>
      </c>
      <c r="C73" s="15"/>
      <c r="D73" s="3">
        <v>3130.84</v>
      </c>
      <c r="E73" s="3">
        <v>19238.810000000001</v>
      </c>
      <c r="F73" s="3">
        <v>2320.46</v>
      </c>
      <c r="G73" s="3">
        <v>4832</v>
      </c>
      <c r="H73" s="3">
        <v>2447.33</v>
      </c>
      <c r="I73" s="3">
        <v>5637.11</v>
      </c>
      <c r="J73" s="3">
        <v>1519.7</v>
      </c>
      <c r="K73" s="3">
        <v>6492.76</v>
      </c>
      <c r="L73" s="3">
        <v>1742.93</v>
      </c>
      <c r="M73" s="3">
        <v>8924.23</v>
      </c>
      <c r="N73" s="3">
        <v>2894</v>
      </c>
      <c r="O73" s="3">
        <v>1870</v>
      </c>
      <c r="P73" s="10"/>
      <c r="Q73" s="3">
        <f>SUM(OSRRefD21_12_2x)+IFERROR(SUM(OSRRefE21_12_2x),0)</f>
        <v>61050.17</v>
      </c>
    </row>
    <row r="74" spans="1:17" s="42" customFormat="1" ht="15" customHeight="1" collapsed="1" x14ac:dyDescent="0.3">
      <c r="A74" s="34"/>
      <c r="B74" s="15" t="str">
        <f>CONCATENATE("     ","Royalty &amp; Commissions                             ")</f>
        <v xml:space="preserve">     Royalty &amp; Commissions                             </v>
      </c>
      <c r="C74" s="15"/>
      <c r="D74" s="2">
        <f>SUM(OSRRefD21_13x_0)</f>
        <v>0</v>
      </c>
      <c r="E74" s="2">
        <f>SUM(OSRRefD21_13x_1)</f>
        <v>0</v>
      </c>
      <c r="F74" s="2">
        <f>SUM(OSRRefD21_13x_2)</f>
        <v>0</v>
      </c>
      <c r="G74" s="2">
        <f>SUM(OSRRefD21_13x_3)</f>
        <v>1066.22</v>
      </c>
      <c r="H74" s="2">
        <f>SUM(OSRRefD21_13x_4)</f>
        <v>366.22</v>
      </c>
      <c r="I74" s="2">
        <f>SUM(OSRRefD21_13x_5)</f>
        <v>412.47</v>
      </c>
      <c r="J74" s="2">
        <f>SUM(OSRRefD21_13x_6)</f>
        <v>0</v>
      </c>
      <c r="K74" s="2">
        <f>SUM(OSRRefD21_13x_7)</f>
        <v>1789.12</v>
      </c>
      <c r="L74" s="2">
        <f>SUM(OSRRefD21_13x_8)</f>
        <v>583.67999999999995</v>
      </c>
      <c r="M74" s="2">
        <f>SUM(OSRRefD21_13x_9)</f>
        <v>6212.86</v>
      </c>
      <c r="N74" s="2">
        <f>SUM(OSRRefE21_13x_0)</f>
        <v>1239</v>
      </c>
      <c r="O74" s="2">
        <f>SUM(OSRRefE21_13x_1)</f>
        <v>336</v>
      </c>
      <c r="Q74" s="3">
        <f>SUM(OSRRefD20_13x)+IFERROR(SUM(OSRRefE20_13x),0)</f>
        <v>12005.57</v>
      </c>
    </row>
    <row r="75" spans="1:17" s="42" customFormat="1" ht="15" hidden="1" customHeight="1" outlineLevel="1" x14ac:dyDescent="0.3">
      <c r="A75" s="34"/>
      <c r="B75" s="11" t="str">
        <f>CONCATENATE("          ","6254"," - ","ROYALTY &amp; COMMISSIONS")</f>
        <v xml:space="preserve">          6254 - ROYALTY &amp; COMMISSIONS</v>
      </c>
      <c r="C75" s="15"/>
      <c r="D75" s="3"/>
      <c r="E75" s="3"/>
      <c r="F75" s="3"/>
      <c r="G75" s="3">
        <v>1066.22</v>
      </c>
      <c r="H75" s="3">
        <v>366.22</v>
      </c>
      <c r="I75" s="3">
        <v>412.47</v>
      </c>
      <c r="J75" s="3"/>
      <c r="K75" s="3">
        <v>1789.12</v>
      </c>
      <c r="L75" s="3">
        <v>583.67999999999995</v>
      </c>
      <c r="M75" s="3">
        <v>6212.86</v>
      </c>
      <c r="N75" s="3"/>
      <c r="O75" s="3"/>
      <c r="P75" s="10"/>
      <c r="Q75" s="3">
        <f>SUM(OSRRefD21_13_0x)+IFERROR(SUM(OSRRefE21_13_0x),0)</f>
        <v>10430.57</v>
      </c>
    </row>
    <row r="76" spans="1:17" s="42" customFormat="1" ht="15" hidden="1" customHeight="1" outlineLevel="1" x14ac:dyDescent="0.3">
      <c r="A76" s="34"/>
      <c r="B76" s="11" t="str">
        <f>CONCATENATE("          ","6259"," - ","ROYALTY &amp; COMMISSIONS")</f>
        <v xml:space="preserve">          6259 - ROYALTY &amp; COMMISSIONS</v>
      </c>
      <c r="C76" s="15"/>
      <c r="D76" s="3"/>
      <c r="E76" s="3"/>
      <c r="F76" s="3"/>
      <c r="G76" s="3"/>
      <c r="H76" s="3"/>
      <c r="I76" s="3"/>
      <c r="J76" s="3"/>
      <c r="K76" s="3"/>
      <c r="L76" s="3"/>
      <c r="M76" s="3"/>
      <c r="N76" s="3">
        <v>1239</v>
      </c>
      <c r="O76" s="3">
        <v>336</v>
      </c>
      <c r="P76" s="10"/>
      <c r="Q76" s="3">
        <f>SUM(OSRRefD21_13_1x)+IFERROR(SUM(OSRRefE21_13_1x),0)</f>
        <v>1575</v>
      </c>
    </row>
    <row r="77" spans="1:17" s="42" customFormat="1" ht="15" customHeight="1" collapsed="1" x14ac:dyDescent="0.3">
      <c r="A77" s="34"/>
      <c r="B77" s="15" t="str">
        <f>CONCATENATE("     ","Services                                          ")</f>
        <v xml:space="preserve">     Services                                          </v>
      </c>
      <c r="C77" s="15"/>
      <c r="D77" s="2">
        <f>SUM(OSRRefD21_14x_0)</f>
        <v>4741.08</v>
      </c>
      <c r="E77" s="2">
        <f>SUM(OSRRefD21_14x_1)</f>
        <v>23789.660000000003</v>
      </c>
      <c r="F77" s="2">
        <f>SUM(OSRRefD21_14x_2)</f>
        <v>8819.6799999999985</v>
      </c>
      <c r="G77" s="2">
        <f>SUM(OSRRefD21_14x_3)</f>
        <v>6609.9</v>
      </c>
      <c r="H77" s="2">
        <f>SUM(OSRRefD21_14x_4)</f>
        <v>5133.12</v>
      </c>
      <c r="I77" s="2">
        <f>SUM(OSRRefD21_14x_5)</f>
        <v>2626.56</v>
      </c>
      <c r="J77" s="2">
        <f>SUM(OSRRefD21_14x_6)</f>
        <v>4481.2300000000005</v>
      </c>
      <c r="K77" s="2">
        <f>SUM(OSRRefD21_14x_7)</f>
        <v>9605.49</v>
      </c>
      <c r="L77" s="2">
        <f>SUM(OSRRefD21_14x_8)</f>
        <v>6501.8499999999995</v>
      </c>
      <c r="M77" s="2">
        <f>SUM(OSRRefD21_14x_9)</f>
        <v>8252.16</v>
      </c>
      <c r="N77" s="2">
        <f>SUM(OSRRefE21_14x_0)</f>
        <v>11297</v>
      </c>
      <c r="O77" s="2">
        <f>SUM(OSRRefE21_14x_1)</f>
        <v>11384</v>
      </c>
      <c r="Q77" s="3">
        <f>SUM(OSRRefD20_14x)+IFERROR(SUM(OSRRefE20_14x),0)</f>
        <v>103241.73000000003</v>
      </c>
    </row>
    <row r="78" spans="1:17" s="42" customFormat="1" ht="15" hidden="1" customHeight="1" outlineLevel="1" x14ac:dyDescent="0.3">
      <c r="A78" s="34"/>
      <c r="B78" s="11" t="str">
        <f>CONCATENATE("          ","6282"," - ","JANITORIAL/EXTERMINATOR EXPENS")</f>
        <v xml:space="preserve">          6282 - JANITORIAL/EXTERMINATOR EXPENS</v>
      </c>
      <c r="C78" s="15"/>
      <c r="D78" s="3">
        <v>821.95</v>
      </c>
      <c r="E78" s="3">
        <v>1341.9</v>
      </c>
      <c r="F78" s="3">
        <v>1341.9</v>
      </c>
      <c r="G78" s="3">
        <v>1925.71</v>
      </c>
      <c r="H78" s="3">
        <v>1341.9</v>
      </c>
      <c r="I78" s="3">
        <v>1729.9</v>
      </c>
      <c r="J78" s="3">
        <v>821.95</v>
      </c>
      <c r="K78" s="3">
        <v>1531.9</v>
      </c>
      <c r="L78" s="3">
        <v>1694.9</v>
      </c>
      <c r="M78" s="3">
        <v>2189.9499999999998</v>
      </c>
      <c r="N78" s="3">
        <v>1386</v>
      </c>
      <c r="O78" s="3">
        <v>1386</v>
      </c>
      <c r="P78" s="10"/>
      <c r="Q78" s="3">
        <f>SUM(OSRRefD21_14_0x)+IFERROR(SUM(OSRRefE21_14_0x),0)</f>
        <v>17513.96</v>
      </c>
    </row>
    <row r="79" spans="1:17" s="42" customFormat="1" ht="15" hidden="1" customHeight="1" outlineLevel="1" x14ac:dyDescent="0.3">
      <c r="A79" s="34"/>
      <c r="B79" s="11" t="str">
        <f>CONCATENATE("          ","6283"," - ","PLANT SERVICE")</f>
        <v xml:space="preserve">          6283 - PLANT SERVICE</v>
      </c>
      <c r="C79" s="15"/>
      <c r="D79" s="3"/>
      <c r="E79" s="3"/>
      <c r="F79" s="3"/>
      <c r="G79" s="3"/>
      <c r="H79" s="3"/>
      <c r="I79" s="3"/>
      <c r="J79" s="3"/>
      <c r="K79" s="3"/>
      <c r="L79" s="3"/>
      <c r="M79" s="3"/>
      <c r="N79" s="3">
        <v>100</v>
      </c>
      <c r="O79" s="3">
        <v>100</v>
      </c>
      <c r="P79" s="10"/>
      <c r="Q79" s="3">
        <f>SUM(OSRRefD21_14_1x)+IFERROR(SUM(OSRRefE21_14_1x),0)</f>
        <v>200</v>
      </c>
    </row>
    <row r="80" spans="1:17" s="42" customFormat="1" ht="15" hidden="1" customHeight="1" outlineLevel="1" x14ac:dyDescent="0.3">
      <c r="A80" s="34"/>
      <c r="B80" s="11" t="str">
        <f>CONCATENATE("          ","6284"," - ","TRASH REMOVAL EXPENSE")</f>
        <v xml:space="preserve">          6284 - TRASH REMOVAL EXPENSE</v>
      </c>
      <c r="C80" s="15"/>
      <c r="D80" s="3"/>
      <c r="E80" s="3"/>
      <c r="F80" s="3"/>
      <c r="G80" s="3"/>
      <c r="H80" s="3"/>
      <c r="I80" s="3"/>
      <c r="J80" s="3"/>
      <c r="K80" s="3"/>
      <c r="L80" s="3"/>
      <c r="M80" s="3"/>
      <c r="N80" s="3">
        <v>1000</v>
      </c>
      <c r="O80" s="3">
        <v>1000</v>
      </c>
      <c r="P80" s="10"/>
      <c r="Q80" s="3">
        <f>SUM(OSRRefD21_14_2x)+IFERROR(SUM(OSRRefE21_14_2x),0)</f>
        <v>2000</v>
      </c>
    </row>
    <row r="81" spans="1:17" s="42" customFormat="1" ht="15" hidden="1" customHeight="1" outlineLevel="1" x14ac:dyDescent="0.3">
      <c r="A81" s="34"/>
      <c r="B81" s="11" t="str">
        <f>CONCATENATE("          ","6285"," - ","JANITORIAL SERVICES")</f>
        <v xml:space="preserve">          6285 - JANITORIAL SERVICES</v>
      </c>
      <c r="C81" s="15"/>
      <c r="D81" s="3">
        <v>3759.39</v>
      </c>
      <c r="E81" s="3">
        <v>22236.080000000002</v>
      </c>
      <c r="F81" s="3">
        <v>7218.07</v>
      </c>
      <c r="G81" s="3">
        <v>3804.38</v>
      </c>
      <c r="H81" s="3">
        <v>3385.52</v>
      </c>
      <c r="I81" s="3"/>
      <c r="J81" s="3">
        <v>3385.52</v>
      </c>
      <c r="K81" s="3">
        <v>7640.91</v>
      </c>
      <c r="L81" s="3">
        <v>4117.1499999999996</v>
      </c>
      <c r="M81" s="3">
        <v>4101.2</v>
      </c>
      <c r="N81" s="3">
        <v>8224</v>
      </c>
      <c r="O81" s="3">
        <v>8224</v>
      </c>
      <c r="P81" s="10"/>
      <c r="Q81" s="3">
        <f>SUM(OSRRefD21_14_3x)+IFERROR(SUM(OSRRefE21_14_3x),0)</f>
        <v>76096.22</v>
      </c>
    </row>
    <row r="82" spans="1:17" s="42" customFormat="1" ht="15" hidden="1" customHeight="1" outlineLevel="1" x14ac:dyDescent="0.3">
      <c r="A82" s="34"/>
      <c r="B82" s="11" t="str">
        <f>CONCATENATE("          ","6286"," - ","LAUNDRY EXPENSE")</f>
        <v xml:space="preserve">          6286 - LAUNDRY EXPENSE</v>
      </c>
      <c r="C82" s="15"/>
      <c r="D82" s="3">
        <v>159.74</v>
      </c>
      <c r="E82" s="3">
        <v>211.68</v>
      </c>
      <c r="F82" s="3">
        <v>259.70999999999998</v>
      </c>
      <c r="G82" s="3">
        <v>879.81</v>
      </c>
      <c r="H82" s="3">
        <v>405.7</v>
      </c>
      <c r="I82" s="3">
        <v>896.66</v>
      </c>
      <c r="J82" s="3">
        <v>273.76</v>
      </c>
      <c r="K82" s="3">
        <v>432.68</v>
      </c>
      <c r="L82" s="3">
        <v>689.8</v>
      </c>
      <c r="M82" s="3">
        <v>1961.01</v>
      </c>
      <c r="N82" s="3">
        <v>587</v>
      </c>
      <c r="O82" s="3">
        <v>674</v>
      </c>
      <c r="P82" s="10"/>
      <c r="Q82" s="3">
        <f>SUM(OSRRefD21_14_4x)+IFERROR(SUM(OSRRefE21_14_4x),0)</f>
        <v>7431.55</v>
      </c>
    </row>
    <row r="83" spans="1:17" s="42" customFormat="1" ht="15" customHeight="1" collapsed="1" x14ac:dyDescent="0.3">
      <c r="A83" s="34"/>
      <c r="B83" s="15" t="str">
        <f>CONCATENATE("     ","Subscriptions &amp; Dues                              ")</f>
        <v xml:space="preserve">     Subscriptions &amp; Dues                              </v>
      </c>
      <c r="C83" s="15"/>
      <c r="D83" s="2">
        <f>SUM(OSRRefD21_15x_0)</f>
        <v>130.66999999999999</v>
      </c>
      <c r="E83" s="2">
        <f>SUM(OSRRefD21_15x_1)</f>
        <v>593.59</v>
      </c>
      <c r="F83" s="2">
        <f>SUM(OSRRefD21_15x_2)</f>
        <v>408.93</v>
      </c>
      <c r="G83" s="2">
        <f>SUM(OSRRefD21_15x_3)</f>
        <v>813.81</v>
      </c>
      <c r="H83" s="2">
        <f>SUM(OSRRefD21_15x_4)</f>
        <v>569.5</v>
      </c>
      <c r="I83" s="2">
        <f>SUM(OSRRefD21_15x_5)</f>
        <v>1456.11</v>
      </c>
      <c r="J83" s="2">
        <f>SUM(OSRRefD21_15x_6)</f>
        <v>560.5</v>
      </c>
      <c r="K83" s="2">
        <f>SUM(OSRRefD21_15x_7)</f>
        <v>622.25</v>
      </c>
      <c r="L83" s="2">
        <f>SUM(OSRRefD21_15x_8)</f>
        <v>691.54</v>
      </c>
      <c r="M83" s="2">
        <f>SUM(OSRRefD21_15x_9)</f>
        <v>560.5</v>
      </c>
      <c r="N83" s="2">
        <f>SUM(OSRRefE21_15x_0)</f>
        <v>610</v>
      </c>
      <c r="O83" s="2">
        <f>SUM(OSRRefE21_15x_1)</f>
        <v>610</v>
      </c>
      <c r="Q83" s="3">
        <f>SUM(OSRRefD20_15x)+IFERROR(SUM(OSRRefE20_15x),0)</f>
        <v>7627.4</v>
      </c>
    </row>
    <row r="84" spans="1:17" s="42" customFormat="1" ht="15" hidden="1" customHeight="1" outlineLevel="1" x14ac:dyDescent="0.3">
      <c r="A84" s="34"/>
      <c r="B84" s="11" t="str">
        <f>CONCATENATE("          ","6275"," - ","SUBSCRIPTIONS")</f>
        <v xml:space="preserve">          6275 - SUBSCRIPTIONS</v>
      </c>
      <c r="C84" s="15"/>
      <c r="D84" s="3">
        <v>130.66999999999999</v>
      </c>
      <c r="E84" s="3">
        <v>593.59</v>
      </c>
      <c r="F84" s="3">
        <v>408.93</v>
      </c>
      <c r="G84" s="3">
        <v>813.81</v>
      </c>
      <c r="H84" s="3">
        <v>569.5</v>
      </c>
      <c r="I84" s="3">
        <v>1456.11</v>
      </c>
      <c r="J84" s="3">
        <v>560.5</v>
      </c>
      <c r="K84" s="3">
        <v>622.25</v>
      </c>
      <c r="L84" s="3">
        <v>691.54</v>
      </c>
      <c r="M84" s="3">
        <v>560.5</v>
      </c>
      <c r="N84" s="3">
        <v>610</v>
      </c>
      <c r="O84" s="3">
        <v>610</v>
      </c>
      <c r="P84" s="10"/>
      <c r="Q84" s="3">
        <f>SUM(OSRRefD21_15_0x)+IFERROR(SUM(OSRRefE21_15_0x),0)</f>
        <v>7627.4</v>
      </c>
    </row>
    <row r="85" spans="1:17" s="42" customFormat="1" ht="15" customHeight="1" collapsed="1" x14ac:dyDescent="0.3">
      <c r="A85" s="34"/>
      <c r="B85" s="15" t="str">
        <f>CONCATENATE("     ","Supplies                                          ")</f>
        <v xml:space="preserve">     Supplies                                          </v>
      </c>
      <c r="C85" s="15"/>
      <c r="D85" s="2">
        <f>SUM(OSRRefD21_16x_0)</f>
        <v>1842.65</v>
      </c>
      <c r="E85" s="2">
        <f>SUM(OSRRefD21_16x_1)</f>
        <v>3851.58</v>
      </c>
      <c r="F85" s="2">
        <f>SUM(OSRRefD21_16x_2)</f>
        <v>3247.72</v>
      </c>
      <c r="G85" s="2">
        <f>SUM(OSRRefD21_16x_3)</f>
        <v>9149.19</v>
      </c>
      <c r="H85" s="2">
        <f>SUM(OSRRefD21_16x_4)</f>
        <v>1439.75</v>
      </c>
      <c r="I85" s="2">
        <f>SUM(OSRRefD21_16x_5)</f>
        <v>1819.5099999999998</v>
      </c>
      <c r="J85" s="2">
        <f>SUM(OSRRefD21_16x_6)</f>
        <v>2223.5</v>
      </c>
      <c r="K85" s="2">
        <f>SUM(OSRRefD21_16x_7)</f>
        <v>5543.48</v>
      </c>
      <c r="L85" s="2">
        <f>SUM(OSRRefD21_16x_8)</f>
        <v>6235.9</v>
      </c>
      <c r="M85" s="2">
        <f>SUM(OSRRefD21_16x_9)</f>
        <v>3918.37</v>
      </c>
      <c r="N85" s="2">
        <f>SUM(OSRRefE21_16x_0)</f>
        <v>2925</v>
      </c>
      <c r="O85" s="2">
        <f>SUM(OSRRefE21_16x_1)</f>
        <v>1500</v>
      </c>
      <c r="Q85" s="3">
        <f>SUM(OSRRefD20_16x)+IFERROR(SUM(OSRRefE20_16x),0)</f>
        <v>43696.65</v>
      </c>
    </row>
    <row r="86" spans="1:17" s="42" customFormat="1" ht="15" hidden="1" customHeight="1" outlineLevel="1" x14ac:dyDescent="0.3">
      <c r="A86" s="34"/>
      <c r="B86" s="11" t="str">
        <f>CONCATENATE("          ","6234"," - ","EXPENDABLE SUPPLIES &amp; EQUIPMEN")</f>
        <v xml:space="preserve">          6234 - EXPENDABLE SUPPLIES &amp; EQUIPMEN</v>
      </c>
      <c r="C86" s="15"/>
      <c r="D86" s="3"/>
      <c r="E86" s="3"/>
      <c r="F86" s="3"/>
      <c r="G86" s="3">
        <v>1194.8900000000001</v>
      </c>
      <c r="H86" s="3"/>
      <c r="I86" s="3"/>
      <c r="J86" s="3">
        <v>57.77</v>
      </c>
      <c r="K86" s="3"/>
      <c r="L86" s="3">
        <v>108.73</v>
      </c>
      <c r="M86" s="3">
        <v>175.34</v>
      </c>
      <c r="N86" s="3">
        <v>50</v>
      </c>
      <c r="O86" s="3">
        <v>50</v>
      </c>
      <c r="P86" s="10"/>
      <c r="Q86" s="3">
        <f>SUM(OSRRefD21_16_0x)+IFERROR(SUM(OSRRefE21_16_0x),0)</f>
        <v>1636.73</v>
      </c>
    </row>
    <row r="87" spans="1:17" s="42" customFormat="1" ht="15" hidden="1" customHeight="1" outlineLevel="1" x14ac:dyDescent="0.3">
      <c r="A87" s="34"/>
      <c r="B87" s="11" t="str">
        <f>CONCATENATE("          ","6235"," - ","COVID-19 EXPENSES")</f>
        <v xml:space="preserve">          6235 - COVID-19 EXPENSES</v>
      </c>
      <c r="C87" s="15"/>
      <c r="D87" s="3"/>
      <c r="E87" s="3"/>
      <c r="F87" s="3">
        <v>193.5</v>
      </c>
      <c r="G87" s="3"/>
      <c r="H87" s="3"/>
      <c r="I87" s="3"/>
      <c r="J87" s="3">
        <v>318.42</v>
      </c>
      <c r="K87" s="3"/>
      <c r="L87" s="3">
        <v>178.61</v>
      </c>
      <c r="M87" s="3"/>
      <c r="N87" s="3">
        <v>250</v>
      </c>
      <c r="O87" s="3">
        <v>225</v>
      </c>
      <c r="P87" s="10"/>
      <c r="Q87" s="3">
        <f>SUM(OSRRefD21_16_1x)+IFERROR(SUM(OSRRefE21_16_1x),0)</f>
        <v>1165.53</v>
      </c>
    </row>
    <row r="88" spans="1:17" s="42" customFormat="1" ht="15" hidden="1" customHeight="1" outlineLevel="1" x14ac:dyDescent="0.3">
      <c r="A88" s="34"/>
      <c r="B88" s="11" t="str">
        <f>CONCATENATE("          ","6237"," - ","JANITORIAL SUPPLIES")</f>
        <v xml:space="preserve">          6237 - JANITORIAL SUPPLIES</v>
      </c>
      <c r="C88" s="15"/>
      <c r="D88" s="3">
        <v>1002.17</v>
      </c>
      <c r="E88" s="3">
        <v>1453.2</v>
      </c>
      <c r="F88" s="3">
        <v>1716.54</v>
      </c>
      <c r="G88" s="3">
        <v>804.12</v>
      </c>
      <c r="H88" s="3">
        <v>583.25</v>
      </c>
      <c r="I88" s="3">
        <v>892.05</v>
      </c>
      <c r="J88" s="3">
        <v>51.51</v>
      </c>
      <c r="K88" s="3">
        <v>644.16999999999996</v>
      </c>
      <c r="L88" s="3">
        <v>616.29999999999995</v>
      </c>
      <c r="M88" s="3">
        <v>1003.26</v>
      </c>
      <c r="N88" s="3">
        <v>225</v>
      </c>
      <c r="O88" s="3">
        <v>175</v>
      </c>
      <c r="P88" s="10"/>
      <c r="Q88" s="3">
        <f>SUM(OSRRefD21_16_2x)+IFERROR(SUM(OSRRefE21_16_2x),0)</f>
        <v>9166.57</v>
      </c>
    </row>
    <row r="89" spans="1:17" s="42" customFormat="1" ht="15" hidden="1" customHeight="1" outlineLevel="1" x14ac:dyDescent="0.3">
      <c r="A89" s="34"/>
      <c r="B89" s="11" t="str">
        <f>CONCATENATE("          ","6239"," - ","KITCHEN SUPPLIES")</f>
        <v xml:space="preserve">          6239 - KITCHEN SUPPLIES</v>
      </c>
      <c r="C89" s="15"/>
      <c r="D89" s="3">
        <v>32.03</v>
      </c>
      <c r="E89" s="3">
        <v>218.6</v>
      </c>
      <c r="F89" s="3">
        <v>820.56</v>
      </c>
      <c r="G89" s="3">
        <v>920.86</v>
      </c>
      <c r="H89" s="3">
        <v>291.81</v>
      </c>
      <c r="I89" s="3">
        <v>571.91999999999996</v>
      </c>
      <c r="J89" s="3">
        <v>675.86</v>
      </c>
      <c r="K89" s="3">
        <v>1167.4100000000001</v>
      </c>
      <c r="L89" s="3">
        <v>2501.89</v>
      </c>
      <c r="M89" s="3">
        <v>1727.21</v>
      </c>
      <c r="N89" s="3"/>
      <c r="O89" s="3"/>
      <c r="P89" s="10"/>
      <c r="Q89" s="3">
        <f>SUM(OSRRefD21_16_3x)+IFERROR(SUM(OSRRefE21_16_3x),0)</f>
        <v>8928.1500000000015</v>
      </c>
    </row>
    <row r="90" spans="1:17" s="42" customFormat="1" ht="15" hidden="1" customHeight="1" outlineLevel="1" x14ac:dyDescent="0.3">
      <c r="A90" s="34"/>
      <c r="B90" s="11" t="str">
        <f>CONCATENATE("          ","6241"," - ","OFFICE EXPENSE")</f>
        <v xml:space="preserve">          6241 - OFFICE EXPENSE</v>
      </c>
      <c r="C90" s="15"/>
      <c r="D90" s="3">
        <v>643.07000000000005</v>
      </c>
      <c r="E90" s="3">
        <v>1358.93</v>
      </c>
      <c r="F90" s="3">
        <v>194.6</v>
      </c>
      <c r="G90" s="3">
        <v>4156.76</v>
      </c>
      <c r="H90" s="3">
        <v>250.7</v>
      </c>
      <c r="I90" s="3">
        <v>222.53</v>
      </c>
      <c r="J90" s="3">
        <v>441.26</v>
      </c>
      <c r="K90" s="3">
        <v>540.91</v>
      </c>
      <c r="L90" s="3">
        <v>183.27</v>
      </c>
      <c r="M90" s="3">
        <v>97.93</v>
      </c>
      <c r="N90" s="3">
        <v>50</v>
      </c>
      <c r="O90" s="3"/>
      <c r="P90" s="10"/>
      <c r="Q90" s="3">
        <f>SUM(OSRRefD21_16_4x)+IFERROR(SUM(OSRRefE21_16_4x),0)</f>
        <v>8139.9600000000009</v>
      </c>
    </row>
    <row r="91" spans="1:17" s="42" customFormat="1" ht="15" hidden="1" customHeight="1" outlineLevel="1" x14ac:dyDescent="0.3">
      <c r="A91" s="34"/>
      <c r="B91" s="11" t="str">
        <f>CONCATENATE("          ","6243"," - ","PAPER SUPPLIES")</f>
        <v xml:space="preserve">          6243 - PAPER SUPPLIES</v>
      </c>
      <c r="C91" s="15"/>
      <c r="D91" s="3">
        <v>165.38</v>
      </c>
      <c r="E91" s="3">
        <v>320.85000000000002</v>
      </c>
      <c r="F91" s="3">
        <v>50.56</v>
      </c>
      <c r="G91" s="3">
        <v>648.79999999999995</v>
      </c>
      <c r="H91" s="3"/>
      <c r="I91" s="3">
        <v>66.67</v>
      </c>
      <c r="J91" s="3">
        <v>44.38</v>
      </c>
      <c r="K91" s="3">
        <v>569.65</v>
      </c>
      <c r="L91" s="3"/>
      <c r="M91" s="3">
        <v>1449.52</v>
      </c>
      <c r="N91" s="3">
        <v>800</v>
      </c>
      <c r="O91" s="3">
        <v>700</v>
      </c>
      <c r="P91" s="10"/>
      <c r="Q91" s="3">
        <f>SUM(OSRRefD21_16_5x)+IFERROR(SUM(OSRRefE21_16_5x),0)</f>
        <v>4815.8099999999995</v>
      </c>
    </row>
    <row r="92" spans="1:17" s="42" customFormat="1" ht="15" hidden="1" customHeight="1" outlineLevel="1" x14ac:dyDescent="0.3">
      <c r="A92" s="34"/>
      <c r="B92" s="11" t="str">
        <f>CONCATENATE("          ","6245"," - ","PRINTING")</f>
        <v xml:space="preserve">          6245 - PRINTING</v>
      </c>
      <c r="C92" s="15"/>
      <c r="D92" s="3"/>
      <c r="E92" s="3"/>
      <c r="F92" s="3"/>
      <c r="G92" s="3">
        <v>1071</v>
      </c>
      <c r="H92" s="3"/>
      <c r="I92" s="3"/>
      <c r="J92" s="3"/>
      <c r="K92" s="3"/>
      <c r="L92" s="3"/>
      <c r="M92" s="3"/>
      <c r="N92" s="3">
        <v>100</v>
      </c>
      <c r="O92" s="3">
        <v>100</v>
      </c>
      <c r="P92" s="10"/>
      <c r="Q92" s="3">
        <f>SUM(OSRRefD21_16_6x)+IFERROR(SUM(OSRRefE21_16_6x),0)</f>
        <v>1271</v>
      </c>
    </row>
    <row r="93" spans="1:17" s="42" customFormat="1" ht="15" hidden="1" customHeight="1" outlineLevel="1" x14ac:dyDescent="0.3">
      <c r="A93" s="34"/>
      <c r="B93" s="11" t="str">
        <f>CONCATENATE("          ","6247"," - ","STORE SUPPLIES")</f>
        <v xml:space="preserve">          6247 - STORE SUPPLIES</v>
      </c>
      <c r="C93" s="15"/>
      <c r="D93" s="3"/>
      <c r="E93" s="3">
        <v>500</v>
      </c>
      <c r="F93" s="3">
        <v>271.95999999999998</v>
      </c>
      <c r="G93" s="3">
        <v>352.76</v>
      </c>
      <c r="H93" s="3">
        <v>61.04</v>
      </c>
      <c r="I93" s="3">
        <v>66.34</v>
      </c>
      <c r="J93" s="3">
        <v>285</v>
      </c>
      <c r="K93" s="3">
        <v>1099.0899999999999</v>
      </c>
      <c r="L93" s="3">
        <v>1981.6</v>
      </c>
      <c r="M93" s="3">
        <v>-733.34</v>
      </c>
      <c r="N93" s="3">
        <v>1450</v>
      </c>
      <c r="O93" s="3">
        <v>250</v>
      </c>
      <c r="P93" s="10"/>
      <c r="Q93" s="3">
        <f>SUM(OSRRefD21_16_7x)+IFERROR(SUM(OSRRefE21_16_7x),0)</f>
        <v>5584.4499999999989</v>
      </c>
    </row>
    <row r="94" spans="1:17" s="42" customFormat="1" ht="15" hidden="1" customHeight="1" outlineLevel="1" x14ac:dyDescent="0.3">
      <c r="A94" s="34"/>
      <c r="B94" s="11" t="str">
        <f>CONCATENATE("          ","6248"," - ","UNIFORMS")</f>
        <v xml:space="preserve">          6248 - UNIFORMS</v>
      </c>
      <c r="C94" s="15"/>
      <c r="D94" s="3"/>
      <c r="E94" s="3"/>
      <c r="F94" s="3"/>
      <c r="G94" s="3"/>
      <c r="H94" s="3">
        <v>252.95</v>
      </c>
      <c r="I94" s="3"/>
      <c r="J94" s="3">
        <v>349.3</v>
      </c>
      <c r="K94" s="3">
        <v>1522.25</v>
      </c>
      <c r="L94" s="3">
        <v>665.5</v>
      </c>
      <c r="M94" s="3">
        <v>198.45</v>
      </c>
      <c r="N94" s="3"/>
      <c r="O94" s="3"/>
      <c r="P94" s="10"/>
      <c r="Q94" s="3">
        <f>SUM(OSRRefD21_16_8x)+IFERROR(SUM(OSRRefE21_16_8x),0)</f>
        <v>2988.45</v>
      </c>
    </row>
    <row r="95" spans="1:17" s="42" customFormat="1" ht="15" customHeight="1" collapsed="1" x14ac:dyDescent="0.3">
      <c r="A95" s="34"/>
      <c r="B95" s="15" t="str">
        <f>CONCATENATE("     ","Telephone/Data Lines                              ")</f>
        <v xml:space="preserve">     Telephone/Data Lines                              </v>
      </c>
      <c r="C95" s="15"/>
      <c r="D95" s="2">
        <f>SUM(OSRRefD21_17x_0)</f>
        <v>642.35</v>
      </c>
      <c r="E95" s="2">
        <f>SUM(OSRRefD21_17x_1)</f>
        <v>873.15</v>
      </c>
      <c r="F95" s="2">
        <f>SUM(OSRRefD21_17x_2)</f>
        <v>1022.78</v>
      </c>
      <c r="G95" s="2">
        <f>SUM(OSRRefD21_17x_3)</f>
        <v>842.11</v>
      </c>
      <c r="H95" s="2">
        <f>SUM(OSRRefD21_17x_4)</f>
        <v>638.1</v>
      </c>
      <c r="I95" s="2">
        <f>SUM(OSRRefD21_17x_5)</f>
        <v>780.95</v>
      </c>
      <c r="J95" s="2">
        <f>SUM(OSRRefD21_17x_6)</f>
        <v>577.15</v>
      </c>
      <c r="K95" s="2">
        <f>SUM(OSRRefD21_17x_7)</f>
        <v>841.3</v>
      </c>
      <c r="L95" s="2">
        <f>SUM(OSRRefD21_17x_8)</f>
        <v>913.65</v>
      </c>
      <c r="M95" s="2">
        <f>SUM(OSRRefD21_17x_9)</f>
        <v>1441.5</v>
      </c>
      <c r="N95" s="2">
        <f>SUM(OSRRefE21_17x_0)</f>
        <v>688</v>
      </c>
      <c r="O95" s="2">
        <f>SUM(OSRRefE21_17x_1)</f>
        <v>538</v>
      </c>
      <c r="Q95" s="3">
        <f>SUM(OSRRefD20_17x)+IFERROR(SUM(OSRRefE20_17x),0)</f>
        <v>9799.0399999999991</v>
      </c>
    </row>
    <row r="96" spans="1:17" s="42" customFormat="1" ht="15" hidden="1" customHeight="1" outlineLevel="1" x14ac:dyDescent="0.3">
      <c r="A96" s="34"/>
      <c r="B96" s="11" t="str">
        <f>CONCATENATE("          ","6303"," - ","DATA PHONE LINES")</f>
        <v xml:space="preserve">          6303 - DATA PHONE LINES</v>
      </c>
      <c r="C96" s="15"/>
      <c r="D96" s="3"/>
      <c r="E96" s="3"/>
      <c r="F96" s="3"/>
      <c r="G96" s="3"/>
      <c r="H96" s="3"/>
      <c r="I96" s="3"/>
      <c r="J96" s="3"/>
      <c r="K96" s="3"/>
      <c r="L96" s="3"/>
      <c r="M96" s="3"/>
      <c r="N96" s="3">
        <v>185</v>
      </c>
      <c r="O96" s="3">
        <v>185</v>
      </c>
      <c r="P96" s="10"/>
      <c r="Q96" s="3">
        <f>SUM(OSRRefD21_17_0x)+IFERROR(SUM(OSRRefE21_17_0x),0)</f>
        <v>370</v>
      </c>
    </row>
    <row r="97" spans="1:17" s="42" customFormat="1" ht="15" hidden="1" customHeight="1" outlineLevel="1" x14ac:dyDescent="0.3">
      <c r="A97" s="34"/>
      <c r="B97" s="11" t="str">
        <f>CONCATENATE("          ","6309"," - ","TELEPHONE")</f>
        <v xml:space="preserve">          6309 - TELEPHONE</v>
      </c>
      <c r="C97" s="15"/>
      <c r="D97" s="3">
        <v>642.35</v>
      </c>
      <c r="E97" s="3">
        <v>873.15</v>
      </c>
      <c r="F97" s="3">
        <v>1022.78</v>
      </c>
      <c r="G97" s="3">
        <v>842.11</v>
      </c>
      <c r="H97" s="3">
        <v>638.1</v>
      </c>
      <c r="I97" s="3">
        <v>780.95</v>
      </c>
      <c r="J97" s="3">
        <v>577.15</v>
      </c>
      <c r="K97" s="3">
        <v>841.3</v>
      </c>
      <c r="L97" s="3">
        <v>913.65</v>
      </c>
      <c r="M97" s="3">
        <v>1441.5</v>
      </c>
      <c r="N97" s="3">
        <v>503</v>
      </c>
      <c r="O97" s="3">
        <v>353</v>
      </c>
      <c r="P97" s="10"/>
      <c r="Q97" s="3">
        <f>SUM(OSRRefD21_17_1x)+IFERROR(SUM(OSRRefE21_17_1x),0)</f>
        <v>9429.0399999999991</v>
      </c>
    </row>
    <row r="98" spans="1:17" s="42" customFormat="1" ht="15" customHeight="1" collapsed="1" x14ac:dyDescent="0.3">
      <c r="A98" s="34"/>
      <c r="B98" s="15" t="str">
        <f>CONCATENATE("     ","Training                                          ")</f>
        <v xml:space="preserve">     Training                                          </v>
      </c>
      <c r="C98" s="15"/>
      <c r="D98" s="2">
        <f>SUM(OSRRefD21_18x_0)</f>
        <v>0</v>
      </c>
      <c r="E98" s="2">
        <f>SUM(OSRRefD21_18x_1)</f>
        <v>0</v>
      </c>
      <c r="F98" s="2">
        <f>SUM(OSRRefD21_18x_2)</f>
        <v>0</v>
      </c>
      <c r="G98" s="2">
        <f>SUM(OSRRefD21_18x_3)</f>
        <v>0</v>
      </c>
      <c r="H98" s="2">
        <f>SUM(OSRRefD21_18x_4)</f>
        <v>0</v>
      </c>
      <c r="I98" s="2">
        <f>SUM(OSRRefD21_18x_5)</f>
        <v>0</v>
      </c>
      <c r="J98" s="2">
        <f>SUM(OSRRefD21_18x_6)</f>
        <v>0</v>
      </c>
      <c r="K98" s="2">
        <f>SUM(OSRRefD21_18x_7)</f>
        <v>800</v>
      </c>
      <c r="L98" s="2">
        <f>SUM(OSRRefD21_18x_8)</f>
        <v>0</v>
      </c>
      <c r="M98" s="2">
        <f>SUM(OSRRefD21_18x_9)</f>
        <v>15.95</v>
      </c>
      <c r="N98" s="2">
        <f>SUM(OSRRefE21_18x_0)</f>
        <v>0</v>
      </c>
      <c r="O98" s="2">
        <f>SUM(OSRRefE21_18x_1)</f>
        <v>0</v>
      </c>
      <c r="Q98" s="3">
        <f>SUM(OSRRefD20_18x)+IFERROR(SUM(OSRRefE20_18x),0)</f>
        <v>815.95</v>
      </c>
    </row>
    <row r="99" spans="1:17" s="42" customFormat="1" ht="15" hidden="1" customHeight="1" outlineLevel="1" x14ac:dyDescent="0.3">
      <c r="A99" s="34"/>
      <c r="B99" s="11" t="str">
        <f>CONCATENATE("          ","6376"," - ","TRAINING")</f>
        <v xml:space="preserve">          6376 - TRAINING</v>
      </c>
      <c r="C99" s="15"/>
      <c r="D99" s="3"/>
      <c r="E99" s="3"/>
      <c r="F99" s="3"/>
      <c r="G99" s="3"/>
      <c r="H99" s="3"/>
      <c r="I99" s="3"/>
      <c r="J99" s="3"/>
      <c r="K99" s="3">
        <v>800</v>
      </c>
      <c r="L99" s="3"/>
      <c r="M99" s="3">
        <v>15.95</v>
      </c>
      <c r="N99" s="3"/>
      <c r="O99" s="3"/>
      <c r="P99" s="10"/>
      <c r="Q99" s="3">
        <f>SUM(OSRRefD21_18_0x)+IFERROR(SUM(OSRRefE21_18_0x),0)</f>
        <v>815.95</v>
      </c>
    </row>
    <row r="100" spans="1:17" s="42" customFormat="1" ht="15" customHeight="1" collapsed="1" x14ac:dyDescent="0.3">
      <c r="A100" s="34"/>
      <c r="B100" s="15" t="str">
        <f>CONCATENATE("     ","Travel                                            ")</f>
        <v xml:space="preserve">     Travel                                            </v>
      </c>
      <c r="C100" s="15"/>
      <c r="D100" s="2">
        <f>SUM(OSRRefD21_19x_0)</f>
        <v>0</v>
      </c>
      <c r="E100" s="2">
        <f>SUM(OSRRefD21_19x_1)</f>
        <v>0</v>
      </c>
      <c r="F100" s="2">
        <f>SUM(OSRRefD21_19x_2)</f>
        <v>0</v>
      </c>
      <c r="G100" s="2">
        <f>SUM(OSRRefD21_19x_3)</f>
        <v>0</v>
      </c>
      <c r="H100" s="2">
        <f>SUM(OSRRefD21_19x_4)</f>
        <v>18.59</v>
      </c>
      <c r="I100" s="2">
        <f>SUM(OSRRefD21_19x_5)</f>
        <v>0</v>
      </c>
      <c r="J100" s="2">
        <f>SUM(OSRRefD21_19x_6)</f>
        <v>0</v>
      </c>
      <c r="K100" s="2">
        <f>SUM(OSRRefD21_19x_7)</f>
        <v>122.65</v>
      </c>
      <c r="L100" s="2">
        <f>SUM(OSRRefD21_19x_8)</f>
        <v>0</v>
      </c>
      <c r="M100" s="2">
        <f>SUM(OSRRefD21_19x_9)</f>
        <v>0</v>
      </c>
      <c r="N100" s="2">
        <f>SUM(OSRRefE21_19x_0)</f>
        <v>0</v>
      </c>
      <c r="O100" s="2">
        <f>SUM(OSRRefE21_19x_1)</f>
        <v>0</v>
      </c>
      <c r="Q100" s="3">
        <f>SUM(OSRRefD20_19x)+IFERROR(SUM(OSRRefE20_19x),0)</f>
        <v>141.24</v>
      </c>
    </row>
    <row r="101" spans="1:17" s="42" customFormat="1" ht="15" hidden="1" customHeight="1" outlineLevel="1" x14ac:dyDescent="0.3">
      <c r="A101" s="34"/>
      <c r="B101" s="11" t="str">
        <f>CONCATENATE("          ","6292"," - ","TRAVEL/CONFERENCE")</f>
        <v xml:space="preserve">          6292 - TRAVEL/CONFERENCE</v>
      </c>
      <c r="C101" s="15"/>
      <c r="D101" s="3"/>
      <c r="E101" s="3"/>
      <c r="F101" s="3"/>
      <c r="G101" s="3"/>
      <c r="H101" s="3">
        <v>18.59</v>
      </c>
      <c r="I101" s="3"/>
      <c r="J101" s="3"/>
      <c r="K101" s="3"/>
      <c r="L101" s="3"/>
      <c r="M101" s="3"/>
      <c r="N101" s="3"/>
      <c r="O101" s="3"/>
      <c r="P101" s="10"/>
      <c r="Q101" s="3">
        <f>SUM(OSRRefD21_19_0x)+IFERROR(SUM(OSRRefE21_19_0x),0)</f>
        <v>18.59</v>
      </c>
    </row>
    <row r="102" spans="1:17" s="42" customFormat="1" ht="15" hidden="1" customHeight="1" outlineLevel="1" x14ac:dyDescent="0.3">
      <c r="A102" s="34"/>
      <c r="B102" s="11" t="str">
        <f>CONCATENATE("          ","6298"," - ","VEHICLE MILEAGE")</f>
        <v xml:space="preserve">          6298 - VEHICLE MILEAGE</v>
      </c>
      <c r="C102" s="15"/>
      <c r="D102" s="3"/>
      <c r="E102" s="3"/>
      <c r="F102" s="3"/>
      <c r="G102" s="3"/>
      <c r="H102" s="3"/>
      <c r="I102" s="3"/>
      <c r="J102" s="3"/>
      <c r="K102" s="3">
        <v>122.65</v>
      </c>
      <c r="L102" s="3"/>
      <c r="M102" s="3"/>
      <c r="N102" s="3"/>
      <c r="O102" s="3"/>
      <c r="P102" s="10"/>
      <c r="Q102" s="3">
        <f>SUM(OSRRefD21_19_1x)+IFERROR(SUM(OSRRefE21_19_1x),0)</f>
        <v>122.65</v>
      </c>
    </row>
    <row r="103" spans="1:17" s="42" customFormat="1" ht="15" customHeight="1" collapsed="1" x14ac:dyDescent="0.3">
      <c r="A103" s="34"/>
      <c r="B103" s="15" t="str">
        <f>CONCATENATE("     ","Utilities                                         ")</f>
        <v xml:space="preserve">     Utilities                                         </v>
      </c>
      <c r="C103" s="15"/>
      <c r="D103" s="2">
        <f>SUM(OSRRefD21_20x_0)</f>
        <v>8250</v>
      </c>
      <c r="E103" s="2">
        <f>SUM(OSRRefD21_20x_1)</f>
        <v>8250</v>
      </c>
      <c r="F103" s="2">
        <f>SUM(OSRRefD21_20x_2)</f>
        <v>8250</v>
      </c>
      <c r="G103" s="2">
        <f>SUM(OSRRefD21_20x_3)</f>
        <v>5850</v>
      </c>
      <c r="H103" s="2">
        <f>SUM(OSRRefD21_20x_4)</f>
        <v>8250</v>
      </c>
      <c r="I103" s="2">
        <f>SUM(OSRRefD21_20x_5)</f>
        <v>8250</v>
      </c>
      <c r="J103" s="2">
        <f>SUM(OSRRefD21_20x_6)</f>
        <v>8250</v>
      </c>
      <c r="K103" s="2">
        <f>SUM(OSRRefD21_20x_7)</f>
        <v>8250</v>
      </c>
      <c r="L103" s="2">
        <f>SUM(OSRRefD21_20x_8)</f>
        <v>8250</v>
      </c>
      <c r="M103" s="2">
        <f>SUM(OSRRefD21_20x_9)</f>
        <v>8250</v>
      </c>
      <c r="N103" s="2">
        <f>SUM(OSRRefE21_20x_0)</f>
        <v>8667</v>
      </c>
      <c r="O103" s="2">
        <f>SUM(OSRRefE21_20x_1)</f>
        <v>8663</v>
      </c>
      <c r="Q103" s="3">
        <f>SUM(OSRRefD20_20x)+IFERROR(SUM(OSRRefE20_20x),0)</f>
        <v>97430</v>
      </c>
    </row>
    <row r="104" spans="1:17" s="42" customFormat="1" ht="15" hidden="1" customHeight="1" outlineLevel="1" x14ac:dyDescent="0.3">
      <c r="A104" s="34"/>
      <c r="B104" s="11" t="str">
        <f>CONCATENATE("          ","6274"," - ","UTILITIES")</f>
        <v xml:space="preserve">          6274 - UTILITIES</v>
      </c>
      <c r="C104" s="15"/>
      <c r="D104" s="3">
        <v>8250</v>
      </c>
      <c r="E104" s="3">
        <v>8250</v>
      </c>
      <c r="F104" s="3">
        <v>8250</v>
      </c>
      <c r="G104" s="3">
        <v>5850</v>
      </c>
      <c r="H104" s="3">
        <v>8250</v>
      </c>
      <c r="I104" s="3">
        <v>8250</v>
      </c>
      <c r="J104" s="3">
        <v>8250</v>
      </c>
      <c r="K104" s="3">
        <v>8250</v>
      </c>
      <c r="L104" s="3">
        <v>8250</v>
      </c>
      <c r="M104" s="3">
        <v>8250</v>
      </c>
      <c r="N104" s="3">
        <v>8667</v>
      </c>
      <c r="O104" s="3">
        <v>8663</v>
      </c>
      <c r="P104" s="10"/>
      <c r="Q104" s="3">
        <f>SUM(OSRRefD21_20_0x)+IFERROR(SUM(OSRRefE21_20_0x),0)</f>
        <v>97430</v>
      </c>
    </row>
    <row r="105" spans="1:17" s="40" customFormat="1" ht="15" customHeight="1" x14ac:dyDescent="0.3">
      <c r="A105" s="22"/>
      <c r="B105" s="22"/>
      <c r="C105" s="2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Q105" s="2"/>
    </row>
    <row r="106" spans="1:17" s="39" customFormat="1" ht="15" customHeight="1" x14ac:dyDescent="0.3">
      <c r="A106" s="24"/>
      <c r="B106" s="17" t="s">
        <v>287</v>
      </c>
      <c r="C106" s="23"/>
      <c r="D106" s="4">
        <f>--2655.42</f>
        <v>2655.42</v>
      </c>
      <c r="E106" s="4">
        <f>--11546.83</f>
        <v>11546.83</v>
      </c>
      <c r="F106" s="4">
        <f>--2991.8</f>
        <v>2991.8</v>
      </c>
      <c r="G106" s="4">
        <f>--6812.67</f>
        <v>6812.67</v>
      </c>
      <c r="H106" s="4">
        <f>--6011.63</f>
        <v>6011.63</v>
      </c>
      <c r="I106" s="4">
        <f>--104600.16</f>
        <v>104600.16</v>
      </c>
      <c r="J106" s="4">
        <f>--6523.34</f>
        <v>6523.34</v>
      </c>
      <c r="K106" s="4">
        <f>--2073.62</f>
        <v>2073.62</v>
      </c>
      <c r="L106" s="4">
        <f>--25319.38</f>
        <v>25319.38</v>
      </c>
      <c r="M106" s="4">
        <f>--6601.19</f>
        <v>6601.19</v>
      </c>
      <c r="N106" s="4">
        <v>29120.49</v>
      </c>
      <c r="O106" s="4">
        <v>12000</v>
      </c>
      <c r="Q106" s="3">
        <f>SUM(OSRRefD23_0x)+IFERROR(SUM(OSRRefE23_0x),0)</f>
        <v>216256.53000000003</v>
      </c>
    </row>
    <row r="107" spans="1:17" ht="15" customHeight="1" x14ac:dyDescent="0.3">
      <c r="A107" s="6"/>
      <c r="B107" s="7"/>
      <c r="C107" s="7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Q107" s="4"/>
    </row>
    <row r="108" spans="1:17" s="37" customFormat="1" ht="15" customHeight="1" x14ac:dyDescent="0.3">
      <c r="A108" s="7"/>
      <c r="B108" s="18" t="s">
        <v>288</v>
      </c>
      <c r="C108" s="18"/>
      <c r="D108" s="9">
        <f t="shared" ref="D108:O108" si="2">IFERROR(+D23-D26+D106,0)</f>
        <v>-140482.68</v>
      </c>
      <c r="E108" s="9">
        <f t="shared" si="2"/>
        <v>-176293.35</v>
      </c>
      <c r="F108" s="9">
        <f t="shared" si="2"/>
        <v>-102250.19000000002</v>
      </c>
      <c r="G108" s="9">
        <f t="shared" si="2"/>
        <v>-106671.09999999995</v>
      </c>
      <c r="H108" s="9">
        <f t="shared" si="2"/>
        <v>-116215.66000000002</v>
      </c>
      <c r="I108" s="9">
        <f t="shared" si="2"/>
        <v>-30225.710000000021</v>
      </c>
      <c r="J108" s="9">
        <f t="shared" si="2"/>
        <v>-188373.34</v>
      </c>
      <c r="K108" s="9">
        <f t="shared" si="2"/>
        <v>-63312.759999999944</v>
      </c>
      <c r="L108" s="9">
        <f t="shared" si="2"/>
        <v>14427.889999999952</v>
      </c>
      <c r="M108" s="9">
        <f t="shared" si="2"/>
        <v>-40104.449999999953</v>
      </c>
      <c r="N108" s="9">
        <f t="shared" si="2"/>
        <v>-13628.699993820326</v>
      </c>
      <c r="O108" s="9">
        <f t="shared" si="2"/>
        <v>-115008.17827967141</v>
      </c>
      <c r="Q108" s="9">
        <f>IFERROR(+Q23-Q26+Q106,0)</f>
        <v>-1078138.2282734918</v>
      </c>
    </row>
    <row r="109" spans="1:17" s="38" customFormat="1" ht="15" customHeight="1" x14ac:dyDescent="0.3">
      <c r="B109" s="17"/>
      <c r="C109" s="17"/>
      <c r="D109" s="5">
        <f t="shared" ref="D109:O109" si="3">IFERROR(D108/D10,0)</f>
        <v>-7.130264420770966</v>
      </c>
      <c r="E109" s="5">
        <f t="shared" si="3"/>
        <v>-2.9908662319822357</v>
      </c>
      <c r="F109" s="5">
        <f t="shared" si="3"/>
        <v>-0.69901133660973658</v>
      </c>
      <c r="G109" s="5">
        <f t="shared" si="3"/>
        <v>-0.51689222421271264</v>
      </c>
      <c r="H109" s="5">
        <f t="shared" si="3"/>
        <v>-0.98791707307204057</v>
      </c>
      <c r="I109" s="5">
        <f t="shared" si="3"/>
        <v>-0.25970654580020364</v>
      </c>
      <c r="J109" s="5">
        <f t="shared" si="3"/>
        <v>-10.287300976175848</v>
      </c>
      <c r="K109" s="5">
        <f t="shared" si="3"/>
        <v>-0.20417966020645123</v>
      </c>
      <c r="L109" s="5">
        <f t="shared" si="3"/>
        <v>3.5659497252124014E-2</v>
      </c>
      <c r="M109" s="5">
        <f t="shared" si="3"/>
        <v>-9.9326234202658348E-2</v>
      </c>
      <c r="N109" s="5">
        <f t="shared" si="3"/>
        <v>-4.7209424751530477E-2</v>
      </c>
      <c r="O109" s="5">
        <f t="shared" si="3"/>
        <v>-1.178350409111294</v>
      </c>
      <c r="P109" s="19"/>
      <c r="Q109" s="5">
        <f>IFERROR(Q108/Q10,0)</f>
        <v>-0.49266856852876961</v>
      </c>
    </row>
    <row r="110" spans="1:17" ht="15" customHeight="1" x14ac:dyDescent="0.3">
      <c r="A110" s="6"/>
      <c r="B110" s="7"/>
      <c r="C110" s="6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Q110" s="4"/>
    </row>
    <row r="111" spans="1:17" s="37" customFormat="1" ht="15" customHeight="1" x14ac:dyDescent="0.3">
      <c r="A111" s="26"/>
      <c r="B111" s="7" t="s">
        <v>289</v>
      </c>
      <c r="C111" s="7"/>
      <c r="D111" s="4">
        <v>9102.39</v>
      </c>
      <c r="E111" s="4">
        <v>2649.95</v>
      </c>
      <c r="F111" s="4">
        <v>16087.84</v>
      </c>
      <c r="G111" s="4">
        <v>22013.919999999998</v>
      </c>
      <c r="H111" s="4">
        <v>15530.11</v>
      </c>
      <c r="I111" s="4">
        <v>14700.4</v>
      </c>
      <c r="J111" s="4">
        <v>10405.32</v>
      </c>
      <c r="K111" s="4">
        <v>33547.730000000003</v>
      </c>
      <c r="L111" s="4">
        <v>42847.46</v>
      </c>
      <c r="M111" s="4">
        <v>37261.17</v>
      </c>
      <c r="N111" s="4">
        <v>37934</v>
      </c>
      <c r="O111" s="4">
        <v>-15955</v>
      </c>
      <c r="Q111" s="3">
        <f>SUM(OSRRefD28_0x)+IFERROR(SUM(OSRRefE28_0x),0)</f>
        <v>226125.28999999998</v>
      </c>
    </row>
    <row r="112" spans="1:17" ht="15" customHeight="1" x14ac:dyDescent="0.3">
      <c r="A112" s="6"/>
      <c r="B112" s="7"/>
      <c r="C112" s="7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Q112" s="4"/>
    </row>
    <row r="113" spans="1:17" s="37" customFormat="1" ht="15.75" customHeight="1" x14ac:dyDescent="0.3">
      <c r="A113" s="7"/>
      <c r="B113" s="18" t="s">
        <v>290</v>
      </c>
      <c r="C113" s="18"/>
      <c r="D113" s="8">
        <f t="shared" ref="D113:O113" si="4">IFERROR(+D108-D111,0)</f>
        <v>-149585.07</v>
      </c>
      <c r="E113" s="8">
        <f t="shared" si="4"/>
        <v>-178943.30000000002</v>
      </c>
      <c r="F113" s="8">
        <f t="shared" si="4"/>
        <v>-118338.03000000001</v>
      </c>
      <c r="G113" s="8">
        <f t="shared" si="4"/>
        <v>-128685.01999999995</v>
      </c>
      <c r="H113" s="8">
        <f t="shared" si="4"/>
        <v>-131745.77000000002</v>
      </c>
      <c r="I113" s="8">
        <f t="shared" si="4"/>
        <v>-44926.110000000022</v>
      </c>
      <c r="J113" s="8">
        <f t="shared" si="4"/>
        <v>-198778.66</v>
      </c>
      <c r="K113" s="8">
        <f t="shared" si="4"/>
        <v>-96860.489999999947</v>
      </c>
      <c r="L113" s="8">
        <f t="shared" si="4"/>
        <v>-28419.570000000047</v>
      </c>
      <c r="M113" s="8">
        <f t="shared" si="4"/>
        <v>-77365.619999999952</v>
      </c>
      <c r="N113" s="8">
        <f t="shared" si="4"/>
        <v>-51562.699993820323</v>
      </c>
      <c r="O113" s="8">
        <f t="shared" si="4"/>
        <v>-99053.178279671411</v>
      </c>
      <c r="Q113" s="8">
        <f>IFERROR(+Q108-Q111,0)</f>
        <v>-1304263.5182734919</v>
      </c>
    </row>
    <row r="114" spans="1:17" ht="15.75" customHeight="1" x14ac:dyDescent="0.3">
      <c r="A114" s="6"/>
      <c r="B114" s="6"/>
      <c r="C114" s="6"/>
      <c r="D114" s="5">
        <f t="shared" ref="D114:O114" si="5">IFERROR(D113/D10,0)</f>
        <v>-7.5922605014335893</v>
      </c>
      <c r="E114" s="5">
        <f t="shared" si="5"/>
        <v>-3.0358233785305391</v>
      </c>
      <c r="F114" s="5">
        <f t="shared" si="5"/>
        <v>-0.80899237959423931</v>
      </c>
      <c r="G114" s="5">
        <f t="shared" si="5"/>
        <v>-0.62356426633509376</v>
      </c>
      <c r="H114" s="5">
        <f t="shared" si="5"/>
        <v>-1.1199342282100557</v>
      </c>
      <c r="I114" s="5">
        <f t="shared" si="5"/>
        <v>-0.38601590646969036</v>
      </c>
      <c r="J114" s="5">
        <f t="shared" si="5"/>
        <v>-10.855548365076114</v>
      </c>
      <c r="K114" s="5">
        <f t="shared" si="5"/>
        <v>-0.31236897484220205</v>
      </c>
      <c r="L114" s="5">
        <f t="shared" si="5"/>
        <v>-7.0240872249618697E-2</v>
      </c>
      <c r="M114" s="5">
        <f t="shared" si="5"/>
        <v>-0.19161054923715132</v>
      </c>
      <c r="N114" s="5">
        <f t="shared" si="5"/>
        <v>-0.17861170958695718</v>
      </c>
      <c r="O114" s="5">
        <f t="shared" si="5"/>
        <v>-1.0148787233703693</v>
      </c>
      <c r="P114" s="19"/>
      <c r="Q114" s="5">
        <f>IFERROR(Q113/Q10,0)</f>
        <v>-0.59599931036773979</v>
      </c>
    </row>
    <row r="115" spans="1:17" ht="15" customHeight="1" x14ac:dyDescent="0.3">
      <c r="A115" s="6"/>
      <c r="B115" s="6"/>
      <c r="C115" s="6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Q115" s="4"/>
    </row>
    <row r="116" spans="1:17" ht="15" customHeight="1" x14ac:dyDescent="0.3">
      <c r="A116" s="6"/>
      <c r="B116" s="6"/>
      <c r="C116" s="6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Q116" s="4"/>
    </row>
    <row r="117" spans="1:17" s="37" customFormat="1" ht="15.75" customHeight="1" x14ac:dyDescent="0.3">
      <c r="A117" s="7"/>
      <c r="B117" s="18" t="s">
        <v>293</v>
      </c>
      <c r="C117" s="18"/>
      <c r="D117" s="8">
        <f t="shared" ref="D117:O117" si="6">IFERROR(SUM(D113:D116),0)</f>
        <v>-149592.66226050144</v>
      </c>
      <c r="E117" s="8">
        <f t="shared" si="6"/>
        <v>-178946.33582337855</v>
      </c>
      <c r="F117" s="8">
        <f t="shared" si="6"/>
        <v>-118338.83899237961</v>
      </c>
      <c r="G117" s="8">
        <f t="shared" si="6"/>
        <v>-128685.64356426628</v>
      </c>
      <c r="H117" s="8">
        <f t="shared" si="6"/>
        <v>-131746.88993422824</v>
      </c>
      <c r="I117" s="8">
        <f t="shared" si="6"/>
        <v>-44926.496015906494</v>
      </c>
      <c r="J117" s="8">
        <f t="shared" si="6"/>
        <v>-198789.51554836507</v>
      </c>
      <c r="K117" s="8">
        <f t="shared" si="6"/>
        <v>-96860.802368974793</v>
      </c>
      <c r="L117" s="8">
        <f t="shared" si="6"/>
        <v>-28419.640240872297</v>
      </c>
      <c r="M117" s="8">
        <f t="shared" si="6"/>
        <v>-77365.811610549194</v>
      </c>
      <c r="N117" s="8">
        <f t="shared" si="6"/>
        <v>-51562.878605529906</v>
      </c>
      <c r="O117" s="8">
        <f t="shared" si="6"/>
        <v>-99054.193158394788</v>
      </c>
      <c r="Q117" s="8">
        <f>IFERROR(SUM(Q113:Q116),0)</f>
        <v>-1304264.1142728021</v>
      </c>
    </row>
    <row r="118" spans="1:17" ht="15.75" customHeight="1" x14ac:dyDescent="0.3">
      <c r="A118" s="6"/>
      <c r="C118" s="6"/>
      <c r="D118" s="5">
        <f t="shared" ref="D118:O118" si="7">IFERROR(D117/D10,0)</f>
        <v>-7.5926458501821088</v>
      </c>
      <c r="E118" s="5">
        <f t="shared" si="7"/>
        <v>-3.0358748821274082</v>
      </c>
      <c r="F118" s="5">
        <f t="shared" si="7"/>
        <v>-0.80899791009588995</v>
      </c>
      <c r="G118" s="5">
        <f t="shared" si="7"/>
        <v>-0.62356728791751448</v>
      </c>
      <c r="H118" s="5">
        <f t="shared" si="7"/>
        <v>-1.1199437484601216</v>
      </c>
      <c r="I118" s="5">
        <f t="shared" si="7"/>
        <v>-0.3860192232108916</v>
      </c>
      <c r="J118" s="5">
        <f t="shared" si="7"/>
        <v>-10.856141199992631</v>
      </c>
      <c r="K118" s="5">
        <f t="shared" si="7"/>
        <v>-0.31236998221245638</v>
      </c>
      <c r="L118" s="5">
        <f t="shared" si="7"/>
        <v>-7.0241045854642789E-2</v>
      </c>
      <c r="M118" s="5">
        <f t="shared" si="7"/>
        <v>-0.19161102379681463</v>
      </c>
      <c r="N118" s="5">
        <f t="shared" si="7"/>
        <v>-0.17861232829278145</v>
      </c>
      <c r="O118" s="5">
        <f t="shared" si="7"/>
        <v>-1.0148891216114055</v>
      </c>
      <c r="P118" s="19"/>
      <c r="Q118" s="5">
        <f>IFERROR(Q117/Q10,0)</f>
        <v>-0.59599958271697984</v>
      </c>
    </row>
    <row r="119" spans="1:17" ht="15" customHeight="1" x14ac:dyDescent="0.3">
      <c r="A119" s="6"/>
      <c r="B119" s="33">
        <v>44694.892830011573</v>
      </c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Q119" s="14"/>
    </row>
    <row r="120" spans="1:17" ht="15" customHeight="1" x14ac:dyDescent="0.3">
      <c r="A120" s="6"/>
      <c r="B120" s="31" t="s">
        <v>294</v>
      </c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Q120" s="14"/>
    </row>
    <row r="121" spans="1:17" ht="15" customHeight="1" x14ac:dyDescent="0.3">
      <c r="A121" s="6"/>
      <c r="B121" s="27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Q121" s="14"/>
    </row>
    <row r="122" spans="1:17" ht="15" customHeight="1" x14ac:dyDescent="0.3"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Q122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52631-31C9-B9DB-8EE4-5F6748807EA2}">
  <sheetPr>
    <tabColor rgb="FFFFFF00"/>
    <outlinePr summaryBelow="0" summaryRight="0"/>
    <pageSetUpPr fitToPage="1"/>
  </sheetPr>
  <dimension ref="A2:R120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">
        <v>311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19702.309999999998</v>
      </c>
      <c r="E10" s="4">
        <f>SUM(OSRRefD11x_1)</f>
        <v>52278.77</v>
      </c>
      <c r="F10" s="4">
        <f>SUM(OSRRefD11x_2)</f>
        <v>130165.4</v>
      </c>
      <c r="G10" s="4">
        <f>SUM(OSRRefD11x_3)</f>
        <v>180540.05000000002</v>
      </c>
      <c r="H10" s="4">
        <f>SUM(OSRRefD11x_4)</f>
        <v>102315.87</v>
      </c>
      <c r="I10" s="4">
        <f>SUM(OSRRefD11x_5)</f>
        <v>103905.87000000001</v>
      </c>
      <c r="J10" s="4">
        <f>SUM(OSRRefD11x_6)</f>
        <v>13477.79</v>
      </c>
      <c r="K10" s="4">
        <f>SUM(OSRRefD11x_7)</f>
        <v>216217.62</v>
      </c>
      <c r="L10" s="4">
        <f>SUM(OSRRefD11x_8)</f>
        <v>271668.8</v>
      </c>
      <c r="M10" s="4">
        <f>SUM(OSRRefD11x_9)</f>
        <v>300260.02</v>
      </c>
      <c r="N10" s="4">
        <f>SUM(OSRRefE11x_0)</f>
        <v>245916</v>
      </c>
      <c r="O10" s="4">
        <f>SUM(OSRRefE11x_1)</f>
        <v>84576</v>
      </c>
      <c r="P10" s="25"/>
      <c r="Q10" s="4">
        <f>SUM(OSRRefG11x)</f>
        <v>1721024.5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0</f>
        <v>0</v>
      </c>
      <c r="E11" s="3">
        <f>0</f>
        <v>0</v>
      </c>
      <c r="F11" s="3">
        <f>0</f>
        <v>0</v>
      </c>
      <c r="G11" s="3">
        <f>0</f>
        <v>0</v>
      </c>
      <c r="H11" s="3">
        <f>0</f>
        <v>0</v>
      </c>
      <c r="I11" s="3">
        <f>0</f>
        <v>0</v>
      </c>
      <c r="J11" s="3">
        <f>0</f>
        <v>0</v>
      </c>
      <c r="K11" s="3">
        <f>0</f>
        <v>0</v>
      </c>
      <c r="L11" s="3">
        <f>0</f>
        <v>0</v>
      </c>
      <c r="M11" s="3">
        <f>0</f>
        <v>0</v>
      </c>
      <c r="N11" s="3">
        <v>107544</v>
      </c>
      <c r="O11" s="3">
        <v>39337</v>
      </c>
      <c r="Q11" s="3">
        <f>SUM(OSRRefD11_0x)+IFERROR(SUM(OSRRefE11_0x),0)</f>
        <v>146881</v>
      </c>
    </row>
    <row r="12" spans="1:18" s="39" customFormat="1" ht="15" hidden="1" customHeight="1" outlineLevel="1" x14ac:dyDescent="0.3">
      <c r="A12" s="24"/>
      <c r="B12" s="11" t="str">
        <f>CONCATENATE("          ","4051"," - ","TAXABLE SALES-FOOD")</f>
        <v xml:space="preserve">          4051 - TAXABLE SALES-FOOD</v>
      </c>
      <c r="C12" s="23"/>
      <c r="D12" s="3">
        <f>--10630.93</f>
        <v>10630.93</v>
      </c>
      <c r="E12" s="3">
        <f>--20639.51</f>
        <v>20639.509999999998</v>
      </c>
      <c r="F12" s="3">
        <f>--33705.87</f>
        <v>33705.870000000003</v>
      </c>
      <c r="G12" s="3">
        <f>--39274.26</f>
        <v>39274.26</v>
      </c>
      <c r="H12" s="3">
        <f>--23100.6</f>
        <v>23100.6</v>
      </c>
      <c r="I12" s="3">
        <f>--19631.62</f>
        <v>19631.62</v>
      </c>
      <c r="J12" s="3">
        <f>--2376.57</f>
        <v>2376.5700000000002</v>
      </c>
      <c r="K12" s="3">
        <f>--56305.76</f>
        <v>56305.760000000002</v>
      </c>
      <c r="L12" s="3">
        <f>--58129.76</f>
        <v>58129.760000000002</v>
      </c>
      <c r="M12" s="3">
        <f>--55113.37</f>
        <v>55113.37</v>
      </c>
      <c r="N12" s="3"/>
      <c r="O12" s="3"/>
      <c r="Q12" s="3">
        <f>SUM(OSRRefD11_1x)+IFERROR(SUM(OSRRefE11_1x),0)</f>
        <v>318908.25</v>
      </c>
    </row>
    <row r="13" spans="1:18" s="39" customFormat="1" ht="15" hidden="1" customHeight="1" outlineLevel="1" x14ac:dyDescent="0.3">
      <c r="A13" s="24"/>
      <c r="B13" s="11" t="str">
        <f>CONCATENATE("          ","4053"," - ","TAXABLE SALES-FOOD")</f>
        <v xml:space="preserve">          4053 - TAXABLE SALES-FOOD</v>
      </c>
      <c r="C13" s="23"/>
      <c r="D13" s="3">
        <f>0</f>
        <v>0</v>
      </c>
      <c r="E13" s="3">
        <f>0</f>
        <v>0</v>
      </c>
      <c r="F13" s="3">
        <f>0</f>
        <v>0</v>
      </c>
      <c r="G13" s="3">
        <f>--4264.84</f>
        <v>4264.84</v>
      </c>
      <c r="H13" s="3">
        <f>--1464.84</f>
        <v>1464.84</v>
      </c>
      <c r="I13" s="3">
        <f>--1649.9</f>
        <v>1649.9</v>
      </c>
      <c r="J13" s="3">
        <f>--1412.89</f>
        <v>1412.89</v>
      </c>
      <c r="K13" s="3">
        <f>--5743.27</f>
        <v>5743.27</v>
      </c>
      <c r="L13" s="3">
        <f>--2334.69</f>
        <v>2334.69</v>
      </c>
      <c r="M13" s="3">
        <f>--7381.41</f>
        <v>7381.41</v>
      </c>
      <c r="N13" s="3"/>
      <c r="O13" s="3"/>
      <c r="Q13" s="3">
        <f>SUM(OSRRefD11_2x)+IFERROR(SUM(OSRRefE11_2x),0)</f>
        <v>24251.84</v>
      </c>
    </row>
    <row r="14" spans="1:18" s="39" customFormat="1" ht="15" hidden="1" customHeight="1" outlineLevel="1" x14ac:dyDescent="0.3">
      <c r="A14" s="24"/>
      <c r="B14" s="11" t="str">
        <f>CONCATENATE("          ","4100"," - ","NON-TAXABLE SALES")</f>
        <v xml:space="preserve">          4100 - NON-TAXABLE SALES</v>
      </c>
      <c r="C14" s="23"/>
      <c r="D14" s="3">
        <f>0</f>
        <v>0</v>
      </c>
      <c r="E14" s="3">
        <f>0</f>
        <v>0</v>
      </c>
      <c r="F14" s="3">
        <f>0</f>
        <v>0</v>
      </c>
      <c r="G14" s="3">
        <f>0</f>
        <v>0</v>
      </c>
      <c r="H14" s="3">
        <f>0</f>
        <v>0</v>
      </c>
      <c r="I14" s="3">
        <f>0</f>
        <v>0</v>
      </c>
      <c r="J14" s="3">
        <f>0</f>
        <v>0</v>
      </c>
      <c r="K14" s="3">
        <f>0</f>
        <v>0</v>
      </c>
      <c r="L14" s="3">
        <f>0</f>
        <v>0</v>
      </c>
      <c r="M14" s="3">
        <f>0</f>
        <v>0</v>
      </c>
      <c r="N14" s="3">
        <v>138372</v>
      </c>
      <c r="O14" s="3">
        <v>45239</v>
      </c>
      <c r="Q14" s="3">
        <f>SUM(OSRRefD11_3x)+IFERROR(SUM(OSRRefE11_3x),0)</f>
        <v>183611</v>
      </c>
    </row>
    <row r="15" spans="1:18" s="39" customFormat="1" ht="15" hidden="1" customHeight="1" outlineLevel="1" x14ac:dyDescent="0.3">
      <c r="A15" s="24"/>
      <c r="B15" s="11" t="str">
        <f>CONCATENATE("          ","4151"," - ","NON-TAXABLE SALES-FOOD")</f>
        <v xml:space="preserve">          4151 - NON-TAXABLE SALES-FOOD</v>
      </c>
      <c r="C15" s="23"/>
      <c r="D15" s="3">
        <f>--9071.38</f>
        <v>9071.3799999999992</v>
      </c>
      <c r="E15" s="3">
        <f>--31639.26</f>
        <v>31639.26</v>
      </c>
      <c r="F15" s="3">
        <f>--96459.53</f>
        <v>96459.53</v>
      </c>
      <c r="G15" s="3">
        <f>--137000.95</f>
        <v>137000.95000000001</v>
      </c>
      <c r="H15" s="3">
        <f>--77750.43</f>
        <v>77750.429999999993</v>
      </c>
      <c r="I15" s="3">
        <f>--82624.35</f>
        <v>82624.350000000006</v>
      </c>
      <c r="J15" s="3">
        <f>--9688.33</f>
        <v>9688.33</v>
      </c>
      <c r="K15" s="3">
        <f>--154168.59</f>
        <v>154168.59</v>
      </c>
      <c r="L15" s="3">
        <f>--211204.35</f>
        <v>211204.35</v>
      </c>
      <c r="M15" s="3">
        <f>--237765.24</f>
        <v>237765.24</v>
      </c>
      <c r="N15" s="3"/>
      <c r="O15" s="3"/>
      <c r="Q15" s="3">
        <f>SUM(OSRRefD11_4x)+IFERROR(SUM(OSRRefE11_4x),0)</f>
        <v>1047372.41</v>
      </c>
    </row>
    <row r="16" spans="1:18" ht="15" customHeight="1" x14ac:dyDescent="0.3">
      <c r="A16" s="6"/>
      <c r="B16" s="7"/>
      <c r="C16" s="6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Q16" s="4"/>
    </row>
    <row r="17" spans="1:17" s="39" customFormat="1" ht="15" customHeight="1" collapsed="1" x14ac:dyDescent="0.3">
      <c r="A17" s="24"/>
      <c r="B17" s="17" t="s">
        <v>284</v>
      </c>
      <c r="C17" s="23"/>
      <c r="D17" s="4">
        <f>SUM(OSRRefD14x_0)</f>
        <v>5059.3799999999992</v>
      </c>
      <c r="E17" s="4">
        <f>SUM(OSRRefD14x_1)</f>
        <v>14137.050000000003</v>
      </c>
      <c r="F17" s="4">
        <f>SUM(OSRRefD14x_2)</f>
        <v>51153.03</v>
      </c>
      <c r="G17" s="4">
        <f>SUM(OSRRefD14x_3)</f>
        <v>77772.61</v>
      </c>
      <c r="H17" s="4">
        <f>SUM(OSRRefD14x_4)</f>
        <v>42822.090000000004</v>
      </c>
      <c r="I17" s="4">
        <f>SUM(OSRRefD14x_5)</f>
        <v>42694.93</v>
      </c>
      <c r="J17" s="4">
        <f>SUM(OSRRefD14x_6)</f>
        <v>8748.619999999999</v>
      </c>
      <c r="K17" s="4">
        <f>SUM(OSRRefD14x_7)</f>
        <v>78542.459999999992</v>
      </c>
      <c r="L17" s="4">
        <f>SUM(OSRRefD14x_8)</f>
        <v>101614.43</v>
      </c>
      <c r="M17" s="4">
        <f>SUM(OSRRefD14x_9)</f>
        <v>94773.03</v>
      </c>
      <c r="N17" s="4">
        <f>SUM(OSRRefE14x_0)</f>
        <v>85269</v>
      </c>
      <c r="O17" s="4">
        <f>SUM(OSRRefE14x_1)</f>
        <v>27475</v>
      </c>
      <c r="Q17" s="4">
        <f>SUM(OSRRefG14x)</f>
        <v>630061.63</v>
      </c>
    </row>
    <row r="18" spans="1:17" s="39" customFormat="1" ht="15" hidden="1" customHeight="1" outlineLevel="1" x14ac:dyDescent="0.3">
      <c r="A18" s="24"/>
      <c r="B18" s="11" t="str">
        <f>CONCATENATE("          ","5000"," - ","PURCHASES @ COST")</f>
        <v xml:space="preserve">          5000 - PURCHASES @ COST</v>
      </c>
      <c r="C18" s="23"/>
      <c r="D18" s="3"/>
      <c r="E18" s="3"/>
      <c r="F18" s="3"/>
      <c r="G18" s="3"/>
      <c r="H18" s="3"/>
      <c r="I18" s="3"/>
      <c r="J18" s="3"/>
      <c r="K18" s="3"/>
      <c r="L18" s="3"/>
      <c r="M18" s="3"/>
      <c r="N18" s="3">
        <v>85269</v>
      </c>
      <c r="O18" s="3">
        <v>27475</v>
      </c>
      <c r="Q18" s="3">
        <f>SUM(OSRRefD14_0x)+IFERROR(SUM(OSRRefE14_0x),0)</f>
        <v>112744</v>
      </c>
    </row>
    <row r="19" spans="1:17" s="39" customFormat="1" ht="15" hidden="1" customHeight="1" outlineLevel="1" x14ac:dyDescent="0.3">
      <c r="A19" s="24"/>
      <c r="B19" s="11" t="str">
        <f>CONCATENATE("          ","5053"," - ","PURCHASES @ COST-FOOD")</f>
        <v xml:space="preserve">          5053 - PURCHASES @ COST-FOOD</v>
      </c>
      <c r="C19" s="23"/>
      <c r="D19" s="3">
        <v>8224.3799999999992</v>
      </c>
      <c r="E19" s="3">
        <v>37147.050000000003</v>
      </c>
      <c r="F19" s="3">
        <v>39127.43</v>
      </c>
      <c r="G19" s="3">
        <v>69862.070000000007</v>
      </c>
      <c r="H19" s="3">
        <v>38763.83</v>
      </c>
      <c r="I19" s="3">
        <v>23892.6</v>
      </c>
      <c r="J19" s="3">
        <v>12217.14</v>
      </c>
      <c r="K19" s="3">
        <v>67997.179999999993</v>
      </c>
      <c r="L19" s="3">
        <v>78261.679999999993</v>
      </c>
      <c r="M19" s="3">
        <v>75721.899999999994</v>
      </c>
      <c r="N19" s="3"/>
      <c r="O19" s="3"/>
      <c r="Q19" s="3">
        <f>SUM(OSRRefD14_1x)+IFERROR(SUM(OSRRefE14_1x),0)</f>
        <v>451215.26</v>
      </c>
    </row>
    <row r="20" spans="1:17" s="39" customFormat="1" ht="15" hidden="1" customHeight="1" outlineLevel="1" x14ac:dyDescent="0.3">
      <c r="A20" s="24"/>
      <c r="B20" s="11" t="str">
        <f>CONCATENATE("          ","5059"," - ","PURCHASES @ COST-FOOD")</f>
        <v xml:space="preserve">          5059 - PURCHASES @ COST-FOOD</v>
      </c>
      <c r="C20" s="23"/>
      <c r="D20" s="3">
        <v>-3165</v>
      </c>
      <c r="E20" s="3">
        <v>-23010</v>
      </c>
      <c r="F20" s="3">
        <v>12025.6</v>
      </c>
      <c r="G20" s="3">
        <v>7910.54</v>
      </c>
      <c r="H20" s="3">
        <v>4058.26</v>
      </c>
      <c r="I20" s="3">
        <v>18802.330000000002</v>
      </c>
      <c r="J20" s="3">
        <v>-3468.52</v>
      </c>
      <c r="K20" s="3">
        <v>10545.28</v>
      </c>
      <c r="L20" s="3">
        <v>23352.75</v>
      </c>
      <c r="M20" s="3">
        <v>19051.13</v>
      </c>
      <c r="N20" s="3"/>
      <c r="O20" s="3"/>
      <c r="Q20" s="3">
        <f>SUM(OSRRefD14_2x)+IFERROR(SUM(OSRRefE14_2x),0)</f>
        <v>66102.37000000001</v>
      </c>
    </row>
    <row r="21" spans="1:17" ht="15" customHeight="1" x14ac:dyDescent="0.3">
      <c r="A21" s="6"/>
      <c r="B21" s="7"/>
      <c r="C21" s="7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Q21" s="4"/>
    </row>
    <row r="22" spans="1:17" s="37" customFormat="1" ht="15" customHeight="1" x14ac:dyDescent="0.3">
      <c r="A22" s="7"/>
      <c r="B22" s="18" t="s">
        <v>285</v>
      </c>
      <c r="C22" s="18"/>
      <c r="D22" s="9">
        <f t="shared" ref="D22:O22" si="0">IFERROR(+D10-D17,0)</f>
        <v>14642.929999999998</v>
      </c>
      <c r="E22" s="9">
        <f t="shared" si="0"/>
        <v>38141.719999999994</v>
      </c>
      <c r="F22" s="9">
        <f t="shared" si="0"/>
        <v>79012.37</v>
      </c>
      <c r="G22" s="9">
        <f t="shared" si="0"/>
        <v>102767.44000000002</v>
      </c>
      <c r="H22" s="9">
        <f t="shared" si="0"/>
        <v>59493.779999999992</v>
      </c>
      <c r="I22" s="9">
        <f t="shared" si="0"/>
        <v>61210.94000000001</v>
      </c>
      <c r="J22" s="9">
        <f t="shared" si="0"/>
        <v>4729.1700000000019</v>
      </c>
      <c r="K22" s="9">
        <f t="shared" si="0"/>
        <v>137675.16</v>
      </c>
      <c r="L22" s="9">
        <f t="shared" si="0"/>
        <v>170054.37</v>
      </c>
      <c r="M22" s="9">
        <f t="shared" si="0"/>
        <v>205486.99000000002</v>
      </c>
      <c r="N22" s="9">
        <f t="shared" si="0"/>
        <v>160647</v>
      </c>
      <c r="O22" s="9">
        <f t="shared" si="0"/>
        <v>57101</v>
      </c>
      <c r="Q22" s="9">
        <f>IFERROR(+Q10-Q17,0)</f>
        <v>1090962.8700000001</v>
      </c>
    </row>
    <row r="23" spans="1:17" s="38" customFormat="1" ht="15" customHeight="1" x14ac:dyDescent="0.3">
      <c r="B23" s="17"/>
      <c r="C23" s="17"/>
      <c r="D23" s="5">
        <f t="shared" ref="D23:O23" si="1">IFERROR(D22/D10,0)</f>
        <v>0.74320879125341144</v>
      </c>
      <c r="E23" s="5">
        <f t="shared" si="1"/>
        <v>0.72958334712159445</v>
      </c>
      <c r="F23" s="5">
        <f t="shared" si="1"/>
        <v>0.60701515149187113</v>
      </c>
      <c r="G23" s="5">
        <f t="shared" si="1"/>
        <v>0.56922239691414733</v>
      </c>
      <c r="H23" s="5">
        <f t="shared" si="1"/>
        <v>0.5814716719898877</v>
      </c>
      <c r="I23" s="5">
        <f t="shared" si="1"/>
        <v>0.58909992284362767</v>
      </c>
      <c r="J23" s="5">
        <f t="shared" si="1"/>
        <v>0.35088616160364583</v>
      </c>
      <c r="K23" s="5">
        <f t="shared" si="1"/>
        <v>0.63674348094294997</v>
      </c>
      <c r="L23" s="5">
        <f t="shared" si="1"/>
        <v>0.62596209060444186</v>
      </c>
      <c r="M23" s="5">
        <f t="shared" si="1"/>
        <v>0.68436347269942899</v>
      </c>
      <c r="N23" s="5">
        <f t="shared" si="1"/>
        <v>0.65325964963646121</v>
      </c>
      <c r="O23" s="5">
        <f t="shared" si="1"/>
        <v>0.67514424895951575</v>
      </c>
      <c r="P23" s="19"/>
      <c r="Q23" s="5">
        <f>IFERROR(Q22/Q10,0)</f>
        <v>0.63390316058835894</v>
      </c>
    </row>
    <row r="24" spans="1:17" ht="15" customHeight="1" x14ac:dyDescent="0.3">
      <c r="A24" s="6"/>
      <c r="B24" s="7"/>
      <c r="C24" s="6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Q24" s="2"/>
    </row>
    <row r="25" spans="1:17" s="37" customFormat="1" ht="15" customHeight="1" x14ac:dyDescent="0.3">
      <c r="A25" s="7"/>
      <c r="B25" s="17" t="s">
        <v>286</v>
      </c>
      <c r="C25" s="7"/>
      <c r="D25" s="12" cm="1">
        <f t="array" ref="D25">SUM(OSRRefD20x_0)</f>
        <v>145851.13</v>
      </c>
      <c r="E25" s="12" cm="1">
        <f t="array" ref="E25">SUM(OSRRefD20x_1)</f>
        <v>201319.06</v>
      </c>
      <c r="F25" s="12" cm="1">
        <f t="array" ref="F25">SUM(OSRRefD20x_2)</f>
        <v>173920.11999999997</v>
      </c>
      <c r="G25" s="12" cm="1">
        <f t="array" ref="G25">SUM(OSRRefD20x_3)</f>
        <v>209534.14999999997</v>
      </c>
      <c r="H25" s="12" cm="1">
        <f t="array" ref="H25">SUM(OSRRefD20x_4)</f>
        <v>164464.44</v>
      </c>
      <c r="I25" s="12" cm="1">
        <f t="array" ref="I25">SUM(OSRRefD20x_5)</f>
        <v>179034.32000000004</v>
      </c>
      <c r="J25" s="12" cm="1">
        <f t="array" ref="J25">SUM(OSRRefD20x_6)</f>
        <v>166883.88999999998</v>
      </c>
      <c r="K25" s="12" cm="1">
        <f t="array" ref="K25">SUM(OSRRefD20x_7)</f>
        <v>197097.53</v>
      </c>
      <c r="L25" s="12" cm="1">
        <f t="array" ref="L25">SUM(OSRRefD20x_8)</f>
        <v>210446.3</v>
      </c>
      <c r="M25" s="12" cm="1">
        <f t="array" ref="M25">SUM(OSRRefD20x_9)</f>
        <v>244929.51</v>
      </c>
      <c r="N25" s="12" cm="1">
        <f t="array" ref="N25">SUM(OSRRefE20x_0)</f>
        <v>192253.49540401262</v>
      </c>
      <c r="O25" s="12" cm="1">
        <f t="array" ref="O25">SUM(OSRRefE20x_1)</f>
        <v>162444.63287386371</v>
      </c>
      <c r="Q25" s="12" cm="1">
        <f t="array" ref="Q25">SUM(OSRRefG20x)</f>
        <v>2248178.5782778771</v>
      </c>
    </row>
    <row r="26" spans="1:17" s="42" customFormat="1" ht="15" customHeight="1" collapsed="1" x14ac:dyDescent="0.3">
      <c r="A26" s="34"/>
      <c r="B26" s="15" t="str">
        <f>CONCATENATE("     ","*Benefits                                         ")</f>
        <v xml:space="preserve">     *Benefits                                         </v>
      </c>
      <c r="C26" s="15"/>
      <c r="D26" s="2">
        <f>SUM(OSRRefD21_0x_0)</f>
        <v>25335.059999999998</v>
      </c>
      <c r="E26" s="2">
        <f>SUM(OSRRefD21_0x_1)</f>
        <v>27914.86</v>
      </c>
      <c r="F26" s="2">
        <f>SUM(OSRRefD21_0x_2)</f>
        <v>28558.69</v>
      </c>
      <c r="G26" s="2">
        <f>SUM(OSRRefD21_0x_3)</f>
        <v>35927.879999999997</v>
      </c>
      <c r="H26" s="2">
        <f>SUM(OSRRefD21_0x_4)</f>
        <v>28911.850000000002</v>
      </c>
      <c r="I26" s="2">
        <f>SUM(OSRRefD21_0x_5)</f>
        <v>31050.93</v>
      </c>
      <c r="J26" s="2">
        <f>SUM(OSRRefD21_0x_6)</f>
        <v>37883.480000000003</v>
      </c>
      <c r="K26" s="2">
        <f>SUM(OSRRefD21_0x_7)</f>
        <v>29321.059999999998</v>
      </c>
      <c r="L26" s="2">
        <f>SUM(OSRRefD21_0x_8)</f>
        <v>30872.3</v>
      </c>
      <c r="M26" s="2">
        <f>SUM(OSRRefD21_0x_9)</f>
        <v>33726.42</v>
      </c>
      <c r="N26" s="2">
        <f>SUM(OSRRefE21_0x_0)</f>
        <v>30458.518384012619</v>
      </c>
      <c r="O26" s="2">
        <f>SUM(OSRRefE21_0x_1)</f>
        <v>29806.68083386372</v>
      </c>
      <c r="Q26" s="3">
        <f>SUM(OSRRefD20_0x)+IFERROR(SUM(OSRRefE20_0x),0)</f>
        <v>369767.72921787633</v>
      </c>
    </row>
    <row r="27" spans="1:17" s="42" customFormat="1" ht="15" hidden="1" customHeight="1" outlineLevel="1" x14ac:dyDescent="0.3">
      <c r="A27" s="34"/>
      <c r="B27" s="11" t="str">
        <f>CONCATENATE("          ","6111"," - ","F.I.C.A.")</f>
        <v xml:space="preserve">          6111 - F.I.C.A.</v>
      </c>
      <c r="C27" s="15"/>
      <c r="D27" s="3">
        <v>3198.56</v>
      </c>
      <c r="E27" s="3">
        <v>4256.6000000000004</v>
      </c>
      <c r="F27" s="3">
        <v>4304.3900000000003</v>
      </c>
      <c r="G27" s="3">
        <v>6021.07</v>
      </c>
      <c r="H27" s="3">
        <v>3988.72</v>
      </c>
      <c r="I27" s="3">
        <v>4623.21</v>
      </c>
      <c r="J27" s="3">
        <v>3785.51</v>
      </c>
      <c r="K27" s="3">
        <v>4519.47</v>
      </c>
      <c r="L27" s="3">
        <v>5062.03</v>
      </c>
      <c r="M27" s="3">
        <v>7281.06</v>
      </c>
      <c r="N27" s="3">
        <v>3835.1649550126099</v>
      </c>
      <c r="O27" s="3">
        <v>3540.0589689406102</v>
      </c>
      <c r="P27" s="10"/>
      <c r="Q27" s="3">
        <f>SUM(OSRRefD21_0_0x)+IFERROR(SUM(OSRRefE21_0_0x),0)</f>
        <v>54415.843923953216</v>
      </c>
    </row>
    <row r="28" spans="1:17" s="42" customFormat="1" ht="15" hidden="1" customHeight="1" outlineLevel="1" x14ac:dyDescent="0.3">
      <c r="A28" s="34"/>
      <c r="B28" s="11" t="str">
        <f>CONCATENATE("          ","6112"," - ","COMPENSATION INSURANCE")</f>
        <v xml:space="preserve">          6112 - COMPENSATION INSURANCE</v>
      </c>
      <c r="C28" s="15"/>
      <c r="D28" s="3">
        <v>1106.6199999999999</v>
      </c>
      <c r="E28" s="3">
        <v>1592.23</v>
      </c>
      <c r="F28" s="3">
        <v>2167.5</v>
      </c>
      <c r="G28" s="3">
        <v>3095.01</v>
      </c>
      <c r="H28" s="3">
        <v>1951.33</v>
      </c>
      <c r="I28" s="3">
        <v>2281.1</v>
      </c>
      <c r="J28" s="3">
        <v>1412.38</v>
      </c>
      <c r="K28" s="3">
        <v>2286.44</v>
      </c>
      <c r="L28" s="3">
        <v>3109.84</v>
      </c>
      <c r="M28" s="3">
        <v>2883.13</v>
      </c>
      <c r="N28" s="3">
        <v>3111.1263118669199</v>
      </c>
      <c r="O28" s="3">
        <v>2306.6535251569198</v>
      </c>
      <c r="P28" s="10"/>
      <c r="Q28" s="3">
        <f>SUM(OSRRefD21_0_1x)+IFERROR(SUM(OSRRefE21_0_1x),0)</f>
        <v>27303.359837023847</v>
      </c>
    </row>
    <row r="29" spans="1:17" s="42" customFormat="1" ht="15" hidden="1" customHeight="1" outlineLevel="1" x14ac:dyDescent="0.3">
      <c r="A29" s="34"/>
      <c r="B29" s="11" t="str">
        <f>CONCATENATE("          ","6113"," - ","GROUP INSURANCE")</f>
        <v xml:space="preserve">          6113 - GROUP INSURANCE</v>
      </c>
      <c r="C29" s="15"/>
      <c r="D29" s="3">
        <v>11932.59</v>
      </c>
      <c r="E29" s="3">
        <v>12571.09</v>
      </c>
      <c r="F29" s="3">
        <v>12646.1</v>
      </c>
      <c r="G29" s="3">
        <v>12571.1</v>
      </c>
      <c r="H29" s="3">
        <v>12571.1</v>
      </c>
      <c r="I29" s="3">
        <v>12639.58</v>
      </c>
      <c r="J29" s="3">
        <v>11880.48</v>
      </c>
      <c r="K29" s="3">
        <v>11880.48</v>
      </c>
      <c r="L29" s="3">
        <v>11880.48</v>
      </c>
      <c r="M29" s="3">
        <v>10058.31</v>
      </c>
      <c r="N29" s="3">
        <v>14576.723076923099</v>
      </c>
      <c r="O29" s="3">
        <v>15498.0461538462</v>
      </c>
      <c r="P29" s="10"/>
      <c r="Q29" s="3">
        <f>SUM(OSRRefD21_0_2x)+IFERROR(SUM(OSRRefE21_0_2x),0)</f>
        <v>150706.07923076928</v>
      </c>
    </row>
    <row r="30" spans="1:17" s="42" customFormat="1" ht="15" hidden="1" customHeight="1" outlineLevel="1" x14ac:dyDescent="0.3">
      <c r="A30" s="34"/>
      <c r="B30" s="11" t="str">
        <f>CONCATENATE("          ","6114"," - ","STATE UNEMPLOYMENT INSURANCE")</f>
        <v xml:space="preserve">          6114 - STATE UNEMPLOYMENT INSURANCE</v>
      </c>
      <c r="C30" s="15"/>
      <c r="D30" s="3">
        <v>108.7</v>
      </c>
      <c r="E30" s="3">
        <v>143.97</v>
      </c>
      <c r="F30" s="3">
        <v>186.82</v>
      </c>
      <c r="G30" s="3">
        <v>267.12</v>
      </c>
      <c r="H30" s="3">
        <v>171.05</v>
      </c>
      <c r="I30" s="3">
        <v>194.61</v>
      </c>
      <c r="J30" s="3">
        <v>132.13</v>
      </c>
      <c r="K30" s="3">
        <v>195.25</v>
      </c>
      <c r="L30" s="3">
        <v>254.72</v>
      </c>
      <c r="M30" s="3">
        <v>238.35</v>
      </c>
      <c r="N30" s="3">
        <v>172.38430751769201</v>
      </c>
      <c r="O30" s="3">
        <v>127.809298227692</v>
      </c>
      <c r="P30" s="10"/>
      <c r="Q30" s="3">
        <f>SUM(OSRRefD21_0_3x)+IFERROR(SUM(OSRRefE21_0_3x),0)</f>
        <v>2192.9136057453838</v>
      </c>
    </row>
    <row r="31" spans="1:17" s="42" customFormat="1" ht="15" hidden="1" customHeight="1" outlineLevel="1" x14ac:dyDescent="0.3">
      <c r="A31" s="34"/>
      <c r="B31" s="11" t="str">
        <f>CONCATENATE("          ","6115"," - ","P.E.R.S.")</f>
        <v xml:space="preserve">          6115 - P.E.R.S.</v>
      </c>
      <c r="C31" s="15"/>
      <c r="D31" s="3">
        <v>2989.03</v>
      </c>
      <c r="E31" s="3">
        <v>3152.51</v>
      </c>
      <c r="F31" s="3">
        <v>3152.51</v>
      </c>
      <c r="G31" s="3">
        <v>4728.7700000000004</v>
      </c>
      <c r="H31" s="3">
        <v>3325.3</v>
      </c>
      <c r="I31" s="3">
        <v>3682.62</v>
      </c>
      <c r="J31" s="3">
        <v>3175.7</v>
      </c>
      <c r="K31" s="3">
        <v>3154.69</v>
      </c>
      <c r="L31" s="3">
        <v>3081.52</v>
      </c>
      <c r="M31" s="3">
        <v>4424.92</v>
      </c>
      <c r="N31" s="3">
        <v>2801.24234307692</v>
      </c>
      <c r="O31" s="3">
        <v>2801.24234307692</v>
      </c>
      <c r="P31" s="10"/>
      <c r="Q31" s="3">
        <f>SUM(OSRRefD21_0_4x)+IFERROR(SUM(OSRRefE21_0_4x),0)</f>
        <v>40470.054686153839</v>
      </c>
    </row>
    <row r="32" spans="1:17" s="42" customFormat="1" ht="15" hidden="1" customHeight="1" outlineLevel="1" x14ac:dyDescent="0.3">
      <c r="A32" s="34"/>
      <c r="B32" s="11" t="str">
        <f>CONCATENATE("          ","6116"," - ","EDUCATIONAL BENEFITS")</f>
        <v xml:space="preserve">          6116 - EDUCATIONAL BENEFITS</v>
      </c>
      <c r="C32" s="15"/>
      <c r="D32" s="3"/>
      <c r="E32" s="3"/>
      <c r="F32" s="3"/>
      <c r="G32" s="3"/>
      <c r="H32" s="3"/>
      <c r="I32" s="3"/>
      <c r="J32" s="3"/>
      <c r="K32" s="3"/>
      <c r="L32" s="3"/>
      <c r="M32" s="3"/>
      <c r="N32" s="3">
        <v>0</v>
      </c>
      <c r="O32" s="3">
        <v>0</v>
      </c>
      <c r="P32" s="10"/>
      <c r="Q32" s="3">
        <f>SUM(OSRRefD21_0_5x)+IFERROR(SUM(OSRRefE21_0_5x),0)</f>
        <v>0</v>
      </c>
    </row>
    <row r="33" spans="1:17" s="42" customFormat="1" ht="15" hidden="1" customHeight="1" outlineLevel="1" x14ac:dyDescent="0.3">
      <c r="A33" s="34"/>
      <c r="B33" s="11" t="str">
        <f>CONCATENATE("          ","6117"," - ","RETIREMENT STAFF HOURLY")</f>
        <v xml:space="preserve">          6117 - RETIREMENT STAFF HOURLY</v>
      </c>
      <c r="C33" s="15"/>
      <c r="D33" s="3"/>
      <c r="E33" s="3"/>
      <c r="F33" s="3"/>
      <c r="G33" s="3"/>
      <c r="H33" s="3"/>
      <c r="I33" s="3"/>
      <c r="J33" s="3"/>
      <c r="K33" s="3"/>
      <c r="L33" s="3">
        <v>136.52000000000001</v>
      </c>
      <c r="M33" s="3">
        <v>56.4</v>
      </c>
      <c r="N33" s="3"/>
      <c r="O33" s="3"/>
      <c r="P33" s="10"/>
      <c r="Q33" s="3">
        <f>SUM(OSRRefD21_0_6x)+IFERROR(SUM(OSRRefE21_0_6x),0)</f>
        <v>192.92000000000002</v>
      </c>
    </row>
    <row r="34" spans="1:17" s="42" customFormat="1" ht="15" hidden="1" customHeight="1" outlineLevel="1" x14ac:dyDescent="0.3">
      <c r="A34" s="34"/>
      <c r="B34" s="11" t="str">
        <f>CONCATENATE("          ","6118"," - ","VACATION")</f>
        <v xml:space="preserve">          6118 - VACATION</v>
      </c>
      <c r="C34" s="15"/>
      <c r="D34" s="3">
        <v>2954.94</v>
      </c>
      <c r="E34" s="3">
        <v>2973.5</v>
      </c>
      <c r="F34" s="3">
        <v>2982.74</v>
      </c>
      <c r="G34" s="3">
        <v>4487.97</v>
      </c>
      <c r="H34" s="3">
        <v>3268.5</v>
      </c>
      <c r="I34" s="3">
        <v>3447.32</v>
      </c>
      <c r="J34" s="3">
        <v>5599.63</v>
      </c>
      <c r="K34" s="3">
        <v>3126.34</v>
      </c>
      <c r="L34" s="3">
        <v>3126.34</v>
      </c>
      <c r="M34" s="3">
        <v>4146.3599999999997</v>
      </c>
      <c r="N34" s="3">
        <v>2452.1257203076898</v>
      </c>
      <c r="O34" s="3">
        <v>2503.2834483076899</v>
      </c>
      <c r="P34" s="10"/>
      <c r="Q34" s="3">
        <f>SUM(OSRRefD21_0_7x)+IFERROR(SUM(OSRRefE21_0_7x),0)</f>
        <v>41069.049168615376</v>
      </c>
    </row>
    <row r="35" spans="1:17" s="42" customFormat="1" ht="15" hidden="1" customHeight="1" outlineLevel="1" x14ac:dyDescent="0.3">
      <c r="A35" s="34"/>
      <c r="B35" s="11" t="str">
        <f>CONCATENATE("          ","6119"," - ","SICK LEAVE")</f>
        <v xml:space="preserve">          6119 - SICK LEAVE</v>
      </c>
      <c r="C35" s="15"/>
      <c r="D35" s="3">
        <v>1898.78</v>
      </c>
      <c r="E35" s="3">
        <v>1911.66</v>
      </c>
      <c r="F35" s="3">
        <v>1922.83</v>
      </c>
      <c r="G35" s="3">
        <v>2900.7</v>
      </c>
      <c r="H35" s="3">
        <v>2122.29</v>
      </c>
      <c r="I35" s="3">
        <v>2396.88</v>
      </c>
      <c r="J35" s="3">
        <v>10406.469999999999</v>
      </c>
      <c r="K35" s="3">
        <v>2205.6</v>
      </c>
      <c r="L35" s="3">
        <v>2205.6</v>
      </c>
      <c r="M35" s="3">
        <v>3075.89</v>
      </c>
      <c r="N35" s="3">
        <v>1548.75166930769</v>
      </c>
      <c r="O35" s="3">
        <v>1084.58709630769</v>
      </c>
      <c r="P35" s="10"/>
      <c r="Q35" s="3">
        <f>SUM(OSRRefD21_0_8x)+IFERROR(SUM(OSRRefE21_0_8x),0)</f>
        <v>33680.038765615376</v>
      </c>
    </row>
    <row r="36" spans="1:17" s="42" customFormat="1" ht="15" hidden="1" customHeight="1" outlineLevel="1" x14ac:dyDescent="0.3">
      <c r="A36" s="34"/>
      <c r="B36" s="11" t="str">
        <f>CONCATENATE("          ","6156"," - ","EMPLOYEE MEALS")</f>
        <v xml:space="preserve">          6156 - EMPLOYEE MEALS</v>
      </c>
      <c r="C36" s="15"/>
      <c r="D36" s="3">
        <v>1145.8399999999999</v>
      </c>
      <c r="E36" s="3">
        <v>1313.3</v>
      </c>
      <c r="F36" s="3">
        <v>1195.8</v>
      </c>
      <c r="G36" s="3">
        <v>1856.14</v>
      </c>
      <c r="H36" s="3">
        <v>1513.56</v>
      </c>
      <c r="I36" s="3">
        <v>1785.61</v>
      </c>
      <c r="J36" s="3">
        <v>1491.18</v>
      </c>
      <c r="K36" s="3">
        <v>1952.79</v>
      </c>
      <c r="L36" s="3">
        <v>2015.25</v>
      </c>
      <c r="M36" s="3">
        <v>1562</v>
      </c>
      <c r="N36" s="3">
        <v>1961</v>
      </c>
      <c r="O36" s="3">
        <v>1945</v>
      </c>
      <c r="P36" s="10"/>
      <c r="Q36" s="3">
        <f>SUM(OSRRefD21_0_9x)+IFERROR(SUM(OSRRefE21_0_9x),0)</f>
        <v>19737.47</v>
      </c>
    </row>
    <row r="37" spans="1:17" s="42" customFormat="1" ht="15" customHeight="1" collapsed="1" x14ac:dyDescent="0.3">
      <c r="A37" s="34"/>
      <c r="B37" s="15" t="str">
        <f>CONCATENATE("     ","*Payroll                                          ")</f>
        <v xml:space="preserve">     *Payroll                                          </v>
      </c>
      <c r="C37" s="15"/>
      <c r="D37" s="2">
        <f>SUM(OSRRefD21_1x_0)</f>
        <v>52602.950000000004</v>
      </c>
      <c r="E37" s="2">
        <f>SUM(OSRRefD21_1x_1)</f>
        <v>58909.710000000006</v>
      </c>
      <c r="F37" s="2">
        <f>SUM(OSRRefD21_1x_2)</f>
        <v>68785.56</v>
      </c>
      <c r="G37" s="2">
        <f>SUM(OSRRefD21_1x_3)</f>
        <v>80221</v>
      </c>
      <c r="H37" s="2">
        <f>SUM(OSRRefD21_1x_4)</f>
        <v>61290.879999999997</v>
      </c>
      <c r="I37" s="2">
        <f>SUM(OSRRefD21_1x_5)</f>
        <v>69071.39</v>
      </c>
      <c r="J37" s="2">
        <f>SUM(OSRRefD21_1x_6)</f>
        <v>58309.85</v>
      </c>
      <c r="K37" s="2">
        <f>SUM(OSRRefD21_1x_7)</f>
        <v>80099.55</v>
      </c>
      <c r="L37" s="2">
        <f>SUM(OSRRefD21_1x_8)</f>
        <v>96922.94</v>
      </c>
      <c r="M37" s="2">
        <f>SUM(OSRRefD21_1x_9)</f>
        <v>111230.56999999999</v>
      </c>
      <c r="N37" s="2">
        <f>SUM(OSRRefE21_1x_0)</f>
        <v>78206.977019999991</v>
      </c>
      <c r="O37" s="2">
        <f>SUM(OSRRefE21_1x_1)</f>
        <v>57298.952039999996</v>
      </c>
      <c r="Q37" s="3">
        <f>SUM(OSRRefD20_1x)+IFERROR(SUM(OSRRefE20_1x),0)</f>
        <v>872950.32906000002</v>
      </c>
    </row>
    <row r="38" spans="1:17" s="42" customFormat="1" ht="15" hidden="1" customHeight="1" outlineLevel="1" x14ac:dyDescent="0.3">
      <c r="A38" s="34"/>
      <c r="B38" s="11" t="str">
        <f>CONCATENATE("          ","6001"," - ","ADMINISTRATIVE SALARIES")</f>
        <v xml:space="preserve">          6001 - ADMINISTRATIVE SALARIES</v>
      </c>
      <c r="C38" s="15"/>
      <c r="D38" s="3">
        <v>13836.28</v>
      </c>
      <c r="E38" s="3">
        <v>8855.42</v>
      </c>
      <c r="F38" s="3">
        <v>10515.82</v>
      </c>
      <c r="G38" s="3">
        <v>10516.14</v>
      </c>
      <c r="H38" s="3">
        <v>9209.65</v>
      </c>
      <c r="I38" s="3">
        <v>10936.46</v>
      </c>
      <c r="J38" s="3">
        <v>14390.06</v>
      </c>
      <c r="K38" s="3">
        <v>10936.46</v>
      </c>
      <c r="L38" s="3">
        <v>11512.06</v>
      </c>
      <c r="M38" s="3">
        <v>12087.68</v>
      </c>
      <c r="N38" s="3">
        <v>10268.307692307701</v>
      </c>
      <c r="O38" s="3">
        <v>10268.307692307701</v>
      </c>
      <c r="P38" s="10"/>
      <c r="Q38" s="3">
        <f>SUM(OSRRefD21_1_0x)+IFERROR(SUM(OSRRefE21_1_0x),0)</f>
        <v>133332.6453846154</v>
      </c>
    </row>
    <row r="39" spans="1:17" s="42" customFormat="1" ht="15" hidden="1" customHeight="1" outlineLevel="1" x14ac:dyDescent="0.3">
      <c r="A39" s="34"/>
      <c r="B39" s="11" t="str">
        <f>CONCATENATE("          ","6002"," - ","STAFF SALARIES")</f>
        <v xml:space="preserve">          6002 - STAFF SALARIES</v>
      </c>
      <c r="C39" s="15"/>
      <c r="D39" s="3">
        <v>23724.02</v>
      </c>
      <c r="E39" s="3">
        <v>20808.45</v>
      </c>
      <c r="F39" s="3">
        <v>19952.88</v>
      </c>
      <c r="G39" s="3">
        <v>25037.65</v>
      </c>
      <c r="H39" s="3">
        <v>21413.4</v>
      </c>
      <c r="I39" s="3">
        <v>24011.85</v>
      </c>
      <c r="J39" s="3">
        <v>24810.84</v>
      </c>
      <c r="K39" s="3">
        <v>20429.349999999999</v>
      </c>
      <c r="L39" s="3">
        <v>21494.53</v>
      </c>
      <c r="M39" s="3">
        <v>25200</v>
      </c>
      <c r="N39" s="3">
        <v>19788.263807692299</v>
      </c>
      <c r="O39" s="3">
        <v>19788.263807692299</v>
      </c>
      <c r="P39" s="10"/>
      <c r="Q39" s="3">
        <f>SUM(OSRRefD21_1_1x)+IFERROR(SUM(OSRRefE21_1_1x),0)</f>
        <v>266459.49761538458</v>
      </c>
    </row>
    <row r="40" spans="1:17" s="42" customFormat="1" ht="15" hidden="1" customHeight="1" outlineLevel="1" x14ac:dyDescent="0.3">
      <c r="A40" s="34"/>
      <c r="B40" s="11" t="str">
        <f>CONCATENATE("          ","6003"," - ","STAFF HOURLY-9 MONTH")</f>
        <v xml:space="preserve">          6003 - STAFF HOURLY-9 MONTH</v>
      </c>
      <c r="C40" s="15"/>
      <c r="D40" s="3"/>
      <c r="E40" s="3"/>
      <c r="F40" s="3"/>
      <c r="G40" s="3"/>
      <c r="H40" s="3"/>
      <c r="I40" s="3"/>
      <c r="J40" s="3"/>
      <c r="K40" s="3"/>
      <c r="L40" s="3"/>
      <c r="M40" s="3"/>
      <c r="N40" s="3">
        <v>0</v>
      </c>
      <c r="O40" s="3">
        <v>0</v>
      </c>
      <c r="P40" s="10"/>
      <c r="Q40" s="3">
        <f>SUM(OSRRefD21_1_2x)+IFERROR(SUM(OSRRefE21_1_2x),0)</f>
        <v>0</v>
      </c>
    </row>
    <row r="41" spans="1:17" s="42" customFormat="1" ht="15" hidden="1" customHeight="1" outlineLevel="1" x14ac:dyDescent="0.3">
      <c r="A41" s="34"/>
      <c r="B41" s="11" t="str">
        <f>CONCATENATE("          ","6004"," - ","STAFF HOURLY")</f>
        <v xml:space="preserve">          6004 - STAFF HOURLY</v>
      </c>
      <c r="C41" s="15"/>
      <c r="D41" s="3">
        <v>7726.26</v>
      </c>
      <c r="E41" s="3">
        <v>8001.1</v>
      </c>
      <c r="F41" s="3">
        <v>9010.67</v>
      </c>
      <c r="G41" s="3">
        <v>11612.94</v>
      </c>
      <c r="H41" s="3">
        <v>9039.24</v>
      </c>
      <c r="I41" s="3">
        <v>10196.1</v>
      </c>
      <c r="J41" s="3">
        <v>9378.99</v>
      </c>
      <c r="K41" s="3">
        <v>15764.86</v>
      </c>
      <c r="L41" s="3">
        <v>9723.27</v>
      </c>
      <c r="M41" s="3">
        <v>20034.490000000002</v>
      </c>
      <c r="N41" s="3">
        <v>15002.83272</v>
      </c>
      <c r="O41" s="3">
        <v>13000.327439999999</v>
      </c>
      <c r="P41" s="10"/>
      <c r="Q41" s="3">
        <f>SUM(OSRRefD21_1_3x)+IFERROR(SUM(OSRRefE21_1_3x),0)</f>
        <v>138491.08016000001</v>
      </c>
    </row>
    <row r="42" spans="1:17" s="42" customFormat="1" ht="15" hidden="1" customHeight="1" outlineLevel="1" x14ac:dyDescent="0.3">
      <c r="A42" s="34"/>
      <c r="B42" s="11" t="str">
        <f>CONCATENATE("          ","6005"," - ","TEMPORARY WAGES-HOURLY")</f>
        <v xml:space="preserve">          6005 - TEMPORARY WAGES-HOURLY</v>
      </c>
      <c r="C42" s="15"/>
      <c r="D42" s="3">
        <v>3353.39</v>
      </c>
      <c r="E42" s="3">
        <v>8869.26</v>
      </c>
      <c r="F42" s="3">
        <v>14430.67</v>
      </c>
      <c r="G42" s="3">
        <v>17018.73</v>
      </c>
      <c r="H42" s="3">
        <v>7818.74</v>
      </c>
      <c r="I42" s="3">
        <v>10986.73</v>
      </c>
      <c r="J42" s="3">
        <v>3234.96</v>
      </c>
      <c r="K42" s="3">
        <v>15345.36</v>
      </c>
      <c r="L42" s="3">
        <v>14098.88</v>
      </c>
      <c r="M42" s="3">
        <v>23609.31</v>
      </c>
      <c r="N42" s="3">
        <v>11265.885550000001</v>
      </c>
      <c r="O42" s="3">
        <v>11716.8531</v>
      </c>
      <c r="P42" s="10"/>
      <c r="Q42" s="3">
        <f>SUM(OSRRefD21_1_4x)+IFERROR(SUM(OSRRefE21_1_4x),0)</f>
        <v>141748.76865000001</v>
      </c>
    </row>
    <row r="43" spans="1:17" s="42" customFormat="1" ht="15" hidden="1" customHeight="1" outlineLevel="1" x14ac:dyDescent="0.3">
      <c r="A43" s="34"/>
      <c r="B43" s="11" t="str">
        <f>CONCATENATE("          ","6006"," - ","TEMPORARY PART TIME")</f>
        <v xml:space="preserve">          6006 - TEMPORARY PART TIME</v>
      </c>
      <c r="C43" s="15"/>
      <c r="D43" s="3"/>
      <c r="E43" s="3"/>
      <c r="F43" s="3"/>
      <c r="G43" s="3"/>
      <c r="H43" s="3"/>
      <c r="I43" s="3"/>
      <c r="J43" s="3"/>
      <c r="K43" s="3"/>
      <c r="L43" s="3"/>
      <c r="M43" s="3"/>
      <c r="N43" s="3">
        <v>0</v>
      </c>
      <c r="O43" s="3">
        <v>0</v>
      </c>
      <c r="P43" s="10"/>
      <c r="Q43" s="3">
        <f>SUM(OSRRefD21_1_5x)+IFERROR(SUM(OSRRefE21_1_5x),0)</f>
        <v>0</v>
      </c>
    </row>
    <row r="44" spans="1:17" s="42" customFormat="1" ht="15" hidden="1" customHeight="1" outlineLevel="1" x14ac:dyDescent="0.3">
      <c r="A44" s="34"/>
      <c r="B44" s="11" t="str">
        <f>CONCATENATE("          ","6007"," - ","STUDENT HOURLY")</f>
        <v xml:space="preserve">          6007 - STUDENT HOURLY</v>
      </c>
      <c r="C44" s="15"/>
      <c r="D44" s="3">
        <v>3963</v>
      </c>
      <c r="E44" s="3">
        <v>12375.48</v>
      </c>
      <c r="F44" s="3">
        <v>14875.52</v>
      </c>
      <c r="G44" s="3">
        <v>16035.54</v>
      </c>
      <c r="H44" s="3">
        <v>13809.85</v>
      </c>
      <c r="I44" s="3">
        <v>12940.25</v>
      </c>
      <c r="J44" s="3">
        <v>6495</v>
      </c>
      <c r="K44" s="3">
        <v>16481.919999999998</v>
      </c>
      <c r="L44" s="3">
        <v>38000.68</v>
      </c>
      <c r="M44" s="3">
        <v>26477.279999999999</v>
      </c>
      <c r="N44" s="3">
        <v>1895.0555999999999</v>
      </c>
      <c r="O44" s="3">
        <v>0</v>
      </c>
      <c r="P44" s="10"/>
      <c r="Q44" s="3">
        <f>SUM(OSRRefD21_1_6x)+IFERROR(SUM(OSRRefE21_1_6x),0)</f>
        <v>163349.57559999998</v>
      </c>
    </row>
    <row r="45" spans="1:17" s="42" customFormat="1" ht="15" hidden="1" customHeight="1" outlineLevel="1" x14ac:dyDescent="0.3">
      <c r="A45" s="34"/>
      <c r="B45" s="11" t="str">
        <f>CONCATENATE("          ","6008"," - ","STUDENT HOURLY-FICA EXEMPT")</f>
        <v xml:space="preserve">          6008 - STUDENT HOURLY-FICA EXEMPT</v>
      </c>
      <c r="C45" s="15"/>
      <c r="D45" s="3"/>
      <c r="E45" s="3"/>
      <c r="F45" s="3"/>
      <c r="G45" s="3"/>
      <c r="H45" s="3"/>
      <c r="I45" s="3"/>
      <c r="J45" s="3"/>
      <c r="K45" s="3">
        <v>1141.5999999999999</v>
      </c>
      <c r="L45" s="3">
        <v>2093.52</v>
      </c>
      <c r="M45" s="3">
        <v>3821.81</v>
      </c>
      <c r="N45" s="3">
        <v>19986.631649999999</v>
      </c>
      <c r="O45" s="3">
        <v>2525.1999999999998</v>
      </c>
      <c r="P45" s="10"/>
      <c r="Q45" s="3">
        <f>SUM(OSRRefD21_1_7x)+IFERROR(SUM(OSRRefE21_1_7x),0)</f>
        <v>29568.76165</v>
      </c>
    </row>
    <row r="46" spans="1:17" s="42" customFormat="1" ht="15" hidden="1" customHeight="1" outlineLevel="1" x14ac:dyDescent="0.3">
      <c r="A46" s="34"/>
      <c r="B46" s="11" t="str">
        <f>CONCATENATE("          ","6009"," - ","TEMPORARY-SEASONAL")</f>
        <v xml:space="preserve">          6009 - TEMPORARY-SEASONAL</v>
      </c>
      <c r="C46" s="15"/>
      <c r="D46" s="3"/>
      <c r="E46" s="3"/>
      <c r="F46" s="3"/>
      <c r="G46" s="3"/>
      <c r="H46" s="3"/>
      <c r="I46" s="3"/>
      <c r="J46" s="3"/>
      <c r="K46" s="3"/>
      <c r="L46" s="3"/>
      <c r="M46" s="3"/>
      <c r="N46" s="3">
        <v>0</v>
      </c>
      <c r="O46" s="3">
        <v>0</v>
      </c>
      <c r="P46" s="10"/>
      <c r="Q46" s="3">
        <f>SUM(OSRRefD21_1_8x)+IFERROR(SUM(OSRRefE21_1_8x),0)</f>
        <v>0</v>
      </c>
    </row>
    <row r="47" spans="1:17" s="42" customFormat="1" ht="15" hidden="1" customHeight="1" outlineLevel="1" x14ac:dyDescent="0.3">
      <c r="A47" s="34"/>
      <c r="B47" s="11" t="str">
        <f>CONCATENATE("          ","6010"," - ","GRATUITY")</f>
        <v xml:space="preserve">          6010 - GRATUITY</v>
      </c>
      <c r="C47" s="15"/>
      <c r="D47" s="3"/>
      <c r="E47" s="3"/>
      <c r="F47" s="3"/>
      <c r="G47" s="3"/>
      <c r="H47" s="3"/>
      <c r="I47" s="3"/>
      <c r="J47" s="3"/>
      <c r="K47" s="3"/>
      <c r="L47" s="3"/>
      <c r="M47" s="3"/>
      <c r="N47" s="3">
        <v>0</v>
      </c>
      <c r="O47" s="3">
        <v>0</v>
      </c>
      <c r="P47" s="10"/>
      <c r="Q47" s="3">
        <f>SUM(OSRRefD21_1_9x)+IFERROR(SUM(OSRRefE21_1_9x),0)</f>
        <v>0</v>
      </c>
    </row>
    <row r="48" spans="1:17" s="42" customFormat="1" ht="15" customHeight="1" collapsed="1" x14ac:dyDescent="0.3">
      <c r="A48" s="34"/>
      <c r="B48" s="15" t="str">
        <f>CONCATENATE("     ","Advertising/Promo                                 ")</f>
        <v xml:space="preserve">     Advertising/Promo                                 </v>
      </c>
      <c r="C48" s="15"/>
      <c r="D48" s="2">
        <f>SUM(OSRRefD21_2x_0)</f>
        <v>424.79</v>
      </c>
      <c r="E48" s="2">
        <f>SUM(OSRRefD21_2x_1)</f>
        <v>47.5</v>
      </c>
      <c r="F48" s="2">
        <f>SUM(OSRRefD21_2x_2)</f>
        <v>200.77</v>
      </c>
      <c r="G48" s="2">
        <f>SUM(OSRRefD21_2x_3)</f>
        <v>50.23</v>
      </c>
      <c r="H48" s="2">
        <f>SUM(OSRRefD21_2x_4)</f>
        <v>146.54</v>
      </c>
      <c r="I48" s="2">
        <f>SUM(OSRRefD21_2x_5)</f>
        <v>43.53</v>
      </c>
      <c r="J48" s="2">
        <f>SUM(OSRRefD21_2x_6)</f>
        <v>261.93</v>
      </c>
      <c r="K48" s="2">
        <f>SUM(OSRRefD21_2x_7)</f>
        <v>153.55000000000001</v>
      </c>
      <c r="L48" s="2">
        <f>SUM(OSRRefD21_2x_8)</f>
        <v>213.04</v>
      </c>
      <c r="M48" s="2">
        <f>SUM(OSRRefD21_2x_9)</f>
        <v>602.39</v>
      </c>
      <c r="N48" s="2">
        <f>SUM(OSRRefE21_2x_0)</f>
        <v>0</v>
      </c>
      <c r="O48" s="2">
        <f>SUM(OSRRefE21_2x_1)</f>
        <v>0</v>
      </c>
      <c r="Q48" s="3">
        <f>SUM(OSRRefD20_2x)+IFERROR(SUM(OSRRefE20_2x),0)</f>
        <v>2144.27</v>
      </c>
    </row>
    <row r="49" spans="1:17" s="42" customFormat="1" ht="15" hidden="1" customHeight="1" outlineLevel="1" x14ac:dyDescent="0.3">
      <c r="A49" s="34"/>
      <c r="B49" s="11" t="str">
        <f>CONCATENATE("          ","6362"," - ","ADVERTISING EXPENSE")</f>
        <v xml:space="preserve">          6362 - ADVERTISING EXPENSE</v>
      </c>
      <c r="C49" s="15"/>
      <c r="D49" s="3">
        <v>424.79</v>
      </c>
      <c r="E49" s="3">
        <v>47.5</v>
      </c>
      <c r="F49" s="3">
        <v>200.77</v>
      </c>
      <c r="G49" s="3">
        <v>50.23</v>
      </c>
      <c r="H49" s="3">
        <v>146.54</v>
      </c>
      <c r="I49" s="3">
        <v>43.53</v>
      </c>
      <c r="J49" s="3">
        <v>261.93</v>
      </c>
      <c r="K49" s="3">
        <v>153.55000000000001</v>
      </c>
      <c r="L49" s="3">
        <v>213.04</v>
      </c>
      <c r="M49" s="3">
        <v>602.39</v>
      </c>
      <c r="N49" s="3"/>
      <c r="O49" s="3"/>
      <c r="P49" s="10"/>
      <c r="Q49" s="3">
        <f>SUM(OSRRefD21_2_0x)+IFERROR(SUM(OSRRefE21_2_0x),0)</f>
        <v>2144.27</v>
      </c>
    </row>
    <row r="50" spans="1:17" s="42" customFormat="1" ht="15" customHeight="1" collapsed="1" x14ac:dyDescent="0.3">
      <c r="A50" s="34"/>
      <c r="B50" s="15" t="str">
        <f>CONCATENATE("     ","Bad Debts/Over/Short                              ")</f>
        <v xml:space="preserve">     Bad Debts/Over/Short                              </v>
      </c>
      <c r="C50" s="15"/>
      <c r="D50" s="2">
        <f>SUM(OSRRefD21_3x_0)</f>
        <v>-19.02</v>
      </c>
      <c r="E50" s="2">
        <f>SUM(OSRRefD21_3x_1)</f>
        <v>-88.22</v>
      </c>
      <c r="F50" s="2">
        <f>SUM(OSRRefD21_3x_2)</f>
        <v>-8.0500000000000007</v>
      </c>
      <c r="G50" s="2">
        <f>SUM(OSRRefD21_3x_3)</f>
        <v>4.1900000000000004</v>
      </c>
      <c r="H50" s="2">
        <f>SUM(OSRRefD21_3x_4)</f>
        <v>4.1900000000000004</v>
      </c>
      <c r="I50" s="2">
        <f>SUM(OSRRefD21_3x_5)</f>
        <v>26</v>
      </c>
      <c r="J50" s="2">
        <f>SUM(OSRRefD21_3x_6)</f>
        <v>-1.04</v>
      </c>
      <c r="K50" s="2">
        <f>SUM(OSRRefD21_3x_7)</f>
        <v>0.56000000000000005</v>
      </c>
      <c r="L50" s="2">
        <f>SUM(OSRRefD21_3x_8)</f>
        <v>52.57</v>
      </c>
      <c r="M50" s="2">
        <f>SUM(OSRRefD21_3x_9)</f>
        <v>10.1</v>
      </c>
      <c r="N50" s="2">
        <f>SUM(OSRRefE21_3x_0)</f>
        <v>0</v>
      </c>
      <c r="O50" s="2">
        <f>SUM(OSRRefE21_3x_1)</f>
        <v>10</v>
      </c>
      <c r="Q50" s="3">
        <f>SUM(OSRRefD20_3x)+IFERROR(SUM(OSRRefE20_3x),0)</f>
        <v>-8.7199999999999989</v>
      </c>
    </row>
    <row r="51" spans="1:17" s="42" customFormat="1" ht="15" hidden="1" customHeight="1" outlineLevel="1" x14ac:dyDescent="0.3">
      <c r="A51" s="34"/>
      <c r="B51" s="11" t="str">
        <f>CONCATENATE("          ","6272"," - ","CASH (OVER/SHORT)")</f>
        <v xml:space="preserve">          6272 - CASH (OVER/SHORT)</v>
      </c>
      <c r="C51" s="15"/>
      <c r="D51" s="3">
        <v>-19.02</v>
      </c>
      <c r="E51" s="3">
        <v>-88.22</v>
      </c>
      <c r="F51" s="3">
        <v>-8.0500000000000007</v>
      </c>
      <c r="G51" s="3">
        <v>4.1900000000000004</v>
      </c>
      <c r="H51" s="3">
        <v>4.1900000000000004</v>
      </c>
      <c r="I51" s="3">
        <v>26</v>
      </c>
      <c r="J51" s="3">
        <v>-1.04</v>
      </c>
      <c r="K51" s="3">
        <v>0.56000000000000005</v>
      </c>
      <c r="L51" s="3">
        <v>52.57</v>
      </c>
      <c r="M51" s="3">
        <v>10.1</v>
      </c>
      <c r="N51" s="3"/>
      <c r="O51" s="3">
        <v>10</v>
      </c>
      <c r="P51" s="10"/>
      <c r="Q51" s="3">
        <f>SUM(OSRRefD21_3_0x)+IFERROR(SUM(OSRRefE21_3_0x),0)</f>
        <v>-8.7199999999999989</v>
      </c>
    </row>
    <row r="52" spans="1:17" s="42" customFormat="1" ht="15" customHeight="1" collapsed="1" x14ac:dyDescent="0.3">
      <c r="A52" s="34"/>
      <c r="B52" s="15" t="str">
        <f>CONCATENATE("     ","Bank/card Fees                                    ")</f>
        <v xml:space="preserve">     Bank/card Fees                                    </v>
      </c>
      <c r="C52" s="15"/>
      <c r="D52" s="2">
        <f>SUM(OSRRefD21_4x_0)</f>
        <v>933.25</v>
      </c>
      <c r="E52" s="2">
        <f>SUM(OSRRefD21_4x_1)</f>
        <v>2341.4699999999998</v>
      </c>
      <c r="F52" s="2">
        <f>SUM(OSRRefD21_4x_2)</f>
        <v>4771.99</v>
      </c>
      <c r="G52" s="2">
        <f>SUM(OSRRefD21_4x_3)</f>
        <v>6282.4</v>
      </c>
      <c r="H52" s="2">
        <f>SUM(OSRRefD21_4x_4)</f>
        <v>4350.6899999999996</v>
      </c>
      <c r="I52" s="2">
        <f>SUM(OSRRefD21_4x_5)</f>
        <v>3870.06</v>
      </c>
      <c r="J52" s="2">
        <f>SUM(OSRRefD21_4x_6)</f>
        <v>546.46</v>
      </c>
      <c r="K52" s="2">
        <f>SUM(OSRRefD21_4x_7)</f>
        <v>6237.34</v>
      </c>
      <c r="L52" s="2">
        <f>SUM(OSRRefD21_4x_8)</f>
        <v>9440.35</v>
      </c>
      <c r="M52" s="2">
        <f>SUM(OSRRefD21_4x_9)</f>
        <v>6980.11</v>
      </c>
      <c r="N52" s="2">
        <f>SUM(OSRRefE21_4x_0)</f>
        <v>11317</v>
      </c>
      <c r="O52" s="2">
        <f>SUM(OSRRefE21_4x_1)</f>
        <v>4464</v>
      </c>
      <c r="Q52" s="3">
        <f>SUM(OSRRefD20_4x)+IFERROR(SUM(OSRRefE20_4x),0)</f>
        <v>61535.12</v>
      </c>
    </row>
    <row r="53" spans="1:17" s="42" customFormat="1" ht="15" hidden="1" customHeight="1" outlineLevel="1" x14ac:dyDescent="0.3">
      <c r="A53" s="34"/>
      <c r="B53" s="11" t="str">
        <f>CONCATENATE("          ","6381"," - ","BANK/CREDIT CARD FEES")</f>
        <v xml:space="preserve">          6381 - BANK/CREDIT CARD FEES</v>
      </c>
      <c r="C53" s="15"/>
      <c r="D53" s="3">
        <v>933.25</v>
      </c>
      <c r="E53" s="3">
        <v>2341.4699999999998</v>
      </c>
      <c r="F53" s="3">
        <v>4771.99</v>
      </c>
      <c r="G53" s="3">
        <v>6282.4</v>
      </c>
      <c r="H53" s="3">
        <v>4350.6899999999996</v>
      </c>
      <c r="I53" s="3">
        <v>3870.06</v>
      </c>
      <c r="J53" s="3">
        <v>546.46</v>
      </c>
      <c r="K53" s="3">
        <v>6237.34</v>
      </c>
      <c r="L53" s="3">
        <v>9440.35</v>
      </c>
      <c r="M53" s="3">
        <v>6980.11</v>
      </c>
      <c r="N53" s="3">
        <v>11317</v>
      </c>
      <c r="O53" s="3">
        <v>4464</v>
      </c>
      <c r="P53" s="10"/>
      <c r="Q53" s="3">
        <f>SUM(OSRRefD21_4_0x)+IFERROR(SUM(OSRRefE21_4_0x),0)</f>
        <v>61535.12</v>
      </c>
    </row>
    <row r="54" spans="1:17" s="42" customFormat="1" ht="15" customHeight="1" collapsed="1" x14ac:dyDescent="0.3">
      <c r="A54" s="34"/>
      <c r="B54" s="15" t="str">
        <f>CONCATENATE("     ","Depreciation                                      ")</f>
        <v xml:space="preserve">     Depreciation                                      </v>
      </c>
      <c r="C54" s="15"/>
      <c r="D54" s="2">
        <f>SUM(OSRRefD21_5x_0)</f>
        <v>32826.11</v>
      </c>
      <c r="E54" s="2">
        <f>SUM(OSRRefD21_5x_1)</f>
        <v>32826.11</v>
      </c>
      <c r="F54" s="2">
        <f>SUM(OSRRefD21_5x_2)</f>
        <v>32782.04</v>
      </c>
      <c r="G54" s="2">
        <f>SUM(OSRRefD21_5x_3)</f>
        <v>32782.04</v>
      </c>
      <c r="H54" s="2">
        <f>SUM(OSRRefD21_5x_4)</f>
        <v>32782.04</v>
      </c>
      <c r="I54" s="2">
        <f>SUM(OSRRefD21_5x_5)</f>
        <v>32782.04</v>
      </c>
      <c r="J54" s="2">
        <f>SUM(OSRRefD21_5x_6)</f>
        <v>32782.04</v>
      </c>
      <c r="K54" s="2">
        <f>SUM(OSRRefD21_5x_7)</f>
        <v>32782.04</v>
      </c>
      <c r="L54" s="2">
        <f>SUM(OSRRefD21_5x_8)</f>
        <v>32207.24</v>
      </c>
      <c r="M54" s="2">
        <f>SUM(OSRRefD21_5x_9)</f>
        <v>36077.72</v>
      </c>
      <c r="N54" s="2">
        <f>SUM(OSRRefE21_5x_0)</f>
        <v>32208</v>
      </c>
      <c r="O54" s="2">
        <f>SUM(OSRRefE21_5x_1)</f>
        <v>32208</v>
      </c>
      <c r="Q54" s="3">
        <f>SUM(OSRRefD20_5x)+IFERROR(SUM(OSRRefE20_5x),0)</f>
        <v>395045.42000000004</v>
      </c>
    </row>
    <row r="55" spans="1:17" s="42" customFormat="1" ht="15" hidden="1" customHeight="1" outlineLevel="1" x14ac:dyDescent="0.3">
      <c r="A55" s="34"/>
      <c r="B55" s="11" t="str">
        <f>CONCATENATE("          ","6321"," - ","BUILDING DEPRECIATION")</f>
        <v xml:space="preserve">          6321 - BUILDING DEPRECIATION</v>
      </c>
      <c r="C55" s="15"/>
      <c r="D55" s="3">
        <v>23583.47</v>
      </c>
      <c r="E55" s="3">
        <v>23583.47</v>
      </c>
      <c r="F55" s="3">
        <v>23539.4</v>
      </c>
      <c r="G55" s="3">
        <v>23539.4</v>
      </c>
      <c r="H55" s="3">
        <v>23539.4</v>
      </c>
      <c r="I55" s="3">
        <v>23539.4</v>
      </c>
      <c r="J55" s="3">
        <v>23539.4</v>
      </c>
      <c r="K55" s="3">
        <v>23539.4</v>
      </c>
      <c r="L55" s="3">
        <v>23539.4</v>
      </c>
      <c r="M55" s="3">
        <v>23539.4</v>
      </c>
      <c r="N55" s="3"/>
      <c r="O55" s="3"/>
      <c r="P55" s="10"/>
      <c r="Q55" s="3">
        <f>SUM(OSRRefD21_5_0x)+IFERROR(SUM(OSRRefE21_5_0x),0)</f>
        <v>235482.13999999996</v>
      </c>
    </row>
    <row r="56" spans="1:17" s="42" customFormat="1" ht="15" hidden="1" customHeight="1" outlineLevel="1" x14ac:dyDescent="0.3">
      <c r="A56" s="34"/>
      <c r="B56" s="11" t="str">
        <f>CONCATENATE("          ","6322"," - ","EQUIPMENT DEPRECIATION EXPENSE")</f>
        <v xml:space="preserve">          6322 - EQUIPMENT DEPRECIATION EXPENSE</v>
      </c>
      <c r="C56" s="15"/>
      <c r="D56" s="3">
        <v>9242.64</v>
      </c>
      <c r="E56" s="3">
        <v>9242.64</v>
      </c>
      <c r="F56" s="3">
        <v>9242.64</v>
      </c>
      <c r="G56" s="3">
        <v>9242.64</v>
      </c>
      <c r="H56" s="3">
        <v>9242.64</v>
      </c>
      <c r="I56" s="3">
        <v>9242.64</v>
      </c>
      <c r="J56" s="3">
        <v>9242.64</v>
      </c>
      <c r="K56" s="3">
        <v>9242.64</v>
      </c>
      <c r="L56" s="3">
        <v>8667.84</v>
      </c>
      <c r="M56" s="3">
        <v>12538.32</v>
      </c>
      <c r="N56" s="3">
        <v>32208</v>
      </c>
      <c r="O56" s="3">
        <v>32208</v>
      </c>
      <c r="P56" s="10"/>
      <c r="Q56" s="3">
        <f>SUM(OSRRefD21_5_1x)+IFERROR(SUM(OSRRefE21_5_1x),0)</f>
        <v>159563.28</v>
      </c>
    </row>
    <row r="57" spans="1:17" s="42" customFormat="1" ht="15" customHeight="1" collapsed="1" x14ac:dyDescent="0.3">
      <c r="A57" s="34"/>
      <c r="B57" s="15" t="str">
        <f>CONCATENATE("     ","Employees' Appreciation                           ")</f>
        <v xml:space="preserve">     Employees' Appreciation                           </v>
      </c>
      <c r="C57" s="15"/>
      <c r="D57" s="2">
        <f>SUM(OSRRefD21_6x_0)</f>
        <v>0</v>
      </c>
      <c r="E57" s="2">
        <f>SUM(OSRRefD21_6x_1)</f>
        <v>18</v>
      </c>
      <c r="F57" s="2">
        <f>SUM(OSRRefD21_6x_2)</f>
        <v>0</v>
      </c>
      <c r="G57" s="2">
        <f>SUM(OSRRefD21_6x_3)</f>
        <v>123.17</v>
      </c>
      <c r="H57" s="2">
        <f>SUM(OSRRefD21_6x_4)</f>
        <v>0</v>
      </c>
      <c r="I57" s="2">
        <f>SUM(OSRRefD21_6x_5)</f>
        <v>173.7</v>
      </c>
      <c r="J57" s="2">
        <f>SUM(OSRRefD21_6x_6)</f>
        <v>0</v>
      </c>
      <c r="K57" s="2">
        <f>SUM(OSRRefD21_6x_7)</f>
        <v>0</v>
      </c>
      <c r="L57" s="2">
        <f>SUM(OSRRefD21_6x_8)</f>
        <v>0</v>
      </c>
      <c r="M57" s="2">
        <f>SUM(OSRRefD21_6x_9)</f>
        <v>61.45</v>
      </c>
      <c r="N57" s="2">
        <f>SUM(OSRRefE21_6x_0)</f>
        <v>90</v>
      </c>
      <c r="O57" s="2">
        <f>SUM(OSRRefE21_6x_1)</f>
        <v>0</v>
      </c>
      <c r="Q57" s="3">
        <f>SUM(OSRRefD20_6x)+IFERROR(SUM(OSRRefE20_6x),0)</f>
        <v>466.32</v>
      </c>
    </row>
    <row r="58" spans="1:17" s="42" customFormat="1" ht="15" hidden="1" customHeight="1" outlineLevel="1" x14ac:dyDescent="0.3">
      <c r="A58" s="34"/>
      <c r="B58" s="11" t="str">
        <f>CONCATENATE("          ","6277"," - ","EMPLOYEE APPRECIATION")</f>
        <v xml:space="preserve">          6277 - EMPLOYEE APPRECIATION</v>
      </c>
      <c r="C58" s="15"/>
      <c r="D58" s="3"/>
      <c r="E58" s="3">
        <v>18</v>
      </c>
      <c r="F58" s="3"/>
      <c r="G58" s="3">
        <v>123.17</v>
      </c>
      <c r="H58" s="3"/>
      <c r="I58" s="3">
        <v>173.7</v>
      </c>
      <c r="J58" s="3"/>
      <c r="K58" s="3"/>
      <c r="L58" s="3"/>
      <c r="M58" s="3">
        <v>61.45</v>
      </c>
      <c r="N58" s="3">
        <v>90</v>
      </c>
      <c r="O58" s="3"/>
      <c r="P58" s="10"/>
      <c r="Q58" s="3">
        <f>SUM(OSRRefD21_6_0x)+IFERROR(SUM(OSRRefE21_6_0x),0)</f>
        <v>466.32</v>
      </c>
    </row>
    <row r="59" spans="1:17" s="42" customFormat="1" ht="15" customHeight="1" collapsed="1" x14ac:dyDescent="0.3">
      <c r="A59" s="34"/>
      <c r="B59" s="15" t="str">
        <f>CONCATENATE("     ","Equipment Rental                                  ")</f>
        <v xml:space="preserve">     Equipment Rental                                  </v>
      </c>
      <c r="C59" s="15"/>
      <c r="D59" s="2">
        <f>SUM(OSRRefD21_7x_0)</f>
        <v>467.93</v>
      </c>
      <c r="E59" s="2">
        <f>SUM(OSRRefD21_7x_1)</f>
        <v>1239.52</v>
      </c>
      <c r="F59" s="2">
        <f>SUM(OSRRefD21_7x_2)</f>
        <v>91.26</v>
      </c>
      <c r="G59" s="2">
        <f>SUM(OSRRefD21_7x_3)</f>
        <v>1125.7</v>
      </c>
      <c r="H59" s="2">
        <f>SUM(OSRRefD21_7x_4)</f>
        <v>726.98</v>
      </c>
      <c r="I59" s="2">
        <f>SUM(OSRRefD21_7x_5)</f>
        <v>1716.76</v>
      </c>
      <c r="J59" s="2">
        <f>SUM(OSRRefD21_7x_6)</f>
        <v>958.04</v>
      </c>
      <c r="K59" s="2">
        <f>SUM(OSRRefD21_7x_7)</f>
        <v>1064.47</v>
      </c>
      <c r="L59" s="2">
        <f>SUM(OSRRefD21_7x_8)</f>
        <v>632.67999999999995</v>
      </c>
      <c r="M59" s="2">
        <f>SUM(OSRRefD21_7x_9)</f>
        <v>1997.37</v>
      </c>
      <c r="N59" s="2">
        <f>SUM(OSRRefE21_7x_0)</f>
        <v>775</v>
      </c>
      <c r="O59" s="2">
        <f>SUM(OSRRefE21_7x_1)</f>
        <v>775</v>
      </c>
      <c r="Q59" s="3">
        <f>SUM(OSRRefD20_7x)+IFERROR(SUM(OSRRefE20_7x),0)</f>
        <v>11570.71</v>
      </c>
    </row>
    <row r="60" spans="1:17" s="42" customFormat="1" ht="15" hidden="1" customHeight="1" outlineLevel="1" x14ac:dyDescent="0.3">
      <c r="A60" s="34"/>
      <c r="B60" s="11" t="str">
        <f>CONCATENATE("          ","6351"," - ","EQUIPMENT RENTAL")</f>
        <v xml:space="preserve">          6351 - EQUIPMENT RENTAL</v>
      </c>
      <c r="C60" s="15"/>
      <c r="D60" s="3">
        <v>467.93</v>
      </c>
      <c r="E60" s="3">
        <v>1239.52</v>
      </c>
      <c r="F60" s="3">
        <v>91.26</v>
      </c>
      <c r="G60" s="3">
        <v>1125.7</v>
      </c>
      <c r="H60" s="3">
        <v>726.98</v>
      </c>
      <c r="I60" s="3">
        <v>1716.76</v>
      </c>
      <c r="J60" s="3">
        <v>958.04</v>
      </c>
      <c r="K60" s="3">
        <v>1064.47</v>
      </c>
      <c r="L60" s="3">
        <v>632.67999999999995</v>
      </c>
      <c r="M60" s="3">
        <v>1997.37</v>
      </c>
      <c r="N60" s="3">
        <v>775</v>
      </c>
      <c r="O60" s="3">
        <v>775</v>
      </c>
      <c r="P60" s="10"/>
      <c r="Q60" s="3">
        <f>SUM(OSRRefD21_7_0x)+IFERROR(SUM(OSRRefE21_7_0x),0)</f>
        <v>11570.71</v>
      </c>
    </row>
    <row r="61" spans="1:17" s="42" customFormat="1" ht="15" customHeight="1" collapsed="1" x14ac:dyDescent="0.3">
      <c r="A61" s="34"/>
      <c r="B61" s="15" t="str">
        <f>CONCATENATE("     ","General                                           ")</f>
        <v xml:space="preserve">     General                                           </v>
      </c>
      <c r="C61" s="15"/>
      <c r="D61" s="2">
        <f>SUM(OSRRefD21_8x_0)</f>
        <v>165.28</v>
      </c>
      <c r="E61" s="2">
        <f>SUM(OSRRefD21_8x_1)</f>
        <v>12156.93</v>
      </c>
      <c r="F61" s="2">
        <f>SUM(OSRRefD21_8x_2)</f>
        <v>0</v>
      </c>
      <c r="G61" s="2">
        <f>SUM(OSRRefD21_8x_3)</f>
        <v>1768.05</v>
      </c>
      <c r="H61" s="2">
        <f>SUM(OSRRefD21_8x_4)</f>
        <v>0</v>
      </c>
      <c r="I61" s="2">
        <f>SUM(OSRRefD21_8x_5)</f>
        <v>710</v>
      </c>
      <c r="J61" s="2">
        <f>SUM(OSRRefD21_8x_6)</f>
        <v>1226.18</v>
      </c>
      <c r="K61" s="2">
        <f>SUM(OSRRefD21_8x_7)</f>
        <v>2435</v>
      </c>
      <c r="L61" s="2">
        <f>SUM(OSRRefD21_8x_8)</f>
        <v>1494.65</v>
      </c>
      <c r="M61" s="2">
        <f>SUM(OSRRefD21_8x_9)</f>
        <v>-316.45</v>
      </c>
      <c r="N61" s="2">
        <f>SUM(OSRRefE21_8x_0)</f>
        <v>0</v>
      </c>
      <c r="O61" s="2">
        <f>SUM(OSRRefE21_8x_1)</f>
        <v>0</v>
      </c>
      <c r="Q61" s="3">
        <f>SUM(OSRRefD20_8x)+IFERROR(SUM(OSRRefE20_8x),0)</f>
        <v>19639.640000000003</v>
      </c>
    </row>
    <row r="62" spans="1:17" s="42" customFormat="1" ht="15" hidden="1" customHeight="1" outlineLevel="1" x14ac:dyDescent="0.3">
      <c r="A62" s="34"/>
      <c r="B62" s="11" t="str">
        <f>CONCATENATE("          ","6279"," - ","GENERAL EXPENSE")</f>
        <v xml:space="preserve">          6279 - GENERAL EXPENSE</v>
      </c>
      <c r="C62" s="15"/>
      <c r="D62" s="3">
        <v>165.28</v>
      </c>
      <c r="E62" s="3">
        <v>12156.93</v>
      </c>
      <c r="F62" s="3"/>
      <c r="G62" s="3">
        <v>1768.05</v>
      </c>
      <c r="H62" s="3"/>
      <c r="I62" s="3">
        <v>710</v>
      </c>
      <c r="J62" s="3">
        <v>1226.18</v>
      </c>
      <c r="K62" s="3">
        <v>2435</v>
      </c>
      <c r="L62" s="3">
        <v>1494.65</v>
      </c>
      <c r="M62" s="3">
        <v>-316.45</v>
      </c>
      <c r="N62" s="3"/>
      <c r="O62" s="3"/>
      <c r="P62" s="10"/>
      <c r="Q62" s="3">
        <f>SUM(OSRRefD21_8_0x)+IFERROR(SUM(OSRRefE21_8_0x),0)</f>
        <v>19639.640000000003</v>
      </c>
    </row>
    <row r="63" spans="1:17" s="42" customFormat="1" ht="15" customHeight="1" collapsed="1" x14ac:dyDescent="0.3">
      <c r="A63" s="34"/>
      <c r="B63" s="15" t="str">
        <f>CONCATENATE("     ","Insurance                                         ")</f>
        <v xml:space="preserve">     Insurance                                         </v>
      </c>
      <c r="C63" s="15"/>
      <c r="D63" s="2">
        <f>SUM(OSRRefD21_9x_0)</f>
        <v>5756.21</v>
      </c>
      <c r="E63" s="2">
        <f>SUM(OSRRefD21_9x_1)</f>
        <v>5756.21</v>
      </c>
      <c r="F63" s="2">
        <f>SUM(OSRRefD21_9x_2)</f>
        <v>5756.21</v>
      </c>
      <c r="G63" s="2">
        <f>SUM(OSRRefD21_9x_3)</f>
        <v>12639.21</v>
      </c>
      <c r="H63" s="2">
        <f>SUM(OSRRefD21_9x_4)</f>
        <v>5756.21</v>
      </c>
      <c r="I63" s="2">
        <f>SUM(OSRRefD21_9x_5)</f>
        <v>5756.21</v>
      </c>
      <c r="J63" s="2">
        <f>SUM(OSRRefD21_9x_6)</f>
        <v>5756.21</v>
      </c>
      <c r="K63" s="2">
        <f>SUM(OSRRefD21_9x_7)</f>
        <v>5756.21</v>
      </c>
      <c r="L63" s="2">
        <f>SUM(OSRRefD21_9x_8)</f>
        <v>5756.21</v>
      </c>
      <c r="M63" s="2">
        <f>SUM(OSRRefD21_9x_9)</f>
        <v>5756.21</v>
      </c>
      <c r="N63" s="2">
        <f>SUM(OSRRefE21_9x_0)</f>
        <v>5670</v>
      </c>
      <c r="O63" s="2">
        <f>SUM(OSRRefE21_9x_1)</f>
        <v>5670</v>
      </c>
      <c r="Q63" s="3">
        <f>SUM(OSRRefD20_9x)+IFERROR(SUM(OSRRefE20_9x),0)</f>
        <v>75785.100000000006</v>
      </c>
    </row>
    <row r="64" spans="1:17" s="42" customFormat="1" ht="15" hidden="1" customHeight="1" outlineLevel="1" x14ac:dyDescent="0.3">
      <c r="A64" s="34"/>
      <c r="B64" s="11" t="str">
        <f>CONCATENATE("          ","6314"," - ","LIABILITY INSURANCE")</f>
        <v xml:space="preserve">          6314 - LIABILITY INSURANCE</v>
      </c>
      <c r="C64" s="15"/>
      <c r="D64" s="3">
        <v>5756.21</v>
      </c>
      <c r="E64" s="3">
        <v>5756.21</v>
      </c>
      <c r="F64" s="3">
        <v>5756.21</v>
      </c>
      <c r="G64" s="3">
        <v>12639.21</v>
      </c>
      <c r="H64" s="3">
        <v>5756.21</v>
      </c>
      <c r="I64" s="3">
        <v>5756.21</v>
      </c>
      <c r="J64" s="3">
        <v>5756.21</v>
      </c>
      <c r="K64" s="3">
        <v>5756.21</v>
      </c>
      <c r="L64" s="3">
        <v>5756.21</v>
      </c>
      <c r="M64" s="3">
        <v>5756.21</v>
      </c>
      <c r="N64" s="3">
        <v>5670</v>
      </c>
      <c r="O64" s="3">
        <v>5670</v>
      </c>
      <c r="P64" s="10"/>
      <c r="Q64" s="3">
        <f>SUM(OSRRefD21_9_0x)+IFERROR(SUM(OSRRefE21_9_0x),0)</f>
        <v>75785.100000000006</v>
      </c>
    </row>
    <row r="65" spans="1:17" s="42" customFormat="1" ht="15" customHeight="1" collapsed="1" x14ac:dyDescent="0.3">
      <c r="A65" s="34"/>
      <c r="B65" s="15" t="str">
        <f>CONCATENATE("     ","Interest                                          ")</f>
        <v xml:space="preserve">     Interest                                          </v>
      </c>
      <c r="C65" s="15"/>
      <c r="D65" s="2">
        <f>SUM(OSRRefD21_10x_0)</f>
        <v>7253</v>
      </c>
      <c r="E65" s="2">
        <f>SUM(OSRRefD21_10x_1)</f>
        <v>7253</v>
      </c>
      <c r="F65" s="2">
        <f>SUM(OSRRefD21_10x_2)</f>
        <v>7253</v>
      </c>
      <c r="G65" s="2">
        <f>SUM(OSRRefD21_10x_3)</f>
        <v>6739</v>
      </c>
      <c r="H65" s="2">
        <f>SUM(OSRRefD21_10x_4)</f>
        <v>7253</v>
      </c>
      <c r="I65" s="2">
        <f>SUM(OSRRefD21_10x_5)</f>
        <v>7253</v>
      </c>
      <c r="J65" s="2">
        <f>SUM(OSRRefD21_10x_6)</f>
        <v>7253</v>
      </c>
      <c r="K65" s="2">
        <f>SUM(OSRRefD21_10x_7)</f>
        <v>7253</v>
      </c>
      <c r="L65" s="2">
        <f>SUM(OSRRefD21_10x_8)</f>
        <v>7253</v>
      </c>
      <c r="M65" s="2">
        <f>SUM(OSRRefD21_10x_9)</f>
        <v>5629</v>
      </c>
      <c r="N65" s="2">
        <f>SUM(OSRRefE21_10x_0)</f>
        <v>6982</v>
      </c>
      <c r="O65" s="2">
        <f>SUM(OSRRefE21_10x_1)</f>
        <v>6982</v>
      </c>
      <c r="Q65" s="3">
        <f>SUM(OSRRefD20_10x)+IFERROR(SUM(OSRRefE20_10x),0)</f>
        <v>84356</v>
      </c>
    </row>
    <row r="66" spans="1:17" s="42" customFormat="1" ht="15" hidden="1" customHeight="1" outlineLevel="1" x14ac:dyDescent="0.3">
      <c r="A66" s="34"/>
      <c r="B66" s="11" t="str">
        <f>CONCATENATE("          ","6401"," - ","INTEREST EXPENSE")</f>
        <v xml:space="preserve">          6401 - INTEREST EXPENSE</v>
      </c>
      <c r="C66" s="15"/>
      <c r="D66" s="3">
        <v>7253</v>
      </c>
      <c r="E66" s="3">
        <v>7253</v>
      </c>
      <c r="F66" s="3">
        <v>7253</v>
      </c>
      <c r="G66" s="3">
        <v>6739</v>
      </c>
      <c r="H66" s="3">
        <v>7253</v>
      </c>
      <c r="I66" s="3">
        <v>7253</v>
      </c>
      <c r="J66" s="3">
        <v>7253</v>
      </c>
      <c r="K66" s="3">
        <v>7253</v>
      </c>
      <c r="L66" s="3">
        <v>7253</v>
      </c>
      <c r="M66" s="3">
        <v>5629</v>
      </c>
      <c r="N66" s="3">
        <v>6982</v>
      </c>
      <c r="O66" s="3">
        <v>6982</v>
      </c>
      <c r="P66" s="10"/>
      <c r="Q66" s="3">
        <f>SUM(OSRRefD21_10_0x)+IFERROR(SUM(OSRRefE21_10_0x),0)</f>
        <v>84356</v>
      </c>
    </row>
    <row r="67" spans="1:17" s="42" customFormat="1" ht="15" customHeight="1" collapsed="1" x14ac:dyDescent="0.3">
      <c r="A67" s="34"/>
      <c r="B67" s="15" t="str">
        <f>CONCATENATE("     ","Rent                                              ")</f>
        <v xml:space="preserve">     Rent                                              </v>
      </c>
      <c r="C67" s="15"/>
      <c r="D67" s="2">
        <f>SUM(OSRRefD21_11x_0)</f>
        <v>1850</v>
      </c>
      <c r="E67" s="2">
        <f>SUM(OSRRefD21_11x_1)</f>
        <v>1850</v>
      </c>
      <c r="F67" s="2">
        <f>SUM(OSRRefD21_11x_2)</f>
        <v>1850</v>
      </c>
      <c r="G67" s="2">
        <f>SUM(OSRRefD21_11x_3)</f>
        <v>1850</v>
      </c>
      <c r="H67" s="2">
        <f>SUM(OSRRefD21_11x_4)</f>
        <v>1850</v>
      </c>
      <c r="I67" s="2">
        <f>SUM(OSRRefD21_11x_5)</f>
        <v>1850</v>
      </c>
      <c r="J67" s="2">
        <f>SUM(OSRRefD21_11x_6)</f>
        <v>1850</v>
      </c>
      <c r="K67" s="2">
        <f>SUM(OSRRefD21_11x_7)</f>
        <v>1850</v>
      </c>
      <c r="L67" s="2">
        <f>SUM(OSRRefD21_11x_8)</f>
        <v>1850</v>
      </c>
      <c r="M67" s="2">
        <f>SUM(OSRRefD21_11x_9)</f>
        <v>1850</v>
      </c>
      <c r="N67" s="2">
        <f>SUM(OSRRefE21_11x_0)</f>
        <v>1850</v>
      </c>
      <c r="O67" s="2">
        <f>SUM(OSRRefE21_11x_1)</f>
        <v>1850</v>
      </c>
      <c r="Q67" s="3">
        <f>SUM(OSRRefD20_11x)+IFERROR(SUM(OSRRefE20_11x),0)</f>
        <v>22200</v>
      </c>
    </row>
    <row r="68" spans="1:17" s="42" customFormat="1" ht="15" hidden="1" customHeight="1" outlineLevel="1" x14ac:dyDescent="0.3">
      <c r="A68" s="34"/>
      <c r="B68" s="11" t="str">
        <f>CONCATENATE("          ","6273"," - ","RENT")</f>
        <v xml:space="preserve">          6273 - RENT</v>
      </c>
      <c r="C68" s="15"/>
      <c r="D68" s="3">
        <v>1850</v>
      </c>
      <c r="E68" s="3">
        <v>1850</v>
      </c>
      <c r="F68" s="3">
        <v>1850</v>
      </c>
      <c r="G68" s="3">
        <v>1850</v>
      </c>
      <c r="H68" s="3">
        <v>1850</v>
      </c>
      <c r="I68" s="3">
        <v>1850</v>
      </c>
      <c r="J68" s="3">
        <v>1850</v>
      </c>
      <c r="K68" s="3">
        <v>1850</v>
      </c>
      <c r="L68" s="3">
        <v>1850</v>
      </c>
      <c r="M68" s="3">
        <v>1850</v>
      </c>
      <c r="N68" s="3">
        <v>1850</v>
      </c>
      <c r="O68" s="3">
        <v>1850</v>
      </c>
      <c r="P68" s="10"/>
      <c r="Q68" s="3">
        <f>SUM(OSRRefD21_11_0x)+IFERROR(SUM(OSRRefE21_11_0x),0)</f>
        <v>22200</v>
      </c>
    </row>
    <row r="69" spans="1:17" s="42" customFormat="1" ht="15" customHeight="1" collapsed="1" x14ac:dyDescent="0.3">
      <c r="A69" s="34"/>
      <c r="B69" s="15" t="str">
        <f>CONCATENATE("     ","Repair and Maintenance                            ")</f>
        <v xml:space="preserve">     Repair and Maintenance                            </v>
      </c>
      <c r="C69" s="15"/>
      <c r="D69" s="2">
        <f>SUM(OSRRefD21_12x_0)</f>
        <v>3131.71</v>
      </c>
      <c r="E69" s="2">
        <f>SUM(OSRRefD21_12x_1)</f>
        <v>22493.54</v>
      </c>
      <c r="F69" s="2">
        <f>SUM(OSRRefD21_12x_2)</f>
        <v>3206.37</v>
      </c>
      <c r="G69" s="2">
        <f>SUM(OSRRefD21_12x_3)</f>
        <v>7679.84</v>
      </c>
      <c r="H69" s="2">
        <f>SUM(OSRRefD21_12x_4)</f>
        <v>5673.9500000000007</v>
      </c>
      <c r="I69" s="2">
        <f>SUM(OSRRefD21_12x_5)</f>
        <v>10702.599999999999</v>
      </c>
      <c r="J69" s="2">
        <f>SUM(OSRRefD21_12x_6)</f>
        <v>4310.3500000000004</v>
      </c>
      <c r="K69" s="2">
        <f>SUM(OSRRefD21_12x_7)</f>
        <v>4656</v>
      </c>
      <c r="L69" s="2">
        <f>SUM(OSRRefD21_12x_8)</f>
        <v>4021.2799999999997</v>
      </c>
      <c r="M69" s="2">
        <f>SUM(OSRRefD21_12x_9)</f>
        <v>17878.2</v>
      </c>
      <c r="N69" s="2">
        <f>SUM(OSRRefE21_12x_0)</f>
        <v>2679</v>
      </c>
      <c r="O69" s="2">
        <f>SUM(OSRRefE21_12x_1)</f>
        <v>1655</v>
      </c>
      <c r="Q69" s="3">
        <f>SUM(OSRRefD20_12x)+IFERROR(SUM(OSRRefE20_12x),0)</f>
        <v>88087.84</v>
      </c>
    </row>
    <row r="70" spans="1:17" s="42" customFormat="1" ht="15" hidden="1" customHeight="1" outlineLevel="1" x14ac:dyDescent="0.3">
      <c r="A70" s="34"/>
      <c r="B70" s="11" t="str">
        <f>CONCATENATE("          ","6371"," - ","COMPUTER SOFTWARE MAINTENANCE")</f>
        <v xml:space="preserve">          6371 - COMPUTER SOFTWARE MAINTENANCE</v>
      </c>
      <c r="C70" s="15"/>
      <c r="D70" s="3"/>
      <c r="E70" s="3">
        <v>5177.72</v>
      </c>
      <c r="F70" s="3"/>
      <c r="G70" s="3">
        <v>159.68</v>
      </c>
      <c r="H70" s="3">
        <v>380.32</v>
      </c>
      <c r="I70" s="3">
        <v>618.36</v>
      </c>
      <c r="J70" s="3">
        <v>481.09</v>
      </c>
      <c r="K70" s="3"/>
      <c r="L70" s="3">
        <v>783.7</v>
      </c>
      <c r="M70" s="3">
        <v>8966.19</v>
      </c>
      <c r="N70" s="3"/>
      <c r="O70" s="3"/>
      <c r="P70" s="10"/>
      <c r="Q70" s="3">
        <f>SUM(OSRRefD21_12_0x)+IFERROR(SUM(OSRRefE21_12_0x),0)</f>
        <v>16567.060000000001</v>
      </c>
    </row>
    <row r="71" spans="1:17" s="42" customFormat="1" ht="15" hidden="1" customHeight="1" outlineLevel="1" x14ac:dyDescent="0.3">
      <c r="A71" s="34"/>
      <c r="B71" s="11" t="str">
        <f>CONCATENATE("          ","6373"," - ","MAINTENANCE CONTRACTS")</f>
        <v xml:space="preserve">          6373 - MAINTENANCE CONTRACTS</v>
      </c>
      <c r="C71" s="15"/>
      <c r="D71" s="3">
        <v>0.87</v>
      </c>
      <c r="E71" s="3"/>
      <c r="F71" s="3">
        <v>885.91</v>
      </c>
      <c r="G71" s="3">
        <v>2926.42</v>
      </c>
      <c r="H71" s="3">
        <v>2846.3</v>
      </c>
      <c r="I71" s="3">
        <v>4447.13</v>
      </c>
      <c r="J71" s="3">
        <v>2634.51</v>
      </c>
      <c r="K71" s="3">
        <v>902.75</v>
      </c>
      <c r="L71" s="3">
        <v>1890.26</v>
      </c>
      <c r="M71" s="3">
        <v>-4.3499999999999996</v>
      </c>
      <c r="N71" s="3"/>
      <c r="O71" s="3"/>
      <c r="P71" s="10"/>
      <c r="Q71" s="3">
        <f>SUM(OSRRefD21_12_1x)+IFERROR(SUM(OSRRefE21_12_1x),0)</f>
        <v>16529.800000000003</v>
      </c>
    </row>
    <row r="72" spans="1:17" s="42" customFormat="1" ht="15" hidden="1" customHeight="1" outlineLevel="1" x14ac:dyDescent="0.3">
      <c r="A72" s="34"/>
      <c r="B72" s="11" t="str">
        <f>CONCATENATE("          ","6375"," - ","OUTSIDE REPAIRS &amp; MAINTENANCE")</f>
        <v xml:space="preserve">          6375 - OUTSIDE REPAIRS &amp; MAINTENANCE</v>
      </c>
      <c r="C72" s="15"/>
      <c r="D72" s="3">
        <v>3130.84</v>
      </c>
      <c r="E72" s="3">
        <v>17315.82</v>
      </c>
      <c r="F72" s="3">
        <v>2320.46</v>
      </c>
      <c r="G72" s="3">
        <v>4593.74</v>
      </c>
      <c r="H72" s="3">
        <v>2447.33</v>
      </c>
      <c r="I72" s="3">
        <v>5637.11</v>
      </c>
      <c r="J72" s="3">
        <v>1194.75</v>
      </c>
      <c r="K72" s="3">
        <v>3753.25</v>
      </c>
      <c r="L72" s="3">
        <v>1347.32</v>
      </c>
      <c r="M72" s="3">
        <v>8916.36</v>
      </c>
      <c r="N72" s="3">
        <v>2679</v>
      </c>
      <c r="O72" s="3">
        <v>1655</v>
      </c>
      <c r="P72" s="10"/>
      <c r="Q72" s="3">
        <f>SUM(OSRRefD21_12_2x)+IFERROR(SUM(OSRRefE21_12_2x),0)</f>
        <v>54990.98</v>
      </c>
    </row>
    <row r="73" spans="1:17" s="42" customFormat="1" ht="15" customHeight="1" collapsed="1" x14ac:dyDescent="0.3">
      <c r="A73" s="34"/>
      <c r="B73" s="15" t="str">
        <f>CONCATENATE("     ","Royalty &amp; Commissions                             ")</f>
        <v xml:space="preserve">     Royalty &amp; Commissions                             </v>
      </c>
      <c r="C73" s="15"/>
      <c r="D73" s="2">
        <f>SUM(OSRRefD21_13x_0)</f>
        <v>0</v>
      </c>
      <c r="E73" s="2">
        <f>SUM(OSRRefD21_13x_1)</f>
        <v>0</v>
      </c>
      <c r="F73" s="2">
        <f>SUM(OSRRefD21_13x_2)</f>
        <v>0</v>
      </c>
      <c r="G73" s="2">
        <f>SUM(OSRRefD21_13x_3)</f>
        <v>1066.22</v>
      </c>
      <c r="H73" s="2">
        <f>SUM(OSRRefD21_13x_4)</f>
        <v>366.22</v>
      </c>
      <c r="I73" s="2">
        <f>SUM(OSRRefD21_13x_5)</f>
        <v>412.47</v>
      </c>
      <c r="J73" s="2">
        <f>SUM(OSRRefD21_13x_6)</f>
        <v>0</v>
      </c>
      <c r="K73" s="2">
        <f>SUM(OSRRefD21_13x_7)</f>
        <v>1789.12</v>
      </c>
      <c r="L73" s="2">
        <f>SUM(OSRRefD21_13x_8)</f>
        <v>583.67999999999995</v>
      </c>
      <c r="M73" s="2">
        <f>SUM(OSRRefD21_13x_9)</f>
        <v>1845.35</v>
      </c>
      <c r="N73" s="2">
        <f>SUM(OSRRefE21_13x_0)</f>
        <v>0</v>
      </c>
      <c r="O73" s="2">
        <f>SUM(OSRRefE21_13x_1)</f>
        <v>0</v>
      </c>
      <c r="Q73" s="3">
        <f>SUM(OSRRefD20_13x)+IFERROR(SUM(OSRRefE20_13x),0)</f>
        <v>6063.0599999999995</v>
      </c>
    </row>
    <row r="74" spans="1:17" s="42" customFormat="1" ht="15" hidden="1" customHeight="1" outlineLevel="1" x14ac:dyDescent="0.3">
      <c r="A74" s="34"/>
      <c r="B74" s="11" t="str">
        <f>CONCATENATE("          ","6254"," - ","ROYALTY &amp; COMMISSIONS")</f>
        <v xml:space="preserve">          6254 - ROYALTY &amp; COMMISSIONS</v>
      </c>
      <c r="C74" s="15"/>
      <c r="D74" s="3"/>
      <c r="E74" s="3"/>
      <c r="F74" s="3"/>
      <c r="G74" s="3">
        <v>1066.22</v>
      </c>
      <c r="H74" s="3">
        <v>366.22</v>
      </c>
      <c r="I74" s="3">
        <v>412.47</v>
      </c>
      <c r="J74" s="3"/>
      <c r="K74" s="3">
        <v>1789.12</v>
      </c>
      <c r="L74" s="3">
        <v>583.67999999999995</v>
      </c>
      <c r="M74" s="3">
        <v>1845.35</v>
      </c>
      <c r="N74" s="3"/>
      <c r="O74" s="3"/>
      <c r="P74" s="10"/>
      <c r="Q74" s="3">
        <f>SUM(OSRRefD21_13_0x)+IFERROR(SUM(OSRRefE21_13_0x),0)</f>
        <v>6063.0599999999995</v>
      </c>
    </row>
    <row r="75" spans="1:17" s="42" customFormat="1" ht="15" customHeight="1" collapsed="1" x14ac:dyDescent="0.3">
      <c r="A75" s="34"/>
      <c r="B75" s="15" t="str">
        <f>CONCATENATE("     ","Services                                          ")</f>
        <v xml:space="preserve">     Services                                          </v>
      </c>
      <c r="C75" s="15"/>
      <c r="D75" s="2">
        <f>SUM(OSRRefD21_14x_0)</f>
        <v>4589.2299999999996</v>
      </c>
      <c r="E75" s="2">
        <f>SUM(OSRRefD21_14x_1)</f>
        <v>16013.769999999999</v>
      </c>
      <c r="F75" s="2">
        <f>SUM(OSRRefD21_14x_2)</f>
        <v>8395.5499999999993</v>
      </c>
      <c r="G75" s="2">
        <f>SUM(OSRRefD21_14x_3)</f>
        <v>6017.3700000000008</v>
      </c>
      <c r="H75" s="2">
        <f>SUM(OSRRefD21_14x_4)</f>
        <v>4708.99</v>
      </c>
      <c r="I75" s="2">
        <f>SUM(OSRRefD21_14x_5)</f>
        <v>2192.15</v>
      </c>
      <c r="J75" s="2">
        <f>SUM(OSRRefD21_14x_6)</f>
        <v>4215.22</v>
      </c>
      <c r="K75" s="2">
        <f>SUM(OSRRefD21_14x_7)</f>
        <v>9002.0400000000009</v>
      </c>
      <c r="L75" s="2">
        <f>SUM(OSRRefD21_14x_8)</f>
        <v>5671.2300000000005</v>
      </c>
      <c r="M75" s="2">
        <f>SUM(OSRRefD21_14x_9)</f>
        <v>7338.3799999999992</v>
      </c>
      <c r="N75" s="2">
        <f>SUM(OSRRefE21_14x_0)</f>
        <v>11005</v>
      </c>
      <c r="O75" s="2">
        <f>SUM(OSRRefE21_14x_1)</f>
        <v>11092</v>
      </c>
      <c r="Q75" s="3">
        <f>SUM(OSRRefD20_14x)+IFERROR(SUM(OSRRefE20_14x),0)</f>
        <v>90240.930000000008</v>
      </c>
    </row>
    <row r="76" spans="1:17" s="42" customFormat="1" ht="15" hidden="1" customHeight="1" outlineLevel="1" x14ac:dyDescent="0.3">
      <c r="A76" s="34"/>
      <c r="B76" s="11" t="str">
        <f>CONCATENATE("          ","6282"," - ","JANITORIAL/EXTERMINATOR EXPENS")</f>
        <v xml:space="preserve">          6282 - JANITORIAL/EXTERMINATOR EXPENS</v>
      </c>
      <c r="C76" s="15"/>
      <c r="D76" s="3">
        <v>670.1</v>
      </c>
      <c r="E76" s="3">
        <v>1021.65</v>
      </c>
      <c r="F76" s="3">
        <v>1021.65</v>
      </c>
      <c r="G76" s="3">
        <v>1437.06</v>
      </c>
      <c r="H76" s="3">
        <v>1021.65</v>
      </c>
      <c r="I76" s="3">
        <v>1409.65</v>
      </c>
      <c r="J76" s="3">
        <v>670.1</v>
      </c>
      <c r="K76" s="3">
        <v>1211.6500000000001</v>
      </c>
      <c r="L76" s="3">
        <v>1116.6500000000001</v>
      </c>
      <c r="M76" s="3">
        <v>1538.6</v>
      </c>
      <c r="N76" s="3">
        <v>1128</v>
      </c>
      <c r="O76" s="3">
        <v>1128</v>
      </c>
      <c r="P76" s="10"/>
      <c r="Q76" s="3">
        <f>SUM(OSRRefD21_14_0x)+IFERROR(SUM(OSRRefE21_14_0x),0)</f>
        <v>13374.76</v>
      </c>
    </row>
    <row r="77" spans="1:17" s="42" customFormat="1" ht="15" hidden="1" customHeight="1" outlineLevel="1" x14ac:dyDescent="0.3">
      <c r="A77" s="34"/>
      <c r="B77" s="11" t="str">
        <f>CONCATENATE("          ","6283"," - ","PLANT SERVICE")</f>
        <v xml:space="preserve">          6283 - PLANT SERVICE</v>
      </c>
      <c r="C77" s="15"/>
      <c r="D77" s="3"/>
      <c r="E77" s="3"/>
      <c r="F77" s="3"/>
      <c r="G77" s="3"/>
      <c r="H77" s="3"/>
      <c r="I77" s="3"/>
      <c r="J77" s="3"/>
      <c r="K77" s="3"/>
      <c r="L77" s="3"/>
      <c r="M77" s="3"/>
      <c r="N77" s="3">
        <v>100</v>
      </c>
      <c r="O77" s="3">
        <v>100</v>
      </c>
      <c r="P77" s="10"/>
      <c r="Q77" s="3">
        <f>SUM(OSRRefD21_14_1x)+IFERROR(SUM(OSRRefE21_14_1x),0)</f>
        <v>200</v>
      </c>
    </row>
    <row r="78" spans="1:17" s="42" customFormat="1" ht="15" hidden="1" customHeight="1" outlineLevel="1" x14ac:dyDescent="0.3">
      <c r="A78" s="34"/>
      <c r="B78" s="11" t="str">
        <f>CONCATENATE("          ","6284"," - ","TRASH REMOVAL EXPENSE")</f>
        <v xml:space="preserve">          6284 - TRASH REMOVAL EXPENSE</v>
      </c>
      <c r="C78" s="15"/>
      <c r="D78" s="3"/>
      <c r="E78" s="3"/>
      <c r="F78" s="3"/>
      <c r="G78" s="3"/>
      <c r="H78" s="3"/>
      <c r="I78" s="3"/>
      <c r="J78" s="3"/>
      <c r="K78" s="3"/>
      <c r="L78" s="3"/>
      <c r="M78" s="3"/>
      <c r="N78" s="3">
        <v>1000</v>
      </c>
      <c r="O78" s="3">
        <v>1000</v>
      </c>
      <c r="P78" s="10"/>
      <c r="Q78" s="3">
        <f>SUM(OSRRefD21_14_2x)+IFERROR(SUM(OSRRefE21_14_2x),0)</f>
        <v>2000</v>
      </c>
    </row>
    <row r="79" spans="1:17" s="42" customFormat="1" ht="15" hidden="1" customHeight="1" outlineLevel="1" x14ac:dyDescent="0.3">
      <c r="A79" s="34"/>
      <c r="B79" s="11" t="str">
        <f>CONCATENATE("          ","6285"," - ","JANITORIAL SERVICES")</f>
        <v xml:space="preserve">          6285 - JANITORIAL SERVICES</v>
      </c>
      <c r="C79" s="15"/>
      <c r="D79" s="3">
        <v>3759.39</v>
      </c>
      <c r="E79" s="3">
        <v>14832.38</v>
      </c>
      <c r="F79" s="3">
        <v>7166.13</v>
      </c>
      <c r="G79" s="3">
        <v>3804.38</v>
      </c>
      <c r="H79" s="3">
        <v>3385.52</v>
      </c>
      <c r="I79" s="3"/>
      <c r="J79" s="3">
        <v>3385.52</v>
      </c>
      <c r="K79" s="3">
        <v>7414.79</v>
      </c>
      <c r="L79" s="3">
        <v>4060.07</v>
      </c>
      <c r="M79" s="3">
        <v>4101.2</v>
      </c>
      <c r="N79" s="3">
        <v>8224</v>
      </c>
      <c r="O79" s="3">
        <v>8224</v>
      </c>
      <c r="P79" s="10"/>
      <c r="Q79" s="3">
        <f>SUM(OSRRefD21_14_3x)+IFERROR(SUM(OSRRefE21_14_3x),0)</f>
        <v>68357.38</v>
      </c>
    </row>
    <row r="80" spans="1:17" s="42" customFormat="1" ht="15" hidden="1" customHeight="1" outlineLevel="1" x14ac:dyDescent="0.3">
      <c r="A80" s="34"/>
      <c r="B80" s="11" t="str">
        <f>CONCATENATE("          ","6286"," - ","LAUNDRY EXPENSE")</f>
        <v xml:space="preserve">          6286 - LAUNDRY EXPENSE</v>
      </c>
      <c r="C80" s="15"/>
      <c r="D80" s="3">
        <v>159.74</v>
      </c>
      <c r="E80" s="3">
        <v>159.74</v>
      </c>
      <c r="F80" s="3">
        <v>207.77</v>
      </c>
      <c r="G80" s="3">
        <v>775.93</v>
      </c>
      <c r="H80" s="3">
        <v>301.82</v>
      </c>
      <c r="I80" s="3">
        <v>782.5</v>
      </c>
      <c r="J80" s="3">
        <v>159.6</v>
      </c>
      <c r="K80" s="3">
        <v>375.6</v>
      </c>
      <c r="L80" s="3">
        <v>494.51</v>
      </c>
      <c r="M80" s="3">
        <v>1698.58</v>
      </c>
      <c r="N80" s="3">
        <v>553</v>
      </c>
      <c r="O80" s="3">
        <v>640</v>
      </c>
      <c r="P80" s="10"/>
      <c r="Q80" s="3">
        <f>SUM(OSRRefD21_14_4x)+IFERROR(SUM(OSRRefE21_14_4x),0)</f>
        <v>6308.79</v>
      </c>
    </row>
    <row r="81" spans="1:17" s="42" customFormat="1" ht="15" customHeight="1" collapsed="1" x14ac:dyDescent="0.3">
      <c r="A81" s="34"/>
      <c r="B81" s="15" t="str">
        <f>CONCATENATE("     ","Subscriptions &amp; Dues                              ")</f>
        <v xml:space="preserve">     Subscriptions &amp; Dues                              </v>
      </c>
      <c r="C81" s="15"/>
      <c r="D81" s="2">
        <f>SUM(OSRRefD21_15x_0)</f>
        <v>130.66999999999999</v>
      </c>
      <c r="E81" s="2">
        <f>SUM(OSRRefD21_15x_1)</f>
        <v>593.59</v>
      </c>
      <c r="F81" s="2">
        <f>SUM(OSRRefD21_15x_2)</f>
        <v>408.93</v>
      </c>
      <c r="G81" s="2">
        <f>SUM(OSRRefD21_15x_3)</f>
        <v>813.81</v>
      </c>
      <c r="H81" s="2">
        <f>SUM(OSRRefD21_15x_4)</f>
        <v>569.5</v>
      </c>
      <c r="I81" s="2">
        <f>SUM(OSRRefD21_15x_5)</f>
        <v>1456.11</v>
      </c>
      <c r="J81" s="2">
        <f>SUM(OSRRefD21_15x_6)</f>
        <v>560.5</v>
      </c>
      <c r="K81" s="2">
        <f>SUM(OSRRefD21_15x_7)</f>
        <v>622.25</v>
      </c>
      <c r="L81" s="2">
        <f>SUM(OSRRefD21_15x_8)</f>
        <v>691.54</v>
      </c>
      <c r="M81" s="2">
        <f>SUM(OSRRefD21_15x_9)</f>
        <v>560.5</v>
      </c>
      <c r="N81" s="2">
        <f>SUM(OSRRefE21_15x_0)</f>
        <v>610</v>
      </c>
      <c r="O81" s="2">
        <f>SUM(OSRRefE21_15x_1)</f>
        <v>610</v>
      </c>
      <c r="Q81" s="3">
        <f>SUM(OSRRefD20_15x)+IFERROR(SUM(OSRRefE20_15x),0)</f>
        <v>7627.4</v>
      </c>
    </row>
    <row r="82" spans="1:17" s="42" customFormat="1" ht="15" hidden="1" customHeight="1" outlineLevel="1" x14ac:dyDescent="0.3">
      <c r="A82" s="34"/>
      <c r="B82" s="11" t="str">
        <f>CONCATENATE("          ","6275"," - ","SUBSCRIPTIONS")</f>
        <v xml:space="preserve">          6275 - SUBSCRIPTIONS</v>
      </c>
      <c r="C82" s="15"/>
      <c r="D82" s="3">
        <v>130.66999999999999</v>
      </c>
      <c r="E82" s="3">
        <v>593.59</v>
      </c>
      <c r="F82" s="3">
        <v>408.93</v>
      </c>
      <c r="G82" s="3">
        <v>813.81</v>
      </c>
      <c r="H82" s="3">
        <v>569.5</v>
      </c>
      <c r="I82" s="3">
        <v>1456.11</v>
      </c>
      <c r="J82" s="3">
        <v>560.5</v>
      </c>
      <c r="K82" s="3">
        <v>622.25</v>
      </c>
      <c r="L82" s="3">
        <v>691.54</v>
      </c>
      <c r="M82" s="3">
        <v>560.5</v>
      </c>
      <c r="N82" s="3">
        <v>610</v>
      </c>
      <c r="O82" s="3">
        <v>610</v>
      </c>
      <c r="P82" s="10"/>
      <c r="Q82" s="3">
        <f>SUM(OSRRefD21_15_0x)+IFERROR(SUM(OSRRefE21_15_0x),0)</f>
        <v>7627.4</v>
      </c>
    </row>
    <row r="83" spans="1:17" s="42" customFormat="1" ht="15" customHeight="1" collapsed="1" x14ac:dyDescent="0.3">
      <c r="A83" s="34"/>
      <c r="B83" s="15" t="str">
        <f>CONCATENATE("     ","Supplies                                          ")</f>
        <v xml:space="preserve">     Supplies                                          </v>
      </c>
      <c r="C83" s="15"/>
      <c r="D83" s="2">
        <f>SUM(OSRRefD21_16x_0)</f>
        <v>1730.4100000000003</v>
      </c>
      <c r="E83" s="2">
        <f>SUM(OSRRefD21_16x_1)</f>
        <v>3121.12</v>
      </c>
      <c r="F83" s="2">
        <f>SUM(OSRRefD21_16x_2)</f>
        <v>3070.52</v>
      </c>
      <c r="G83" s="2">
        <f>SUM(OSRRefD21_16x_3)</f>
        <v>7705.43</v>
      </c>
      <c r="H83" s="2">
        <f>SUM(OSRRefD21_16x_4)</f>
        <v>1318.71</v>
      </c>
      <c r="I83" s="2">
        <f>SUM(OSRRefD21_16x_5)</f>
        <v>1639.9199999999998</v>
      </c>
      <c r="J83" s="2">
        <f>SUM(OSRRefD21_16x_6)</f>
        <v>1901.02</v>
      </c>
      <c r="K83" s="2">
        <f>SUM(OSRRefD21_16x_7)</f>
        <v>4659.8899999999994</v>
      </c>
      <c r="L83" s="2">
        <f>SUM(OSRRefD21_16x_8)</f>
        <v>3973.4399999999996</v>
      </c>
      <c r="M83" s="2">
        <f>SUM(OSRRefD21_16x_9)</f>
        <v>4498.2399999999989</v>
      </c>
      <c r="N83" s="2">
        <f>SUM(OSRRefE21_16x_0)</f>
        <v>1225</v>
      </c>
      <c r="O83" s="2">
        <f>SUM(OSRRefE21_16x_1)</f>
        <v>1000</v>
      </c>
      <c r="Q83" s="3">
        <f>SUM(OSRRefD20_16x)+IFERROR(SUM(OSRRefE20_16x),0)</f>
        <v>35843.699999999997</v>
      </c>
    </row>
    <row r="84" spans="1:17" s="42" customFormat="1" ht="15" hidden="1" customHeight="1" outlineLevel="1" x14ac:dyDescent="0.3">
      <c r="A84" s="34"/>
      <c r="B84" s="11" t="str">
        <f>CONCATENATE("          ","6234"," - ","EXPENDABLE SUPPLIES &amp; EQUIPMEN")</f>
        <v xml:space="preserve">          6234 - EXPENDABLE SUPPLIES &amp; EQUIPMEN</v>
      </c>
      <c r="C84" s="15"/>
      <c r="D84" s="3"/>
      <c r="E84" s="3"/>
      <c r="F84" s="3"/>
      <c r="G84" s="3"/>
      <c r="H84" s="3"/>
      <c r="I84" s="3"/>
      <c r="J84" s="3">
        <v>57.77</v>
      </c>
      <c r="K84" s="3"/>
      <c r="L84" s="3">
        <v>108.73</v>
      </c>
      <c r="M84" s="3">
        <v>175.34</v>
      </c>
      <c r="N84" s="3"/>
      <c r="O84" s="3"/>
      <c r="P84" s="10"/>
      <c r="Q84" s="3">
        <f>SUM(OSRRefD21_16_0x)+IFERROR(SUM(OSRRefE21_16_0x),0)</f>
        <v>341.84000000000003</v>
      </c>
    </row>
    <row r="85" spans="1:17" s="42" customFormat="1" ht="15" hidden="1" customHeight="1" outlineLevel="1" x14ac:dyDescent="0.3">
      <c r="A85" s="34"/>
      <c r="B85" s="11" t="str">
        <f>CONCATENATE("          ","6235"," - ","COVID-19 EXPENSES")</f>
        <v xml:space="preserve">          6235 - COVID-19 EXPENSES</v>
      </c>
      <c r="C85" s="15"/>
      <c r="D85" s="3"/>
      <c r="E85" s="3"/>
      <c r="F85" s="3">
        <v>193.5</v>
      </c>
      <c r="G85" s="3"/>
      <c r="H85" s="3"/>
      <c r="I85" s="3"/>
      <c r="J85" s="3">
        <v>318.42</v>
      </c>
      <c r="K85" s="3"/>
      <c r="L85" s="3">
        <v>107.16</v>
      </c>
      <c r="M85" s="3"/>
      <c r="N85" s="3">
        <v>250</v>
      </c>
      <c r="O85" s="3">
        <v>225</v>
      </c>
      <c r="P85" s="10"/>
      <c r="Q85" s="3">
        <f>SUM(OSRRefD21_16_1x)+IFERROR(SUM(OSRRefE21_16_1x),0)</f>
        <v>1094.08</v>
      </c>
    </row>
    <row r="86" spans="1:17" s="42" customFormat="1" ht="15" hidden="1" customHeight="1" outlineLevel="1" x14ac:dyDescent="0.3">
      <c r="A86" s="34"/>
      <c r="B86" s="11" t="str">
        <f>CONCATENATE("          ","6237"," - ","JANITORIAL SUPPLIES")</f>
        <v xml:space="preserve">          6237 - JANITORIAL SUPPLIES</v>
      </c>
      <c r="C86" s="15"/>
      <c r="D86" s="3">
        <v>1002.17</v>
      </c>
      <c r="E86" s="3">
        <v>1045.24</v>
      </c>
      <c r="F86" s="3">
        <v>1597.32</v>
      </c>
      <c r="G86" s="3">
        <v>804.12</v>
      </c>
      <c r="H86" s="3">
        <v>583.25</v>
      </c>
      <c r="I86" s="3">
        <v>815.51</v>
      </c>
      <c r="J86" s="3"/>
      <c r="K86" s="3">
        <v>612.49</v>
      </c>
      <c r="L86" s="3">
        <v>414.52</v>
      </c>
      <c r="M86" s="3">
        <v>953.14</v>
      </c>
      <c r="N86" s="3">
        <v>225</v>
      </c>
      <c r="O86" s="3">
        <v>175</v>
      </c>
      <c r="P86" s="10"/>
      <c r="Q86" s="3">
        <f>SUM(OSRRefD21_16_2x)+IFERROR(SUM(OSRRefE21_16_2x),0)</f>
        <v>8227.7599999999984</v>
      </c>
    </row>
    <row r="87" spans="1:17" s="42" customFormat="1" ht="15" hidden="1" customHeight="1" outlineLevel="1" x14ac:dyDescent="0.3">
      <c r="A87" s="34"/>
      <c r="B87" s="11" t="str">
        <f>CONCATENATE("          ","6239"," - ","KITCHEN SUPPLIES")</f>
        <v xml:space="preserve">          6239 - KITCHEN SUPPLIES</v>
      </c>
      <c r="C87" s="15"/>
      <c r="D87" s="3">
        <v>32.03</v>
      </c>
      <c r="E87" s="3">
        <v>218.6</v>
      </c>
      <c r="F87" s="3">
        <v>820.56</v>
      </c>
      <c r="G87" s="3">
        <v>920.86</v>
      </c>
      <c r="H87" s="3">
        <v>291.81</v>
      </c>
      <c r="I87" s="3">
        <v>571.91999999999996</v>
      </c>
      <c r="J87" s="3">
        <v>675.86</v>
      </c>
      <c r="K87" s="3">
        <v>1167.4100000000001</v>
      </c>
      <c r="L87" s="3">
        <v>2501.89</v>
      </c>
      <c r="M87" s="3">
        <v>1727.21</v>
      </c>
      <c r="N87" s="3"/>
      <c r="O87" s="3"/>
      <c r="P87" s="10"/>
      <c r="Q87" s="3">
        <f>SUM(OSRRefD21_16_3x)+IFERROR(SUM(OSRRefE21_16_3x),0)</f>
        <v>8928.1500000000015</v>
      </c>
    </row>
    <row r="88" spans="1:17" s="42" customFormat="1" ht="15" hidden="1" customHeight="1" outlineLevel="1" x14ac:dyDescent="0.3">
      <c r="A88" s="34"/>
      <c r="B88" s="11" t="str">
        <f>CONCATENATE("          ","6241"," - ","OFFICE EXPENSE")</f>
        <v xml:space="preserve">          6241 - OFFICE EXPENSE</v>
      </c>
      <c r="C88" s="15"/>
      <c r="D88" s="3">
        <v>530.83000000000004</v>
      </c>
      <c r="E88" s="3">
        <v>1336.43</v>
      </c>
      <c r="F88" s="3">
        <v>194.6</v>
      </c>
      <c r="G88" s="3">
        <v>4114.0200000000004</v>
      </c>
      <c r="H88" s="3">
        <v>250.7</v>
      </c>
      <c r="I88" s="3">
        <v>185.82</v>
      </c>
      <c r="J88" s="3">
        <v>304.67</v>
      </c>
      <c r="K88" s="3">
        <v>432.76</v>
      </c>
      <c r="L88" s="3">
        <v>165.64</v>
      </c>
      <c r="M88" s="3">
        <v>97.93</v>
      </c>
      <c r="N88" s="3">
        <v>50</v>
      </c>
      <c r="O88" s="3"/>
      <c r="P88" s="10"/>
      <c r="Q88" s="3">
        <f>SUM(OSRRefD21_16_4x)+IFERROR(SUM(OSRRefE21_16_4x),0)</f>
        <v>7663.4000000000015</v>
      </c>
    </row>
    <row r="89" spans="1:17" s="42" customFormat="1" ht="15" hidden="1" customHeight="1" outlineLevel="1" x14ac:dyDescent="0.3">
      <c r="A89" s="34"/>
      <c r="B89" s="11" t="str">
        <f>CONCATENATE("          ","6243"," - ","PAPER SUPPLIES")</f>
        <v xml:space="preserve">          6243 - PAPER SUPPLIES</v>
      </c>
      <c r="C89" s="15"/>
      <c r="D89" s="3">
        <v>165.38</v>
      </c>
      <c r="E89" s="3">
        <v>320.85000000000002</v>
      </c>
      <c r="F89" s="3">
        <v>50.56</v>
      </c>
      <c r="G89" s="3">
        <v>648.79999999999995</v>
      </c>
      <c r="H89" s="3"/>
      <c r="I89" s="3">
        <v>66.67</v>
      </c>
      <c r="J89" s="3"/>
      <c r="K89" s="3">
        <v>569.65</v>
      </c>
      <c r="L89" s="3"/>
      <c r="M89" s="3">
        <v>1449.52</v>
      </c>
      <c r="N89" s="3">
        <v>600</v>
      </c>
      <c r="O89" s="3">
        <v>500</v>
      </c>
      <c r="P89" s="10"/>
      <c r="Q89" s="3">
        <f>SUM(OSRRefD21_16_5x)+IFERROR(SUM(OSRRefE21_16_5x),0)</f>
        <v>4371.43</v>
      </c>
    </row>
    <row r="90" spans="1:17" s="42" customFormat="1" ht="15" hidden="1" customHeight="1" outlineLevel="1" x14ac:dyDescent="0.3">
      <c r="A90" s="34"/>
      <c r="B90" s="11" t="str">
        <f>CONCATENATE("          ","6245"," - ","PRINTING")</f>
        <v xml:space="preserve">          6245 - PRINTING</v>
      </c>
      <c r="C90" s="15"/>
      <c r="D90" s="3"/>
      <c r="E90" s="3"/>
      <c r="F90" s="3"/>
      <c r="G90" s="3">
        <v>1071</v>
      </c>
      <c r="H90" s="3"/>
      <c r="I90" s="3"/>
      <c r="J90" s="3"/>
      <c r="K90" s="3"/>
      <c r="L90" s="3"/>
      <c r="M90" s="3"/>
      <c r="N90" s="3">
        <v>100</v>
      </c>
      <c r="O90" s="3">
        <v>100</v>
      </c>
      <c r="P90" s="10"/>
      <c r="Q90" s="3">
        <f>SUM(OSRRefD21_16_6x)+IFERROR(SUM(OSRRefE21_16_6x),0)</f>
        <v>1271</v>
      </c>
    </row>
    <row r="91" spans="1:17" s="42" customFormat="1" ht="15" hidden="1" customHeight="1" outlineLevel="1" x14ac:dyDescent="0.3">
      <c r="A91" s="34"/>
      <c r="B91" s="11" t="str">
        <f>CONCATENATE("          ","6247"," - ","STORE SUPPLIES")</f>
        <v xml:space="preserve">          6247 - STORE SUPPLIES</v>
      </c>
      <c r="C91" s="15"/>
      <c r="D91" s="3"/>
      <c r="E91" s="3">
        <v>200</v>
      </c>
      <c r="F91" s="3">
        <v>213.98</v>
      </c>
      <c r="G91" s="3">
        <v>146.63</v>
      </c>
      <c r="H91" s="3">
        <v>-60</v>
      </c>
      <c r="I91" s="3">
        <v>0</v>
      </c>
      <c r="J91" s="3">
        <v>195</v>
      </c>
      <c r="K91" s="3">
        <v>355.33</v>
      </c>
      <c r="L91" s="3">
        <v>10</v>
      </c>
      <c r="M91" s="3">
        <v>-103.35</v>
      </c>
      <c r="N91" s="3"/>
      <c r="O91" s="3"/>
      <c r="P91" s="10"/>
      <c r="Q91" s="3">
        <f>SUM(OSRRefD21_16_7x)+IFERROR(SUM(OSRRefE21_16_7x),0)</f>
        <v>957.59</v>
      </c>
    </row>
    <row r="92" spans="1:17" s="42" customFormat="1" ht="15" hidden="1" customHeight="1" outlineLevel="1" x14ac:dyDescent="0.3">
      <c r="A92" s="34"/>
      <c r="B92" s="11" t="str">
        <f>CONCATENATE("          ","6248"," - ","UNIFORMS")</f>
        <v xml:space="preserve">          6248 - UNIFORMS</v>
      </c>
      <c r="C92" s="15"/>
      <c r="D92" s="3"/>
      <c r="E92" s="3"/>
      <c r="F92" s="3"/>
      <c r="G92" s="3"/>
      <c r="H92" s="3">
        <v>252.95</v>
      </c>
      <c r="I92" s="3"/>
      <c r="J92" s="3">
        <v>349.3</v>
      </c>
      <c r="K92" s="3">
        <v>1522.25</v>
      </c>
      <c r="L92" s="3">
        <v>665.5</v>
      </c>
      <c r="M92" s="3">
        <v>198.45</v>
      </c>
      <c r="N92" s="3"/>
      <c r="O92" s="3"/>
      <c r="P92" s="10"/>
      <c r="Q92" s="3">
        <f>SUM(OSRRefD21_16_8x)+IFERROR(SUM(OSRRefE21_16_8x),0)</f>
        <v>2988.45</v>
      </c>
    </row>
    <row r="93" spans="1:17" s="42" customFormat="1" ht="15" customHeight="1" collapsed="1" x14ac:dyDescent="0.3">
      <c r="A93" s="34"/>
      <c r="B93" s="15" t="str">
        <f>CONCATENATE("     ","Telephone/Data Lines                              ")</f>
        <v xml:space="preserve">     Telephone/Data Lines                              </v>
      </c>
      <c r="C93" s="15"/>
      <c r="D93" s="2">
        <f>SUM(OSRRefD21_17x_0)</f>
        <v>523.54999999999995</v>
      </c>
      <c r="E93" s="2">
        <f>SUM(OSRRefD21_17x_1)</f>
        <v>721.95</v>
      </c>
      <c r="F93" s="2">
        <f>SUM(OSRRefD21_17x_2)</f>
        <v>647.28</v>
      </c>
      <c r="G93" s="2">
        <f>SUM(OSRRefD21_17x_3)</f>
        <v>988.61</v>
      </c>
      <c r="H93" s="2">
        <f>SUM(OSRRefD21_17x_4)</f>
        <v>586.1</v>
      </c>
      <c r="I93" s="2">
        <f>SUM(OSRRefD21_17x_5)</f>
        <v>177.45</v>
      </c>
      <c r="J93" s="2">
        <f>SUM(OSRRefD21_17x_6)</f>
        <v>920.65</v>
      </c>
      <c r="K93" s="2">
        <f>SUM(OSRRefD21_17x_7)</f>
        <v>662.8</v>
      </c>
      <c r="L93" s="2">
        <f>SUM(OSRRefD21_17x_8)</f>
        <v>660.15</v>
      </c>
      <c r="M93" s="2">
        <f>SUM(OSRRefD21_17x_9)</f>
        <v>1038</v>
      </c>
      <c r="N93" s="2">
        <f>SUM(OSRRefE21_17x_0)</f>
        <v>510</v>
      </c>
      <c r="O93" s="2">
        <f>SUM(OSRRefE21_17x_1)</f>
        <v>360</v>
      </c>
      <c r="Q93" s="3">
        <f>SUM(OSRRefD20_17x)+IFERROR(SUM(OSRRefE20_17x),0)</f>
        <v>7796.5399999999991</v>
      </c>
    </row>
    <row r="94" spans="1:17" s="42" customFormat="1" ht="15" hidden="1" customHeight="1" outlineLevel="1" x14ac:dyDescent="0.3">
      <c r="A94" s="34"/>
      <c r="B94" s="11" t="str">
        <f>CONCATENATE("          ","6303"," - ","DATA PHONE LINES")</f>
        <v xml:space="preserve">          6303 - DATA PHONE LINES</v>
      </c>
      <c r="C94" s="15"/>
      <c r="D94" s="3"/>
      <c r="E94" s="3"/>
      <c r="F94" s="3"/>
      <c r="G94" s="3"/>
      <c r="H94" s="3"/>
      <c r="I94" s="3"/>
      <c r="J94" s="3"/>
      <c r="K94" s="3"/>
      <c r="L94" s="3"/>
      <c r="M94" s="3"/>
      <c r="N94" s="3">
        <v>135</v>
      </c>
      <c r="O94" s="3">
        <v>135</v>
      </c>
      <c r="P94" s="10"/>
      <c r="Q94" s="3">
        <f>SUM(OSRRefD21_17_0x)+IFERROR(SUM(OSRRefE21_17_0x),0)</f>
        <v>270</v>
      </c>
    </row>
    <row r="95" spans="1:17" s="42" customFormat="1" ht="15" hidden="1" customHeight="1" outlineLevel="1" x14ac:dyDescent="0.3">
      <c r="A95" s="34"/>
      <c r="B95" s="11" t="str">
        <f>CONCATENATE("          ","6309"," - ","TELEPHONE")</f>
        <v xml:space="preserve">          6309 - TELEPHONE</v>
      </c>
      <c r="C95" s="15"/>
      <c r="D95" s="3">
        <v>523.54999999999995</v>
      </c>
      <c r="E95" s="3">
        <v>721.95</v>
      </c>
      <c r="F95" s="3">
        <v>647.28</v>
      </c>
      <c r="G95" s="3">
        <v>988.61</v>
      </c>
      <c r="H95" s="3">
        <v>586.1</v>
      </c>
      <c r="I95" s="3">
        <v>177.45</v>
      </c>
      <c r="J95" s="3">
        <v>920.65</v>
      </c>
      <c r="K95" s="3">
        <v>662.8</v>
      </c>
      <c r="L95" s="3">
        <v>660.15</v>
      </c>
      <c r="M95" s="3">
        <v>1038</v>
      </c>
      <c r="N95" s="3">
        <v>375</v>
      </c>
      <c r="O95" s="3">
        <v>225</v>
      </c>
      <c r="P95" s="10"/>
      <c r="Q95" s="3">
        <f>SUM(OSRRefD21_17_1x)+IFERROR(SUM(OSRRefE21_17_1x),0)</f>
        <v>7526.5399999999991</v>
      </c>
    </row>
    <row r="96" spans="1:17" s="42" customFormat="1" ht="15" customHeight="1" collapsed="1" x14ac:dyDescent="0.3">
      <c r="A96" s="34"/>
      <c r="B96" s="15" t="str">
        <f>CONCATENATE("     ","Training                                          ")</f>
        <v xml:space="preserve">     Training                                          </v>
      </c>
      <c r="C96" s="15"/>
      <c r="D96" s="2">
        <f>SUM(OSRRefD21_18x_0)</f>
        <v>0</v>
      </c>
      <c r="E96" s="2">
        <f>SUM(OSRRefD21_18x_1)</f>
        <v>0</v>
      </c>
      <c r="F96" s="2">
        <f>SUM(OSRRefD21_18x_2)</f>
        <v>0</v>
      </c>
      <c r="G96" s="2">
        <f>SUM(OSRRefD21_18x_3)</f>
        <v>0</v>
      </c>
      <c r="H96" s="2">
        <f>SUM(OSRRefD21_18x_4)</f>
        <v>0</v>
      </c>
      <c r="I96" s="2">
        <f>SUM(OSRRefD21_18x_5)</f>
        <v>0</v>
      </c>
      <c r="J96" s="2">
        <f>SUM(OSRRefD21_18x_6)</f>
        <v>0</v>
      </c>
      <c r="K96" s="2">
        <f>SUM(OSRRefD21_18x_7)</f>
        <v>480</v>
      </c>
      <c r="L96" s="2">
        <f>SUM(OSRRefD21_18x_8)</f>
        <v>0</v>
      </c>
      <c r="M96" s="2">
        <f>SUM(OSRRefD21_18x_9)</f>
        <v>15.95</v>
      </c>
      <c r="N96" s="2">
        <f>SUM(OSRRefE21_18x_0)</f>
        <v>0</v>
      </c>
      <c r="O96" s="2">
        <f>SUM(OSRRefE21_18x_1)</f>
        <v>0</v>
      </c>
      <c r="Q96" s="3">
        <f>SUM(OSRRefD20_18x)+IFERROR(SUM(OSRRefE20_18x),0)</f>
        <v>495.95</v>
      </c>
    </row>
    <row r="97" spans="1:17" s="42" customFormat="1" ht="15" hidden="1" customHeight="1" outlineLevel="1" x14ac:dyDescent="0.3">
      <c r="A97" s="34"/>
      <c r="B97" s="11" t="str">
        <f>CONCATENATE("          ","6376"," - ","TRAINING")</f>
        <v xml:space="preserve">          6376 - TRAINING</v>
      </c>
      <c r="C97" s="15"/>
      <c r="D97" s="3"/>
      <c r="E97" s="3"/>
      <c r="F97" s="3"/>
      <c r="G97" s="3"/>
      <c r="H97" s="3"/>
      <c r="I97" s="3"/>
      <c r="J97" s="3"/>
      <c r="K97" s="3">
        <v>480</v>
      </c>
      <c r="L97" s="3"/>
      <c r="M97" s="3">
        <v>15.95</v>
      </c>
      <c r="N97" s="3"/>
      <c r="O97" s="3"/>
      <c r="P97" s="10"/>
      <c r="Q97" s="3">
        <f>SUM(OSRRefD21_18_0x)+IFERROR(SUM(OSRRefE21_18_0x),0)</f>
        <v>495.95</v>
      </c>
    </row>
    <row r="98" spans="1:17" s="42" customFormat="1" ht="15" customHeight="1" collapsed="1" x14ac:dyDescent="0.3">
      <c r="A98" s="34"/>
      <c r="B98" s="15" t="str">
        <f>CONCATENATE("     ","Travel                                            ")</f>
        <v xml:space="preserve">     Travel                                            </v>
      </c>
      <c r="C98" s="15"/>
      <c r="D98" s="2">
        <f>SUM(OSRRefD21_19x_0)</f>
        <v>0</v>
      </c>
      <c r="E98" s="2">
        <f>SUM(OSRRefD21_19x_1)</f>
        <v>0</v>
      </c>
      <c r="F98" s="2">
        <f>SUM(OSRRefD21_19x_2)</f>
        <v>0</v>
      </c>
      <c r="G98" s="2">
        <f>SUM(OSRRefD21_19x_3)</f>
        <v>0</v>
      </c>
      <c r="H98" s="2">
        <f>SUM(OSRRefD21_19x_4)</f>
        <v>18.59</v>
      </c>
      <c r="I98" s="2">
        <f>SUM(OSRRefD21_19x_5)</f>
        <v>0</v>
      </c>
      <c r="J98" s="2">
        <f>SUM(OSRRefD21_19x_6)</f>
        <v>0</v>
      </c>
      <c r="K98" s="2">
        <f>SUM(OSRRefD21_19x_7)</f>
        <v>122.65</v>
      </c>
      <c r="L98" s="2">
        <f>SUM(OSRRefD21_19x_8)</f>
        <v>0</v>
      </c>
      <c r="M98" s="2">
        <f>SUM(OSRRefD21_19x_9)</f>
        <v>0</v>
      </c>
      <c r="N98" s="2">
        <f>SUM(OSRRefE21_19x_0)</f>
        <v>0</v>
      </c>
      <c r="O98" s="2">
        <f>SUM(OSRRefE21_19x_1)</f>
        <v>0</v>
      </c>
      <c r="Q98" s="3">
        <f>SUM(OSRRefD20_19x)+IFERROR(SUM(OSRRefE20_19x),0)</f>
        <v>141.24</v>
      </c>
    </row>
    <row r="99" spans="1:17" s="42" customFormat="1" ht="15" hidden="1" customHeight="1" outlineLevel="1" x14ac:dyDescent="0.3">
      <c r="A99" s="34"/>
      <c r="B99" s="11" t="str">
        <f>CONCATENATE("          ","6292"," - ","TRAVEL/CONFERENCE")</f>
        <v xml:space="preserve">          6292 - TRAVEL/CONFERENCE</v>
      </c>
      <c r="C99" s="15"/>
      <c r="D99" s="3"/>
      <c r="E99" s="3"/>
      <c r="F99" s="3"/>
      <c r="G99" s="3"/>
      <c r="H99" s="3">
        <v>18.59</v>
      </c>
      <c r="I99" s="3"/>
      <c r="J99" s="3"/>
      <c r="K99" s="3"/>
      <c r="L99" s="3"/>
      <c r="M99" s="3"/>
      <c r="N99" s="3"/>
      <c r="O99" s="3"/>
      <c r="P99" s="10"/>
      <c r="Q99" s="3">
        <f>SUM(OSRRefD21_19_0x)+IFERROR(SUM(OSRRefE21_19_0x),0)</f>
        <v>18.59</v>
      </c>
    </row>
    <row r="100" spans="1:17" s="42" customFormat="1" ht="15" hidden="1" customHeight="1" outlineLevel="1" x14ac:dyDescent="0.3">
      <c r="A100" s="34"/>
      <c r="B100" s="11" t="str">
        <f>CONCATENATE("          ","6298"," - ","VEHICLE MILEAGE")</f>
        <v xml:space="preserve">          6298 - VEHICLE MILEAGE</v>
      </c>
      <c r="C100" s="15"/>
      <c r="D100" s="3"/>
      <c r="E100" s="3"/>
      <c r="F100" s="3"/>
      <c r="G100" s="3"/>
      <c r="H100" s="3"/>
      <c r="I100" s="3"/>
      <c r="J100" s="3"/>
      <c r="K100" s="3">
        <v>122.65</v>
      </c>
      <c r="L100" s="3"/>
      <c r="M100" s="3"/>
      <c r="N100" s="3"/>
      <c r="O100" s="3"/>
      <c r="P100" s="10"/>
      <c r="Q100" s="3">
        <f>SUM(OSRRefD21_19_1x)+IFERROR(SUM(OSRRefE21_19_1x),0)</f>
        <v>122.65</v>
      </c>
    </row>
    <row r="101" spans="1:17" s="42" customFormat="1" ht="15" customHeight="1" collapsed="1" x14ac:dyDescent="0.3">
      <c r="A101" s="34"/>
      <c r="B101" s="15" t="str">
        <f>CONCATENATE("     ","Utilities                                         ")</f>
        <v xml:space="preserve">     Utilities                                         </v>
      </c>
      <c r="C101" s="15"/>
      <c r="D101" s="2">
        <f>SUM(OSRRefD21_20x_0)</f>
        <v>8150</v>
      </c>
      <c r="E101" s="2">
        <f>SUM(OSRRefD21_20x_1)</f>
        <v>8150</v>
      </c>
      <c r="F101" s="2">
        <f>SUM(OSRRefD21_20x_2)</f>
        <v>8150</v>
      </c>
      <c r="G101" s="2">
        <f>SUM(OSRRefD21_20x_3)</f>
        <v>5750</v>
      </c>
      <c r="H101" s="2">
        <f>SUM(OSRRefD21_20x_4)</f>
        <v>8150</v>
      </c>
      <c r="I101" s="2">
        <f>SUM(OSRRefD21_20x_5)</f>
        <v>8150</v>
      </c>
      <c r="J101" s="2">
        <f>SUM(OSRRefD21_20x_6)</f>
        <v>8150</v>
      </c>
      <c r="K101" s="2">
        <f>SUM(OSRRefD21_20x_7)</f>
        <v>8150</v>
      </c>
      <c r="L101" s="2">
        <f>SUM(OSRRefD21_20x_8)</f>
        <v>8150</v>
      </c>
      <c r="M101" s="2">
        <f>SUM(OSRRefD21_20x_9)</f>
        <v>8150</v>
      </c>
      <c r="N101" s="2">
        <f>SUM(OSRRefE21_20x_0)</f>
        <v>8667</v>
      </c>
      <c r="O101" s="2">
        <f>SUM(OSRRefE21_20x_1)</f>
        <v>8663</v>
      </c>
      <c r="Q101" s="3">
        <f>SUM(OSRRefD20_20x)+IFERROR(SUM(OSRRefE20_20x),0)</f>
        <v>96430</v>
      </c>
    </row>
    <row r="102" spans="1:17" s="42" customFormat="1" ht="15" hidden="1" customHeight="1" outlineLevel="1" x14ac:dyDescent="0.3">
      <c r="A102" s="34"/>
      <c r="B102" s="11" t="str">
        <f>CONCATENATE("          ","6274"," - ","UTILITIES")</f>
        <v xml:space="preserve">          6274 - UTILITIES</v>
      </c>
      <c r="C102" s="15"/>
      <c r="D102" s="3">
        <v>8150</v>
      </c>
      <c r="E102" s="3">
        <v>8150</v>
      </c>
      <c r="F102" s="3">
        <v>8150</v>
      </c>
      <c r="G102" s="3">
        <v>5750</v>
      </c>
      <c r="H102" s="3">
        <v>8150</v>
      </c>
      <c r="I102" s="3">
        <v>8150</v>
      </c>
      <c r="J102" s="3">
        <v>8150</v>
      </c>
      <c r="K102" s="3">
        <v>8150</v>
      </c>
      <c r="L102" s="3">
        <v>8150</v>
      </c>
      <c r="M102" s="3">
        <v>8150</v>
      </c>
      <c r="N102" s="3">
        <v>8667</v>
      </c>
      <c r="O102" s="3">
        <v>8663</v>
      </c>
      <c r="P102" s="10"/>
      <c r="Q102" s="3">
        <f>SUM(OSRRefD21_20_0x)+IFERROR(SUM(OSRRefE21_20_0x),0)</f>
        <v>96430</v>
      </c>
    </row>
    <row r="103" spans="1:17" s="40" customFormat="1" ht="15" customHeight="1" x14ac:dyDescent="0.3">
      <c r="A103" s="22"/>
      <c r="B103" s="22"/>
      <c r="C103" s="2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Q103" s="2"/>
    </row>
    <row r="104" spans="1:17" s="39" customFormat="1" ht="15" customHeight="1" x14ac:dyDescent="0.3">
      <c r="A104" s="24"/>
      <c r="B104" s="17" t="s">
        <v>287</v>
      </c>
      <c r="C104" s="23"/>
      <c r="D104" s="4">
        <f>--2655.42</f>
        <v>2655.42</v>
      </c>
      <c r="E104" s="4">
        <f>--11546.83</f>
        <v>11546.83</v>
      </c>
      <c r="F104" s="4">
        <f>--2991.8</f>
        <v>2991.8</v>
      </c>
      <c r="G104" s="4">
        <f>--6812.67</f>
        <v>6812.67</v>
      </c>
      <c r="H104" s="4">
        <f>--6011.63</f>
        <v>6011.63</v>
      </c>
      <c r="I104" s="4">
        <f>--104600.16</f>
        <v>104600.16</v>
      </c>
      <c r="J104" s="4">
        <f>--6523.34</f>
        <v>6523.34</v>
      </c>
      <c r="K104" s="4">
        <f>--2073.62</f>
        <v>2073.62</v>
      </c>
      <c r="L104" s="4">
        <f>--25319.38</f>
        <v>25319.38</v>
      </c>
      <c r="M104" s="4">
        <f>--6601.19</f>
        <v>6601.19</v>
      </c>
      <c r="N104" s="4">
        <v>29120.49</v>
      </c>
      <c r="O104" s="4">
        <v>12000</v>
      </c>
      <c r="Q104" s="3">
        <f>SUM(OSRRefD23_0x)+IFERROR(SUM(OSRRefE23_0x),0)</f>
        <v>216256.53000000003</v>
      </c>
    </row>
    <row r="105" spans="1:17" ht="15" customHeight="1" x14ac:dyDescent="0.3">
      <c r="A105" s="6"/>
      <c r="B105" s="7"/>
      <c r="C105" s="7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Q105" s="4"/>
    </row>
    <row r="106" spans="1:17" s="37" customFormat="1" ht="15" customHeight="1" x14ac:dyDescent="0.3">
      <c r="A106" s="7"/>
      <c r="B106" s="18" t="s">
        <v>288</v>
      </c>
      <c r="C106" s="18"/>
      <c r="D106" s="9">
        <f t="shared" ref="D106:O106" si="2">IFERROR(+D22-D25+D104,0)</f>
        <v>-128552.78000000001</v>
      </c>
      <c r="E106" s="9">
        <f t="shared" si="2"/>
        <v>-151630.51</v>
      </c>
      <c r="F106" s="9">
        <f t="shared" si="2"/>
        <v>-91915.949999999968</v>
      </c>
      <c r="G106" s="9">
        <f t="shared" si="2"/>
        <v>-99954.03999999995</v>
      </c>
      <c r="H106" s="9">
        <f t="shared" si="2"/>
        <v>-98959.03</v>
      </c>
      <c r="I106" s="9">
        <f t="shared" si="2"/>
        <v>-13223.22000000003</v>
      </c>
      <c r="J106" s="9">
        <f t="shared" si="2"/>
        <v>-155631.37999999998</v>
      </c>
      <c r="K106" s="9">
        <f t="shared" si="2"/>
        <v>-57348.749999999993</v>
      </c>
      <c r="L106" s="9">
        <f t="shared" si="2"/>
        <v>-15072.549999999992</v>
      </c>
      <c r="M106" s="9">
        <f t="shared" si="2"/>
        <v>-32841.329999999987</v>
      </c>
      <c r="N106" s="9">
        <f t="shared" si="2"/>
        <v>-2486.0054040126161</v>
      </c>
      <c r="O106" s="9">
        <f t="shared" si="2"/>
        <v>-93343.632873863709</v>
      </c>
      <c r="Q106" s="9">
        <f>IFERROR(+Q22-Q25+Q104,0)</f>
        <v>-940959.17827787693</v>
      </c>
    </row>
    <row r="107" spans="1:17" s="38" customFormat="1" ht="15" customHeight="1" x14ac:dyDescent="0.3">
      <c r="B107" s="17"/>
      <c r="C107" s="17"/>
      <c r="D107" s="5">
        <f t="shared" ref="D107:O107" si="3">IFERROR(D106/D10,0)</f>
        <v>-6.5247567417221646</v>
      </c>
      <c r="E107" s="5">
        <f t="shared" si="3"/>
        <v>-2.9004222937915336</v>
      </c>
      <c r="F107" s="5">
        <f t="shared" si="3"/>
        <v>-0.70614733254766604</v>
      </c>
      <c r="G107" s="5">
        <f t="shared" si="3"/>
        <v>-0.55363915098062699</v>
      </c>
      <c r="H107" s="5">
        <f t="shared" si="3"/>
        <v>-0.96719140442240292</v>
      </c>
      <c r="I107" s="5">
        <f t="shared" si="3"/>
        <v>-0.12726153007525012</v>
      </c>
      <c r="J107" s="5">
        <f t="shared" si="3"/>
        <v>-11.547247731267513</v>
      </c>
      <c r="K107" s="5">
        <f t="shared" si="3"/>
        <v>-0.26523624670366824</v>
      </c>
      <c r="L107" s="5">
        <f t="shared" si="3"/>
        <v>-5.5481343459388759E-2</v>
      </c>
      <c r="M107" s="5">
        <f t="shared" si="3"/>
        <v>-0.10937629991498697</v>
      </c>
      <c r="N107" s="5">
        <f t="shared" si="3"/>
        <v>-1.0109164934419134E-2</v>
      </c>
      <c r="O107" s="5">
        <f t="shared" si="3"/>
        <v>-1.1036657311041396</v>
      </c>
      <c r="P107" s="19"/>
      <c r="Q107" s="5">
        <f>IFERROR(Q106/Q10,0)</f>
        <v>-0.54674362757640982</v>
      </c>
    </row>
    <row r="108" spans="1:17" ht="15" customHeight="1" x14ac:dyDescent="0.3">
      <c r="A108" s="6"/>
      <c r="B108" s="7"/>
      <c r="C108" s="6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Q108" s="4"/>
    </row>
    <row r="109" spans="1:17" s="37" customFormat="1" ht="15" customHeight="1" x14ac:dyDescent="0.3">
      <c r="A109" s="26"/>
      <c r="B109" s="7" t="s">
        <v>289</v>
      </c>
      <c r="C109" s="7"/>
      <c r="D109" s="4">
        <v>9102.39</v>
      </c>
      <c r="E109" s="4">
        <v>1653.96</v>
      </c>
      <c r="F109" s="4">
        <v>14264.46</v>
      </c>
      <c r="G109" s="4">
        <v>19214.59</v>
      </c>
      <c r="H109" s="4">
        <v>13534.08</v>
      </c>
      <c r="I109" s="4">
        <v>13117.89</v>
      </c>
      <c r="J109" s="4">
        <v>8848.9</v>
      </c>
      <c r="K109" s="4">
        <v>22444.06</v>
      </c>
      <c r="L109" s="4">
        <v>27941.01</v>
      </c>
      <c r="M109" s="4">
        <v>27403.58</v>
      </c>
      <c r="N109" s="4">
        <v>32195</v>
      </c>
      <c r="O109" s="4">
        <v>-12096</v>
      </c>
      <c r="Q109" s="3">
        <f>SUM(OSRRefD28_0x)+IFERROR(SUM(OSRRefE28_0x),0)</f>
        <v>177623.91999999998</v>
      </c>
    </row>
    <row r="110" spans="1:17" ht="15" customHeight="1" x14ac:dyDescent="0.3">
      <c r="A110" s="6"/>
      <c r="B110" s="7"/>
      <c r="C110" s="7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Q110" s="4"/>
    </row>
    <row r="111" spans="1:17" s="37" customFormat="1" ht="15.75" customHeight="1" x14ac:dyDescent="0.3">
      <c r="A111" s="7"/>
      <c r="B111" s="18" t="s">
        <v>290</v>
      </c>
      <c r="C111" s="18"/>
      <c r="D111" s="8">
        <f t="shared" ref="D111:O111" si="4">IFERROR(+D106-D109,0)</f>
        <v>-137655.17000000001</v>
      </c>
      <c r="E111" s="8">
        <f t="shared" si="4"/>
        <v>-153284.47</v>
      </c>
      <c r="F111" s="8">
        <f t="shared" si="4"/>
        <v>-106180.40999999997</v>
      </c>
      <c r="G111" s="8">
        <f t="shared" si="4"/>
        <v>-119168.62999999995</v>
      </c>
      <c r="H111" s="8">
        <f t="shared" si="4"/>
        <v>-112493.11</v>
      </c>
      <c r="I111" s="8">
        <f t="shared" si="4"/>
        <v>-26341.11000000003</v>
      </c>
      <c r="J111" s="8">
        <f t="shared" si="4"/>
        <v>-164480.27999999997</v>
      </c>
      <c r="K111" s="8">
        <f t="shared" si="4"/>
        <v>-79792.81</v>
      </c>
      <c r="L111" s="8">
        <f t="shared" si="4"/>
        <v>-43013.55999999999</v>
      </c>
      <c r="M111" s="8">
        <f t="shared" si="4"/>
        <v>-60244.909999999989</v>
      </c>
      <c r="N111" s="8">
        <f t="shared" si="4"/>
        <v>-34681.005404012612</v>
      </c>
      <c r="O111" s="8">
        <f t="shared" si="4"/>
        <v>-81247.632873863709</v>
      </c>
      <c r="Q111" s="8">
        <f>IFERROR(+Q106-Q109,0)</f>
        <v>-1118583.0982778769</v>
      </c>
    </row>
    <row r="112" spans="1:17" ht="15.75" customHeight="1" x14ac:dyDescent="0.3">
      <c r="A112" s="6"/>
      <c r="B112" s="6"/>
      <c r="C112" s="6"/>
      <c r="D112" s="5">
        <f t="shared" ref="D112:O112" si="5">IFERROR(D111/D10,0)</f>
        <v>-6.9867528223847879</v>
      </c>
      <c r="E112" s="5">
        <f t="shared" si="5"/>
        <v>-2.9320596104307737</v>
      </c>
      <c r="F112" s="5">
        <f t="shared" si="5"/>
        <v>-0.81573451931158336</v>
      </c>
      <c r="G112" s="5">
        <f t="shared" si="5"/>
        <v>-0.66006755841709319</v>
      </c>
      <c r="H112" s="5">
        <f t="shared" si="5"/>
        <v>-1.0994688311793666</v>
      </c>
      <c r="I112" s="5">
        <f t="shared" si="5"/>
        <v>-0.25350935418759329</v>
      </c>
      <c r="J112" s="5">
        <f t="shared" si="5"/>
        <v>-12.203801958629713</v>
      </c>
      <c r="K112" s="5">
        <f t="shared" si="5"/>
        <v>-0.3690393502620184</v>
      </c>
      <c r="L112" s="5">
        <f t="shared" si="5"/>
        <v>-0.15833087936487367</v>
      </c>
      <c r="M112" s="5">
        <f t="shared" si="5"/>
        <v>-0.20064246315576742</v>
      </c>
      <c r="N112" s="5">
        <f t="shared" si="5"/>
        <v>-0.14102785261639184</v>
      </c>
      <c r="O112" s="5">
        <f t="shared" si="5"/>
        <v>-0.9606464348498831</v>
      </c>
      <c r="P112" s="19"/>
      <c r="Q112" s="5">
        <f>IFERROR(Q111/Q10,0)</f>
        <v>-0.64995187359498763</v>
      </c>
    </row>
    <row r="113" spans="1:17" ht="15" customHeight="1" x14ac:dyDescent="0.3">
      <c r="A113" s="6"/>
      <c r="B113" s="6"/>
      <c r="C113" s="6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Q113" s="4"/>
    </row>
    <row r="114" spans="1:17" ht="15" customHeight="1" x14ac:dyDescent="0.3">
      <c r="A114" s="6"/>
      <c r="B114" s="6"/>
      <c r="C114" s="6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Q114" s="4"/>
    </row>
    <row r="115" spans="1:17" s="37" customFormat="1" ht="15.75" customHeight="1" x14ac:dyDescent="0.3">
      <c r="A115" s="7"/>
      <c r="B115" s="18" t="s">
        <v>293</v>
      </c>
      <c r="C115" s="18"/>
      <c r="D115" s="8">
        <f t="shared" ref="D115:O115" si="6">IFERROR(SUM(D111:D114),0)</f>
        <v>-137662.1567528224</v>
      </c>
      <c r="E115" s="8">
        <f t="shared" si="6"/>
        <v>-153287.40205961044</v>
      </c>
      <c r="F115" s="8">
        <f t="shared" si="6"/>
        <v>-106181.22573451929</v>
      </c>
      <c r="G115" s="8">
        <f t="shared" si="6"/>
        <v>-119169.29006755837</v>
      </c>
      <c r="H115" s="8">
        <f t="shared" si="6"/>
        <v>-112494.20946883118</v>
      </c>
      <c r="I115" s="8">
        <f t="shared" si="6"/>
        <v>-26341.363509354218</v>
      </c>
      <c r="J115" s="8">
        <f t="shared" si="6"/>
        <v>-164492.48380195859</v>
      </c>
      <c r="K115" s="8">
        <f t="shared" si="6"/>
        <v>-79793.17903935026</v>
      </c>
      <c r="L115" s="8">
        <f t="shared" si="6"/>
        <v>-43013.718330879354</v>
      </c>
      <c r="M115" s="8">
        <f t="shared" si="6"/>
        <v>-60245.110642463143</v>
      </c>
      <c r="N115" s="8">
        <f t="shared" si="6"/>
        <v>-34681.146431865229</v>
      </c>
      <c r="O115" s="8">
        <f t="shared" si="6"/>
        <v>-81248.593520298557</v>
      </c>
      <c r="Q115" s="8">
        <f>IFERROR(SUM(Q111:Q114),0)</f>
        <v>-1118583.7482297504</v>
      </c>
    </row>
    <row r="116" spans="1:17" ht="15.75" customHeight="1" x14ac:dyDescent="0.3">
      <c r="A116" s="6"/>
      <c r="C116" s="6"/>
      <c r="D116" s="5">
        <f t="shared" ref="D116:O116" si="7">IFERROR(D115/D10,0)</f>
        <v>-6.9871074383065954</v>
      </c>
      <c r="E116" s="5">
        <f t="shared" si="7"/>
        <v>-2.932115695522493</v>
      </c>
      <c r="F116" s="5">
        <f t="shared" si="7"/>
        <v>-0.81574078621906665</v>
      </c>
      <c r="G116" s="5">
        <f t="shared" si="7"/>
        <v>-0.66007121448985062</v>
      </c>
      <c r="H116" s="5">
        <f t="shared" si="7"/>
        <v>-1.0994795770082508</v>
      </c>
      <c r="I116" s="5">
        <f t="shared" si="7"/>
        <v>-0.25351179398578938</v>
      </c>
      <c r="J116" s="5">
        <f t="shared" si="7"/>
        <v>-12.204707433634043</v>
      </c>
      <c r="K116" s="5">
        <f t="shared" si="7"/>
        <v>-0.369041057057932</v>
      </c>
      <c r="L116" s="5">
        <f t="shared" si="7"/>
        <v>-0.1583314621733499</v>
      </c>
      <c r="M116" s="5">
        <f t="shared" si="7"/>
        <v>-0.20064313138480155</v>
      </c>
      <c r="N116" s="5">
        <f t="shared" si="7"/>
        <v>-0.14102842609616792</v>
      </c>
      <c r="O116" s="5">
        <f t="shared" si="7"/>
        <v>-0.96065779323092315</v>
      </c>
      <c r="P116" s="19"/>
      <c r="Q116" s="5">
        <f>IFERROR(Q115/Q10,0)</f>
        <v>-0.64995225124903822</v>
      </c>
    </row>
    <row r="117" spans="1:17" ht="15" customHeight="1" x14ac:dyDescent="0.3">
      <c r="A117" s="6"/>
      <c r="B117" s="33">
        <v>44694.892853703706</v>
      </c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Q117" s="14"/>
    </row>
    <row r="118" spans="1:17" ht="15" customHeight="1" x14ac:dyDescent="0.3">
      <c r="A118" s="6"/>
      <c r="B118" s="31" t="s">
        <v>294</v>
      </c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Q118" s="14"/>
    </row>
    <row r="119" spans="1:17" ht="15" customHeight="1" x14ac:dyDescent="0.3">
      <c r="A119" s="6"/>
      <c r="B119" s="27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Q119" s="14"/>
    </row>
    <row r="120" spans="1:17" ht="15" customHeight="1" x14ac:dyDescent="0.3"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Q120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59708-702E-8DB4-57A5-F94F91A08655}">
  <sheetPr>
    <tabColor rgb="FF92D050"/>
    <outlinePr summaryBelow="0" summaryRight="0"/>
    <pageSetUpPr fitToPage="1"/>
  </sheetPr>
  <dimension ref="A2:R103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","405"," - ","Caffeine Lab")</f>
        <v>Department 405 - Caffeine Lab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0</v>
      </c>
      <c r="E10" s="4">
        <f>SUM(OSRRefD11x_1)</f>
        <v>15362.75</v>
      </c>
      <c r="F10" s="4">
        <f>SUM(OSRRefD11x_2)</f>
        <v>65851.209999999992</v>
      </c>
      <c r="G10" s="4">
        <f>SUM(OSRRefD11x_3)</f>
        <v>87810.260000000009</v>
      </c>
      <c r="H10" s="4">
        <f>SUM(OSRRefD11x_4)</f>
        <v>46287.99</v>
      </c>
      <c r="I10" s="4">
        <f>SUM(OSRRefD11x_5)</f>
        <v>51547.820000000007</v>
      </c>
      <c r="J10" s="4">
        <f>SUM(OSRRefD11x_6)</f>
        <v>7237.84</v>
      </c>
      <c r="K10" s="4">
        <f>SUM(OSRRefD11x_7)</f>
        <v>88473.569999999992</v>
      </c>
      <c r="L10" s="4">
        <f>SUM(OSRRefD11x_8)</f>
        <v>120253.98</v>
      </c>
      <c r="M10" s="4">
        <f>SUM(OSRRefD11x_9)</f>
        <v>118012.11</v>
      </c>
      <c r="N10" s="4">
        <f>SUM(OSRRefE11x_0)</f>
        <v>59955</v>
      </c>
      <c r="O10" s="4">
        <f>SUM(OSRRefE11x_1)</f>
        <v>14389</v>
      </c>
      <c r="P10" s="25"/>
      <c r="Q10" s="4">
        <f>SUM(OSRRefG11x)</f>
        <v>675181.53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0</f>
        <v>0</v>
      </c>
      <c r="E11" s="3">
        <f>0</f>
        <v>0</v>
      </c>
      <c r="F11" s="3">
        <f>0</f>
        <v>0</v>
      </c>
      <c r="G11" s="3">
        <f>0</f>
        <v>0</v>
      </c>
      <c r="H11" s="3">
        <f>0</f>
        <v>0</v>
      </c>
      <c r="I11" s="3">
        <f>0</f>
        <v>0</v>
      </c>
      <c r="J11" s="3">
        <f>0</f>
        <v>0</v>
      </c>
      <c r="K11" s="3">
        <f>0</f>
        <v>0</v>
      </c>
      <c r="L11" s="3">
        <f>0</f>
        <v>0</v>
      </c>
      <c r="M11" s="3">
        <f>0</f>
        <v>0</v>
      </c>
      <c r="N11" s="3">
        <v>12555</v>
      </c>
      <c r="O11" s="3">
        <v>3013</v>
      </c>
      <c r="Q11" s="3">
        <f>SUM(OSRRefD11_0x)+IFERROR(SUM(OSRRefE11_0x),0)</f>
        <v>15568</v>
      </c>
    </row>
    <row r="12" spans="1:18" s="39" customFormat="1" ht="15" hidden="1" customHeight="1" outlineLevel="1" x14ac:dyDescent="0.3">
      <c r="A12" s="24"/>
      <c r="B12" s="11" t="str">
        <f>CONCATENATE("          ","4051"," - ","TAXABLE SALES-FOOD")</f>
        <v xml:space="preserve">          4051 - TAXABLE SALES-FOOD</v>
      </c>
      <c r="C12" s="23"/>
      <c r="D12" s="3">
        <f>0</f>
        <v>0</v>
      </c>
      <c r="E12" s="3">
        <f>--2269.66</f>
        <v>2269.66</v>
      </c>
      <c r="F12" s="3">
        <f>--9000.69</f>
        <v>9000.69</v>
      </c>
      <c r="G12" s="3">
        <f>--6578.16</f>
        <v>6578.16</v>
      </c>
      <c r="H12" s="3">
        <f>--2650.64</f>
        <v>2650.64</v>
      </c>
      <c r="I12" s="3">
        <f>--2926.84</f>
        <v>2926.84</v>
      </c>
      <c r="J12" s="3">
        <f>--277.17</f>
        <v>277.17</v>
      </c>
      <c r="K12" s="3">
        <f>--19780.89</f>
        <v>19780.89</v>
      </c>
      <c r="L12" s="3">
        <f>--7118.64</f>
        <v>7118.64</v>
      </c>
      <c r="M12" s="3">
        <f>--6760.69</f>
        <v>6760.69</v>
      </c>
      <c r="N12" s="3"/>
      <c r="O12" s="3"/>
      <c r="Q12" s="3">
        <f>SUM(OSRRefD11_1x)+IFERROR(SUM(OSRRefE11_1x),0)</f>
        <v>57363.380000000005</v>
      </c>
    </row>
    <row r="13" spans="1:18" s="39" customFormat="1" ht="15" hidden="1" customHeight="1" outlineLevel="1" x14ac:dyDescent="0.3">
      <c r="A13" s="24"/>
      <c r="B13" s="11" t="str">
        <f>CONCATENATE("          ","4100"," - ","NON-TAXABLE SALES")</f>
        <v xml:space="preserve">          4100 - NON-TAXABLE SALES</v>
      </c>
      <c r="C13" s="23"/>
      <c r="D13" s="3">
        <f>0</f>
        <v>0</v>
      </c>
      <c r="E13" s="3">
        <f>0</f>
        <v>0</v>
      </c>
      <c r="F13" s="3">
        <f>0</f>
        <v>0</v>
      </c>
      <c r="G13" s="3">
        <f>0</f>
        <v>0</v>
      </c>
      <c r="H13" s="3">
        <f>0</f>
        <v>0</v>
      </c>
      <c r="I13" s="3">
        <f>0</f>
        <v>0</v>
      </c>
      <c r="J13" s="3">
        <f>0</f>
        <v>0</v>
      </c>
      <c r="K13" s="3">
        <f>0</f>
        <v>0</v>
      </c>
      <c r="L13" s="3">
        <f>0</f>
        <v>0</v>
      </c>
      <c r="M13" s="3">
        <f>0</f>
        <v>0</v>
      </c>
      <c r="N13" s="3">
        <v>47400</v>
      </c>
      <c r="O13" s="3">
        <v>11376</v>
      </c>
      <c r="Q13" s="3">
        <f>SUM(OSRRefD11_2x)+IFERROR(SUM(OSRRefE11_2x),0)</f>
        <v>58776</v>
      </c>
    </row>
    <row r="14" spans="1:18" s="39" customFormat="1" ht="15" hidden="1" customHeight="1" outlineLevel="1" x14ac:dyDescent="0.3">
      <c r="A14" s="24"/>
      <c r="B14" s="11" t="str">
        <f>CONCATENATE("          ","4151"," - ","NON-TAXABLE SALES-FOOD")</f>
        <v xml:space="preserve">          4151 - NON-TAXABLE SALES-FOOD</v>
      </c>
      <c r="C14" s="23"/>
      <c r="D14" s="3">
        <f>0</f>
        <v>0</v>
      </c>
      <c r="E14" s="3">
        <f>--13093.09</f>
        <v>13093.09</v>
      </c>
      <c r="F14" s="3">
        <f>--56850.52</f>
        <v>56850.52</v>
      </c>
      <c r="G14" s="3">
        <f>--81232.1</f>
        <v>81232.100000000006</v>
      </c>
      <c r="H14" s="3">
        <f>--43637.35</f>
        <v>43637.35</v>
      </c>
      <c r="I14" s="3">
        <f>--48620.98</f>
        <v>48620.98</v>
      </c>
      <c r="J14" s="3">
        <f>--6960.67</f>
        <v>6960.67</v>
      </c>
      <c r="K14" s="3">
        <f>--68692.68</f>
        <v>68692.679999999993</v>
      </c>
      <c r="L14" s="3">
        <f>--113135.34</f>
        <v>113135.34</v>
      </c>
      <c r="M14" s="3">
        <f>--111251.42</f>
        <v>111251.42</v>
      </c>
      <c r="N14" s="3"/>
      <c r="O14" s="3"/>
      <c r="Q14" s="3">
        <f>SUM(OSRRefD11_3x)+IFERROR(SUM(OSRRefE11_3x),0)</f>
        <v>543474.15</v>
      </c>
    </row>
    <row r="15" spans="1:18" ht="15" customHeight="1" x14ac:dyDescent="0.3">
      <c r="A15" s="6"/>
      <c r="B15" s="7"/>
      <c r="C15" s="6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Q15" s="4"/>
    </row>
    <row r="16" spans="1:18" s="39" customFormat="1" ht="15" customHeight="1" collapsed="1" x14ac:dyDescent="0.3">
      <c r="A16" s="24"/>
      <c r="B16" s="17" t="s">
        <v>284</v>
      </c>
      <c r="C16" s="23"/>
      <c r="D16" s="4">
        <f>SUM(OSRRefD14x_0)</f>
        <v>0</v>
      </c>
      <c r="E16" s="4">
        <f>SUM(OSRRefD14x_1)</f>
        <v>5838.27</v>
      </c>
      <c r="F16" s="4">
        <f>SUM(OSRRefD14x_2)</f>
        <v>25022.690000000002</v>
      </c>
      <c r="G16" s="4">
        <f>SUM(OSRRefD14x_3)</f>
        <v>38243.760000000002</v>
      </c>
      <c r="H16" s="4">
        <f>SUM(OSRRefD14x_4)</f>
        <v>20948.899999999998</v>
      </c>
      <c r="I16" s="4">
        <f>SUM(OSRRefD14x_5)</f>
        <v>22161.129999999997</v>
      </c>
      <c r="J16" s="4">
        <f>SUM(OSRRefD14x_6)</f>
        <v>6930.9800000000005</v>
      </c>
      <c r="K16" s="4">
        <f>SUM(OSRRefD14x_7)</f>
        <v>38677.869999999995</v>
      </c>
      <c r="L16" s="4">
        <f>SUM(OSRRefD14x_8)</f>
        <v>54439.47</v>
      </c>
      <c r="M16" s="4">
        <f>SUM(OSRRefD14x_9)</f>
        <v>49024.17</v>
      </c>
      <c r="N16" s="4">
        <f>SUM(OSRRefE14x_0)</f>
        <v>22783</v>
      </c>
      <c r="O16" s="4">
        <f>SUM(OSRRefE14x_1)</f>
        <v>5468</v>
      </c>
      <c r="Q16" s="4">
        <f>SUM(OSRRefG14x)</f>
        <v>289538.24</v>
      </c>
    </row>
    <row r="17" spans="1:17" s="39" customFormat="1" ht="15" hidden="1" customHeight="1" outlineLevel="1" x14ac:dyDescent="0.3">
      <c r="A17" s="24"/>
      <c r="B17" s="11" t="str">
        <f>CONCATENATE("          ","5000"," - ","PURCHASES @ COST")</f>
        <v xml:space="preserve">          5000 - PURCHASES @ COST</v>
      </c>
      <c r="C17" s="23"/>
      <c r="D17" s="3"/>
      <c r="E17" s="3"/>
      <c r="F17" s="3"/>
      <c r="G17" s="3"/>
      <c r="H17" s="3"/>
      <c r="I17" s="3"/>
      <c r="J17" s="3"/>
      <c r="K17" s="3"/>
      <c r="L17" s="3"/>
      <c r="M17" s="3"/>
      <c r="N17" s="3">
        <v>22783</v>
      </c>
      <c r="O17" s="3">
        <v>5468</v>
      </c>
      <c r="Q17" s="3">
        <f>SUM(OSRRefD14_0x)+IFERROR(SUM(OSRRefE14_0x),0)</f>
        <v>28251</v>
      </c>
    </row>
    <row r="18" spans="1:17" s="39" customFormat="1" ht="15" hidden="1" customHeight="1" outlineLevel="1" x14ac:dyDescent="0.3">
      <c r="A18" s="24"/>
      <c r="B18" s="11" t="str">
        <f>CONCATENATE("          ","5053"," - ","PURCHASES @ COST-FOOD")</f>
        <v xml:space="preserve">          5053 - PURCHASES @ COST-FOOD</v>
      </c>
      <c r="C18" s="23"/>
      <c r="D18" s="3"/>
      <c r="E18" s="3">
        <v>19561.27</v>
      </c>
      <c r="F18" s="3">
        <v>17188.09</v>
      </c>
      <c r="G18" s="3">
        <v>30333.22</v>
      </c>
      <c r="H18" s="3">
        <v>18261.009999999998</v>
      </c>
      <c r="I18" s="3">
        <v>8751.92</v>
      </c>
      <c r="J18" s="3">
        <v>7696.02</v>
      </c>
      <c r="K18" s="3">
        <v>25052.35</v>
      </c>
      <c r="L18" s="3">
        <v>32911.18</v>
      </c>
      <c r="M18" s="3">
        <v>26424.84</v>
      </c>
      <c r="N18" s="3"/>
      <c r="O18" s="3"/>
      <c r="Q18" s="3">
        <f>SUM(OSRRefD14_1x)+IFERROR(SUM(OSRRefE14_1x),0)</f>
        <v>186179.9</v>
      </c>
    </row>
    <row r="19" spans="1:17" s="39" customFormat="1" ht="15" hidden="1" customHeight="1" outlineLevel="1" x14ac:dyDescent="0.3">
      <c r="A19" s="24"/>
      <c r="B19" s="11" t="str">
        <f>CONCATENATE("          ","5059"," - ","PURCHASES @ COST-FOOD")</f>
        <v xml:space="preserve">          5059 - PURCHASES @ COST-FOOD</v>
      </c>
      <c r="C19" s="23"/>
      <c r="D19" s="3"/>
      <c r="E19" s="3">
        <v>-13723</v>
      </c>
      <c r="F19" s="3">
        <v>7834.6</v>
      </c>
      <c r="G19" s="3">
        <v>7910.54</v>
      </c>
      <c r="H19" s="3">
        <v>2687.89</v>
      </c>
      <c r="I19" s="3">
        <v>13409.21</v>
      </c>
      <c r="J19" s="3">
        <v>-765.04</v>
      </c>
      <c r="K19" s="3">
        <v>13625.52</v>
      </c>
      <c r="L19" s="3">
        <v>21528.29</v>
      </c>
      <c r="M19" s="3">
        <v>22599.33</v>
      </c>
      <c r="N19" s="3"/>
      <c r="O19" s="3"/>
      <c r="Q19" s="3">
        <f>SUM(OSRRefD14_2x)+IFERROR(SUM(OSRRefE14_2x),0)</f>
        <v>75107.34</v>
      </c>
    </row>
    <row r="20" spans="1:17" ht="15" customHeight="1" x14ac:dyDescent="0.3">
      <c r="A20" s="6"/>
      <c r="B20" s="7"/>
      <c r="C20" s="7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Q20" s="4"/>
    </row>
    <row r="21" spans="1:17" s="37" customFormat="1" ht="15" customHeight="1" x14ac:dyDescent="0.3">
      <c r="A21" s="7"/>
      <c r="B21" s="18" t="s">
        <v>285</v>
      </c>
      <c r="C21" s="18"/>
      <c r="D21" s="9">
        <f t="shared" ref="D21:O21" si="0">IFERROR(+D10-D16,0)</f>
        <v>0</v>
      </c>
      <c r="E21" s="9">
        <f t="shared" si="0"/>
        <v>9524.48</v>
      </c>
      <c r="F21" s="9">
        <f t="shared" si="0"/>
        <v>40828.51999999999</v>
      </c>
      <c r="G21" s="9">
        <f t="shared" si="0"/>
        <v>49566.500000000007</v>
      </c>
      <c r="H21" s="9">
        <f t="shared" si="0"/>
        <v>25339.09</v>
      </c>
      <c r="I21" s="9">
        <f t="shared" si="0"/>
        <v>29386.69000000001</v>
      </c>
      <c r="J21" s="9">
        <f t="shared" si="0"/>
        <v>306.85999999999967</v>
      </c>
      <c r="K21" s="9">
        <f t="shared" si="0"/>
        <v>49795.7</v>
      </c>
      <c r="L21" s="9">
        <f t="shared" si="0"/>
        <v>65814.509999999995</v>
      </c>
      <c r="M21" s="9">
        <f t="shared" si="0"/>
        <v>68987.94</v>
      </c>
      <c r="N21" s="9">
        <f t="shared" si="0"/>
        <v>37172</v>
      </c>
      <c r="O21" s="9">
        <f t="shared" si="0"/>
        <v>8921</v>
      </c>
      <c r="Q21" s="9">
        <f>IFERROR(+Q10-Q16,0)</f>
        <v>385643.29000000004</v>
      </c>
    </row>
    <row r="22" spans="1:17" s="38" customFormat="1" ht="15" customHeight="1" x14ac:dyDescent="0.3">
      <c r="B22" s="17"/>
      <c r="C22" s="17"/>
      <c r="D22" s="5">
        <f t="shared" ref="D22:O22" si="1">IFERROR(D21/D10,0)</f>
        <v>0</v>
      </c>
      <c r="E22" s="5">
        <f t="shared" si="1"/>
        <v>0.61997233568208809</v>
      </c>
      <c r="F22" s="5">
        <f t="shared" si="1"/>
        <v>0.62001168999020662</v>
      </c>
      <c r="G22" s="5">
        <f t="shared" si="1"/>
        <v>0.56447276206675623</v>
      </c>
      <c r="H22" s="5">
        <f t="shared" si="1"/>
        <v>0.54742256036609072</v>
      </c>
      <c r="I22" s="5">
        <f t="shared" si="1"/>
        <v>0.57008599005738758</v>
      </c>
      <c r="J22" s="5">
        <f t="shared" si="1"/>
        <v>4.239662661788595E-2</v>
      </c>
      <c r="K22" s="5">
        <f t="shared" si="1"/>
        <v>0.56283136308391313</v>
      </c>
      <c r="L22" s="5">
        <f t="shared" si="1"/>
        <v>0.54729589823139324</v>
      </c>
      <c r="M22" s="5">
        <f t="shared" si="1"/>
        <v>0.58458356519513122</v>
      </c>
      <c r="N22" s="5">
        <f t="shared" si="1"/>
        <v>0.61999833208239508</v>
      </c>
      <c r="O22" s="5">
        <f t="shared" si="1"/>
        <v>0.61998749044408918</v>
      </c>
      <c r="P22" s="19"/>
      <c r="Q22" s="5">
        <f>IFERROR(Q21/Q10,0)</f>
        <v>0.57116978599814483</v>
      </c>
    </row>
    <row r="23" spans="1:17" ht="15" customHeight="1" x14ac:dyDescent="0.3">
      <c r="A23" s="6"/>
      <c r="B23" s="7"/>
      <c r="C23" s="6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Q23" s="2"/>
    </row>
    <row r="24" spans="1:17" s="37" customFormat="1" ht="15" customHeight="1" x14ac:dyDescent="0.3">
      <c r="A24" s="7"/>
      <c r="B24" s="17" t="s">
        <v>286</v>
      </c>
      <c r="C24" s="7"/>
      <c r="D24" s="12" cm="1">
        <f t="array" ref="D24">SUM(OSRRefD20x_0)</f>
        <v>13284.030000000002</v>
      </c>
      <c r="E24" s="12" cm="1">
        <f t="array" ref="E24">SUM(OSRRefD20x_1)</f>
        <v>29201.399999999998</v>
      </c>
      <c r="F24" s="12" cm="1">
        <f t="array" ref="F24">SUM(OSRRefD20x_2)</f>
        <v>36986.620000000003</v>
      </c>
      <c r="G24" s="12" cm="1">
        <f t="array" ref="G24">SUM(OSRRefD20x_3)</f>
        <v>45456.770000000004</v>
      </c>
      <c r="H24" s="12" cm="1">
        <f t="array" ref="H24">SUM(OSRRefD20x_4)</f>
        <v>34887.849999999991</v>
      </c>
      <c r="I24" s="12" cm="1">
        <f t="array" ref="I24">SUM(OSRRefD20x_5)</f>
        <v>35475.629999999997</v>
      </c>
      <c r="J24" s="12" cm="1">
        <f t="array" ref="J24">SUM(OSRRefD20x_6)</f>
        <v>25540.080000000002</v>
      </c>
      <c r="K24" s="12" cm="1">
        <f t="array" ref="K24">SUM(OSRRefD20x_7)</f>
        <v>44164.689999999995</v>
      </c>
      <c r="L24" s="12" cm="1">
        <f t="array" ref="L24">SUM(OSRRefD20x_8)</f>
        <v>50636.710000000006</v>
      </c>
      <c r="M24" s="12" cm="1">
        <f t="array" ref="M24">SUM(OSRRefD20x_9)</f>
        <v>55646.659999999989</v>
      </c>
      <c r="N24" s="12" cm="1">
        <f t="array" ref="N24">SUM(OSRRefE20x_0)</f>
        <v>34389.386377846153</v>
      </c>
      <c r="O24" s="12" cm="1">
        <f t="array" ref="O24">SUM(OSRRefE20x_1)</f>
        <v>25762.653577846155</v>
      </c>
      <c r="Q24" s="12" cm="1">
        <f t="array" ref="Q24">SUM(OSRRefG20x)</f>
        <v>431432.47995569231</v>
      </c>
    </row>
    <row r="25" spans="1:17" s="42" customFormat="1" ht="15" customHeight="1" collapsed="1" x14ac:dyDescent="0.3">
      <c r="A25" s="34"/>
      <c r="B25" s="15" t="str">
        <f>CONCATENATE("     ","*Benefits                                         ")</f>
        <v xml:space="preserve">     *Benefits                                         </v>
      </c>
      <c r="C25" s="15"/>
      <c r="D25" s="2">
        <f>SUM(OSRRefD21_0x_0)</f>
        <v>1243.8900000000001</v>
      </c>
      <c r="E25" s="2">
        <f>SUM(OSRRefD21_0x_1)</f>
        <v>3007.4900000000002</v>
      </c>
      <c r="F25" s="2">
        <f>SUM(OSRRefD21_0x_2)</f>
        <v>3444.52</v>
      </c>
      <c r="G25" s="2">
        <f>SUM(OSRRefD21_0x_3)</f>
        <v>6602.42</v>
      </c>
      <c r="H25" s="2">
        <f>SUM(OSRRefD21_0x_4)</f>
        <v>5263.17</v>
      </c>
      <c r="I25" s="2">
        <f>SUM(OSRRefD21_0x_5)</f>
        <v>5445.84</v>
      </c>
      <c r="J25" s="2">
        <f>SUM(OSRRefD21_0x_6)</f>
        <v>4733.47</v>
      </c>
      <c r="K25" s="2">
        <f>SUM(OSRRefD21_0x_7)</f>
        <v>5297.03</v>
      </c>
      <c r="L25" s="2">
        <f>SUM(OSRRefD21_0x_8)</f>
        <v>5733.9600000000009</v>
      </c>
      <c r="M25" s="2">
        <f>SUM(OSRRefD21_0x_9)</f>
        <v>6419.8099999999995</v>
      </c>
      <c r="N25" s="2">
        <f>SUM(OSRRefE21_0x_0)</f>
        <v>4135.9182163076921</v>
      </c>
      <c r="O25" s="2">
        <f>SUM(OSRRefE21_0x_1)</f>
        <v>3684.570816307692</v>
      </c>
      <c r="Q25" s="3">
        <f>SUM(OSRRefD20_0x)+IFERROR(SUM(OSRRefE20_0x),0)</f>
        <v>55012.089032615382</v>
      </c>
    </row>
    <row r="26" spans="1:17" s="42" customFormat="1" ht="15" hidden="1" customHeight="1" outlineLevel="1" x14ac:dyDescent="0.3">
      <c r="A26" s="34"/>
      <c r="B26" s="11" t="str">
        <f>CONCATENATE("          ","6111"," - ","F.I.C.A.")</f>
        <v xml:space="preserve">          6111 - F.I.C.A.</v>
      </c>
      <c r="C26" s="15"/>
      <c r="D26" s="3">
        <v>247.14</v>
      </c>
      <c r="E26" s="3">
        <v>863.72</v>
      </c>
      <c r="F26" s="3">
        <v>732.92</v>
      </c>
      <c r="G26" s="3">
        <v>1166.95</v>
      </c>
      <c r="H26" s="3">
        <v>781.67</v>
      </c>
      <c r="I26" s="3">
        <v>885.81</v>
      </c>
      <c r="J26" s="3">
        <v>730.58</v>
      </c>
      <c r="K26" s="3">
        <v>905.51</v>
      </c>
      <c r="L26" s="3">
        <v>987.32</v>
      </c>
      <c r="M26" s="3">
        <v>1216.56</v>
      </c>
      <c r="N26" s="3">
        <v>367.28748553846202</v>
      </c>
      <c r="O26" s="3">
        <v>367.28748553846202</v>
      </c>
      <c r="P26" s="10"/>
      <c r="Q26" s="3">
        <f>SUM(OSRRefD21_0_0x)+IFERROR(SUM(OSRRefE21_0_0x),0)</f>
        <v>9252.7549710769235</v>
      </c>
    </row>
    <row r="27" spans="1:17" s="42" customFormat="1" ht="15" hidden="1" customHeight="1" outlineLevel="1" x14ac:dyDescent="0.3">
      <c r="A27" s="34"/>
      <c r="B27" s="11" t="str">
        <f>CONCATENATE("          ","6112"," - ","COMPENSATION INSURANCE")</f>
        <v xml:space="preserve">          6112 - COMPENSATION INSURANCE</v>
      </c>
      <c r="C27" s="15"/>
      <c r="D27" s="3">
        <v>116.31</v>
      </c>
      <c r="E27" s="3">
        <v>394.48</v>
      </c>
      <c r="F27" s="3">
        <v>708.55</v>
      </c>
      <c r="G27" s="3">
        <v>1173.44</v>
      </c>
      <c r="H27" s="3">
        <v>700.9</v>
      </c>
      <c r="I27" s="3">
        <v>730.8</v>
      </c>
      <c r="J27" s="3">
        <v>385.71</v>
      </c>
      <c r="K27" s="3">
        <v>712.56</v>
      </c>
      <c r="L27" s="3">
        <v>1111.4100000000001</v>
      </c>
      <c r="M27" s="3">
        <v>925.84</v>
      </c>
      <c r="N27" s="3">
        <v>694.603591307692</v>
      </c>
      <c r="O27" s="3">
        <v>450.23121330769197</v>
      </c>
      <c r="P27" s="10"/>
      <c r="Q27" s="3">
        <f>SUM(OSRRefD21_0_1x)+IFERROR(SUM(OSRRefE21_0_1x),0)</f>
        <v>8104.8348046153842</v>
      </c>
    </row>
    <row r="28" spans="1:17" s="42" customFormat="1" ht="15" hidden="1" customHeight="1" outlineLevel="1" x14ac:dyDescent="0.3">
      <c r="A28" s="34"/>
      <c r="B28" s="11" t="str">
        <f>CONCATENATE("          ","6113"," - ","GROUP INSURANCE")</f>
        <v xml:space="preserve">          6113 - GROUP INSURANCE</v>
      </c>
      <c r="C28" s="15"/>
      <c r="D28" s="3">
        <v>42.95</v>
      </c>
      <c r="E28" s="3">
        <v>681.45</v>
      </c>
      <c r="F28" s="3">
        <v>685.2</v>
      </c>
      <c r="G28" s="3">
        <v>2055.31</v>
      </c>
      <c r="H28" s="3">
        <v>2055.31</v>
      </c>
      <c r="I28" s="3">
        <v>2079.61</v>
      </c>
      <c r="J28" s="3">
        <v>2033.2</v>
      </c>
      <c r="K28" s="3">
        <v>2033.2</v>
      </c>
      <c r="L28" s="3">
        <v>2033.2</v>
      </c>
      <c r="M28" s="3">
        <v>2033.2</v>
      </c>
      <c r="N28" s="3">
        <v>1977</v>
      </c>
      <c r="O28" s="3">
        <v>1977</v>
      </c>
      <c r="P28" s="10"/>
      <c r="Q28" s="3">
        <f>SUM(OSRRefD21_0_2x)+IFERROR(SUM(OSRRefE21_0_2x),0)</f>
        <v>19686.630000000005</v>
      </c>
    </row>
    <row r="29" spans="1:17" s="42" customFormat="1" ht="15" hidden="1" customHeight="1" outlineLevel="1" x14ac:dyDescent="0.3">
      <c r="A29" s="34"/>
      <c r="B29" s="11" t="str">
        <f>CONCATENATE("          ","6114"," - ","STATE UNEMPLOYMENT INSURANCE")</f>
        <v xml:space="preserve">          6114 - STATE UNEMPLOYMENT INSURANCE</v>
      </c>
      <c r="C29" s="15"/>
      <c r="D29" s="3">
        <v>8.4</v>
      </c>
      <c r="E29" s="3">
        <v>28.49</v>
      </c>
      <c r="F29" s="3">
        <v>51.17</v>
      </c>
      <c r="G29" s="3">
        <v>84.75</v>
      </c>
      <c r="H29" s="3">
        <v>50.62</v>
      </c>
      <c r="I29" s="3">
        <v>52.78</v>
      </c>
      <c r="J29" s="3">
        <v>27.86</v>
      </c>
      <c r="K29" s="3">
        <v>51.46</v>
      </c>
      <c r="L29" s="3">
        <v>80.27</v>
      </c>
      <c r="M29" s="3">
        <v>66.87</v>
      </c>
      <c r="N29" s="3">
        <v>38.487270230769198</v>
      </c>
      <c r="O29" s="3">
        <v>24.946848230769199</v>
      </c>
      <c r="P29" s="10"/>
      <c r="Q29" s="3">
        <f>SUM(OSRRefD21_0_3x)+IFERROR(SUM(OSRRefE21_0_3x),0)</f>
        <v>566.10411846153841</v>
      </c>
    </row>
    <row r="30" spans="1:17" s="42" customFormat="1" ht="15" hidden="1" customHeight="1" outlineLevel="1" x14ac:dyDescent="0.3">
      <c r="A30" s="34"/>
      <c r="B30" s="11" t="str">
        <f>CONCATENATE("          ","6115"," - ","P.E.R.S.")</f>
        <v xml:space="preserve">          6115 - P.E.R.S.</v>
      </c>
      <c r="C30" s="15"/>
      <c r="D30" s="3">
        <v>245.21</v>
      </c>
      <c r="E30" s="3">
        <v>408.69</v>
      </c>
      <c r="F30" s="3">
        <v>408.69</v>
      </c>
      <c r="G30" s="3">
        <v>613.04</v>
      </c>
      <c r="H30" s="3">
        <v>408.69</v>
      </c>
      <c r="I30" s="3">
        <v>408.69</v>
      </c>
      <c r="J30" s="3">
        <v>408.69</v>
      </c>
      <c r="K30" s="3">
        <v>408.69</v>
      </c>
      <c r="L30" s="3">
        <v>326.95999999999998</v>
      </c>
      <c r="M30" s="3">
        <v>572.16999999999996</v>
      </c>
      <c r="N30" s="3">
        <v>412.736492307692</v>
      </c>
      <c r="O30" s="3">
        <v>412.736492307692</v>
      </c>
      <c r="P30" s="10"/>
      <c r="Q30" s="3">
        <f>SUM(OSRRefD21_0_4x)+IFERROR(SUM(OSRRefE21_0_4x),0)</f>
        <v>5034.9929846153836</v>
      </c>
    </row>
    <row r="31" spans="1:17" s="42" customFormat="1" ht="15" hidden="1" customHeight="1" outlineLevel="1" x14ac:dyDescent="0.3">
      <c r="A31" s="34"/>
      <c r="B31" s="11" t="str">
        <f>CONCATENATE("          ","6116"," - ","EDUCATIONAL BENEFITS")</f>
        <v xml:space="preserve">          6116 - EDUCATIONAL BENEFITS</v>
      </c>
      <c r="C31" s="15"/>
      <c r="D31" s="3"/>
      <c r="E31" s="3"/>
      <c r="F31" s="3"/>
      <c r="G31" s="3"/>
      <c r="H31" s="3"/>
      <c r="I31" s="3"/>
      <c r="J31" s="3"/>
      <c r="K31" s="3"/>
      <c r="L31" s="3"/>
      <c r="M31" s="3"/>
      <c r="N31" s="3">
        <v>0</v>
      </c>
      <c r="O31" s="3">
        <v>0</v>
      </c>
      <c r="P31" s="10"/>
      <c r="Q31" s="3">
        <f>SUM(OSRRefD21_0_5x)+IFERROR(SUM(OSRRefE21_0_5x),0)</f>
        <v>0</v>
      </c>
    </row>
    <row r="32" spans="1:17" s="42" customFormat="1" ht="15" hidden="1" customHeight="1" outlineLevel="1" x14ac:dyDescent="0.3">
      <c r="A32" s="34"/>
      <c r="B32" s="11" t="str">
        <f>CONCATENATE("          ","6118"," - ","VACATION")</f>
        <v xml:space="preserve">          6118 - VACATION</v>
      </c>
      <c r="C32" s="15"/>
      <c r="D32" s="3">
        <v>207.3</v>
      </c>
      <c r="E32" s="3">
        <v>207.3</v>
      </c>
      <c r="F32" s="3">
        <v>268.89999999999998</v>
      </c>
      <c r="G32" s="3">
        <v>495.75</v>
      </c>
      <c r="H32" s="3">
        <v>393.94</v>
      </c>
      <c r="I32" s="3">
        <v>388.4</v>
      </c>
      <c r="J32" s="3">
        <v>342.58</v>
      </c>
      <c r="K32" s="3">
        <v>324.33999999999997</v>
      </c>
      <c r="L32" s="3">
        <v>324.33999999999997</v>
      </c>
      <c r="M32" s="3">
        <v>509.61</v>
      </c>
      <c r="N32" s="3">
        <v>143.977846153846</v>
      </c>
      <c r="O32" s="3">
        <v>143.977846153846</v>
      </c>
      <c r="P32" s="10"/>
      <c r="Q32" s="3">
        <f>SUM(OSRRefD21_0_6x)+IFERROR(SUM(OSRRefE21_0_6x),0)</f>
        <v>3750.4156923076926</v>
      </c>
    </row>
    <row r="33" spans="1:17" s="42" customFormat="1" ht="15" hidden="1" customHeight="1" outlineLevel="1" x14ac:dyDescent="0.3">
      <c r="A33" s="34"/>
      <c r="B33" s="11" t="str">
        <f>CONCATENATE("          ","6119"," - ","SICK LEAVE")</f>
        <v xml:space="preserve">          6119 - SICK LEAVE</v>
      </c>
      <c r="C33" s="15"/>
      <c r="D33" s="3">
        <v>248.36</v>
      </c>
      <c r="E33" s="3">
        <v>248.36</v>
      </c>
      <c r="F33" s="3">
        <v>322.16000000000003</v>
      </c>
      <c r="G33" s="3">
        <v>593.94000000000005</v>
      </c>
      <c r="H33" s="3">
        <v>395.22</v>
      </c>
      <c r="I33" s="3">
        <v>465.33</v>
      </c>
      <c r="J33" s="3">
        <v>396.8</v>
      </c>
      <c r="K33" s="3">
        <v>388.58</v>
      </c>
      <c r="L33" s="3">
        <v>388.58</v>
      </c>
      <c r="M33" s="3">
        <v>610.55999999999995</v>
      </c>
      <c r="N33" s="3">
        <v>501.82553076923102</v>
      </c>
      <c r="O33" s="3">
        <v>308.39093076923098</v>
      </c>
      <c r="P33" s="10"/>
      <c r="Q33" s="3">
        <f>SUM(OSRRefD21_0_7x)+IFERROR(SUM(OSRRefE21_0_7x),0)</f>
        <v>4868.1064615384621</v>
      </c>
    </row>
    <row r="34" spans="1:17" s="42" customFormat="1" ht="15" hidden="1" customHeight="1" outlineLevel="1" x14ac:dyDescent="0.3">
      <c r="A34" s="34"/>
      <c r="B34" s="11" t="str">
        <f>CONCATENATE("          ","6156"," - ","EMPLOYEE MEALS")</f>
        <v xml:space="preserve">          6156 - EMPLOYEE MEALS</v>
      </c>
      <c r="C34" s="15"/>
      <c r="D34" s="3">
        <v>128.22</v>
      </c>
      <c r="E34" s="3">
        <v>175</v>
      </c>
      <c r="F34" s="3">
        <v>266.93</v>
      </c>
      <c r="G34" s="3">
        <v>419.24</v>
      </c>
      <c r="H34" s="3">
        <v>476.82</v>
      </c>
      <c r="I34" s="3">
        <v>434.42</v>
      </c>
      <c r="J34" s="3">
        <v>408.05</v>
      </c>
      <c r="K34" s="3">
        <v>472.69</v>
      </c>
      <c r="L34" s="3">
        <v>481.88</v>
      </c>
      <c r="M34" s="3">
        <v>485</v>
      </c>
      <c r="N34" s="3"/>
      <c r="O34" s="3"/>
      <c r="P34" s="10"/>
      <c r="Q34" s="3">
        <f>SUM(OSRRefD21_0_8x)+IFERROR(SUM(OSRRefE21_0_8x),0)</f>
        <v>3748.2500000000005</v>
      </c>
    </row>
    <row r="35" spans="1:17" s="42" customFormat="1" ht="15" customHeight="1" collapsed="1" x14ac:dyDescent="0.3">
      <c r="A35" s="34"/>
      <c r="B35" s="15" t="str">
        <f>CONCATENATE("     ","*Payroll                                          ")</f>
        <v xml:space="preserve">     *Payroll                                          </v>
      </c>
      <c r="C35" s="15"/>
      <c r="D35" s="2">
        <f>SUM(OSRRefD21_1x_0)</f>
        <v>4990.76</v>
      </c>
      <c r="E35" s="2">
        <f>SUM(OSRRefD21_1x_1)</f>
        <v>14283.49</v>
      </c>
      <c r="F35" s="2">
        <f>SUM(OSRRefD21_1x_2)</f>
        <v>19543.830000000002</v>
      </c>
      <c r="G35" s="2">
        <f>SUM(OSRRefD21_1x_3)</f>
        <v>25918.940000000002</v>
      </c>
      <c r="H35" s="2">
        <f>SUM(OSRRefD21_1x_4)</f>
        <v>19197.949999999997</v>
      </c>
      <c r="I35" s="2">
        <f>SUM(OSRRefD21_1x_5)</f>
        <v>19572.45</v>
      </c>
      <c r="J35" s="2">
        <f>SUM(OSRRefD21_1x_6)</f>
        <v>12596.349999999999</v>
      </c>
      <c r="K35" s="2">
        <f>SUM(OSRRefD21_1x_7)</f>
        <v>23863.739999999998</v>
      </c>
      <c r="L35" s="2">
        <f>SUM(OSRRefD21_1x_8)</f>
        <v>30667.49</v>
      </c>
      <c r="M35" s="2">
        <f>SUM(OSRRefD21_1x_9)</f>
        <v>33773.369999999995</v>
      </c>
      <c r="N35" s="2">
        <f>SUM(OSRRefE21_1x_0)</f>
        <v>17681.468161538462</v>
      </c>
      <c r="O35" s="2">
        <f>SUM(OSRRefE21_1x_1)</f>
        <v>11427.082761538461</v>
      </c>
      <c r="Q35" s="3">
        <f>SUM(OSRRefD20_1x)+IFERROR(SUM(OSRRefE20_1x),0)</f>
        <v>233516.92092307689</v>
      </c>
    </row>
    <row r="36" spans="1:17" s="42" customFormat="1" ht="15" hidden="1" customHeight="1" outlineLevel="1" x14ac:dyDescent="0.3">
      <c r="A36" s="34"/>
      <c r="B36" s="11" t="str">
        <f>CONCATENATE("          ","6001"," - ","ADMINISTRATIVE SALARIES")</f>
        <v xml:space="preserve">          6001 - ADMINISTRATIVE SALARIES</v>
      </c>
      <c r="C36" s="15"/>
      <c r="D36" s="3"/>
      <c r="E36" s="3"/>
      <c r="F36" s="3"/>
      <c r="G36" s="3"/>
      <c r="H36" s="3"/>
      <c r="I36" s="3"/>
      <c r="J36" s="3"/>
      <c r="K36" s="3"/>
      <c r="L36" s="3"/>
      <c r="M36" s="3"/>
      <c r="N36" s="3">
        <v>0</v>
      </c>
      <c r="O36" s="3">
        <v>0</v>
      </c>
      <c r="P36" s="10"/>
      <c r="Q36" s="3">
        <f>SUM(OSRRefD21_1_0x)+IFERROR(SUM(OSRRefE21_1_0x),0)</f>
        <v>0</v>
      </c>
    </row>
    <row r="37" spans="1:17" s="42" customFormat="1" ht="15" hidden="1" customHeight="1" outlineLevel="1" x14ac:dyDescent="0.3">
      <c r="A37" s="34"/>
      <c r="B37" s="11" t="str">
        <f>CONCATENATE("          ","6002"," - ","STAFF SALARIES")</f>
        <v xml:space="preserve">          6002 - STAFF SALARIES</v>
      </c>
      <c r="C37" s="15"/>
      <c r="D37" s="3">
        <v>4576.76</v>
      </c>
      <c r="E37" s="3">
        <v>5384.62</v>
      </c>
      <c r="F37" s="3">
        <v>5115.3900000000003</v>
      </c>
      <c r="G37" s="3">
        <v>6730.93</v>
      </c>
      <c r="H37" s="3">
        <v>5384.62</v>
      </c>
      <c r="I37" s="3">
        <v>4846.16</v>
      </c>
      <c r="J37" s="3">
        <v>5653.7</v>
      </c>
      <c r="K37" s="3">
        <v>5384.62</v>
      </c>
      <c r="L37" s="3">
        <v>5115.3900000000003</v>
      </c>
      <c r="M37" s="3">
        <v>6461.7</v>
      </c>
      <c r="N37" s="3">
        <v>4559.2984615384603</v>
      </c>
      <c r="O37" s="3">
        <v>4559.2984615384603</v>
      </c>
      <c r="P37" s="10"/>
      <c r="Q37" s="3">
        <f>SUM(OSRRefD21_1_1x)+IFERROR(SUM(OSRRefE21_1_1x),0)</f>
        <v>63772.486923076918</v>
      </c>
    </row>
    <row r="38" spans="1:17" s="42" customFormat="1" ht="15" hidden="1" customHeight="1" outlineLevel="1" x14ac:dyDescent="0.3">
      <c r="A38" s="34"/>
      <c r="B38" s="11" t="str">
        <f>CONCATENATE("          ","6003"," - ","STAFF HOURLY-9 MONTH")</f>
        <v xml:space="preserve">          6003 - STAFF HOURLY-9 MONTH</v>
      </c>
      <c r="C38" s="15"/>
      <c r="D38" s="3"/>
      <c r="E38" s="3"/>
      <c r="F38" s="3"/>
      <c r="G38" s="3"/>
      <c r="H38" s="3"/>
      <c r="I38" s="3"/>
      <c r="J38" s="3"/>
      <c r="K38" s="3"/>
      <c r="L38" s="3"/>
      <c r="M38" s="3"/>
      <c r="N38" s="3">
        <v>0</v>
      </c>
      <c r="O38" s="3">
        <v>0</v>
      </c>
      <c r="P38" s="10"/>
      <c r="Q38" s="3">
        <f>SUM(OSRRefD21_1_2x)+IFERROR(SUM(OSRRefE21_1_2x),0)</f>
        <v>0</v>
      </c>
    </row>
    <row r="39" spans="1:17" s="42" customFormat="1" ht="15" hidden="1" customHeight="1" outlineLevel="1" x14ac:dyDescent="0.3">
      <c r="A39" s="34"/>
      <c r="B39" s="11" t="str">
        <f>CONCATENATE("          ","6004"," - ","STAFF HOURLY")</f>
        <v xml:space="preserve">          6004 - STAFF HOURLY</v>
      </c>
      <c r="C39" s="15"/>
      <c r="D39" s="3"/>
      <c r="E39" s="3">
        <v>329.88</v>
      </c>
      <c r="F39" s="3">
        <v>953</v>
      </c>
      <c r="G39" s="3">
        <v>3004.1</v>
      </c>
      <c r="H39" s="3">
        <v>3121.85</v>
      </c>
      <c r="I39" s="3">
        <v>3669.9</v>
      </c>
      <c r="J39" s="3">
        <v>1535.2</v>
      </c>
      <c r="K39" s="3">
        <v>3577.46</v>
      </c>
      <c r="L39" s="3">
        <v>2868.96</v>
      </c>
      <c r="M39" s="3">
        <v>4900.72</v>
      </c>
      <c r="N39" s="3">
        <v>0</v>
      </c>
      <c r="O39" s="3">
        <v>0</v>
      </c>
      <c r="P39" s="10"/>
      <c r="Q39" s="3">
        <f>SUM(OSRRefD21_1_3x)+IFERROR(SUM(OSRRefE21_1_3x),0)</f>
        <v>23961.07</v>
      </c>
    </row>
    <row r="40" spans="1:17" s="42" customFormat="1" ht="15" hidden="1" customHeight="1" outlineLevel="1" x14ac:dyDescent="0.3">
      <c r="A40" s="34"/>
      <c r="B40" s="11" t="str">
        <f>CONCATENATE("          ","6005"," - ","TEMPORARY WAGES-HOURLY")</f>
        <v xml:space="preserve">          6005 - TEMPORARY WAGES-HOURLY</v>
      </c>
      <c r="C40" s="15"/>
      <c r="D40" s="3"/>
      <c r="E40" s="3">
        <v>1464.81</v>
      </c>
      <c r="F40" s="3">
        <v>3168.08</v>
      </c>
      <c r="G40" s="3">
        <v>3543.18</v>
      </c>
      <c r="H40" s="3">
        <v>1355.73</v>
      </c>
      <c r="I40" s="3">
        <v>2434.35</v>
      </c>
      <c r="J40" s="3">
        <v>2356.4499999999998</v>
      </c>
      <c r="K40" s="3">
        <v>4599.88</v>
      </c>
      <c r="L40" s="3">
        <v>3215.71</v>
      </c>
      <c r="M40" s="3">
        <v>3110.28</v>
      </c>
      <c r="N40" s="3">
        <v>6665.9127500000004</v>
      </c>
      <c r="O40" s="3">
        <v>6867.7843000000003</v>
      </c>
      <c r="P40" s="10"/>
      <c r="Q40" s="3">
        <f>SUM(OSRRefD21_1_4x)+IFERROR(SUM(OSRRefE21_1_4x),0)</f>
        <v>38782.167049999996</v>
      </c>
    </row>
    <row r="41" spans="1:17" s="42" customFormat="1" ht="15" hidden="1" customHeight="1" outlineLevel="1" x14ac:dyDescent="0.3">
      <c r="A41" s="34"/>
      <c r="B41" s="11" t="str">
        <f>CONCATENATE("          ","6006"," - ","TEMPORARY PART TIME")</f>
        <v xml:space="preserve">          6006 - TEMPORARY PART TIME</v>
      </c>
      <c r="C41" s="15"/>
      <c r="D41" s="3"/>
      <c r="E41" s="3"/>
      <c r="F41" s="3"/>
      <c r="G41" s="3"/>
      <c r="H41" s="3"/>
      <c r="I41" s="3"/>
      <c r="J41" s="3"/>
      <c r="K41" s="3"/>
      <c r="L41" s="3"/>
      <c r="M41" s="3"/>
      <c r="N41" s="3">
        <v>0</v>
      </c>
      <c r="O41" s="3">
        <v>0</v>
      </c>
      <c r="P41" s="10"/>
      <c r="Q41" s="3">
        <f>SUM(OSRRefD21_1_5x)+IFERROR(SUM(OSRRefE21_1_5x),0)</f>
        <v>0</v>
      </c>
    </row>
    <row r="42" spans="1:17" s="42" customFormat="1" ht="15" hidden="1" customHeight="1" outlineLevel="1" x14ac:dyDescent="0.3">
      <c r="A42" s="34"/>
      <c r="B42" s="11" t="str">
        <f>CONCATENATE("          ","6007"," - ","STUDENT HOURLY")</f>
        <v xml:space="preserve">          6007 - STUDENT HOURLY</v>
      </c>
      <c r="C42" s="15"/>
      <c r="D42" s="3">
        <v>414</v>
      </c>
      <c r="E42" s="3">
        <v>7104.18</v>
      </c>
      <c r="F42" s="3">
        <v>10307.36</v>
      </c>
      <c r="G42" s="3">
        <v>12640.73</v>
      </c>
      <c r="H42" s="3">
        <v>9335.75</v>
      </c>
      <c r="I42" s="3">
        <v>8622.0400000000009</v>
      </c>
      <c r="J42" s="3">
        <v>3051</v>
      </c>
      <c r="K42" s="3">
        <v>10301.780000000001</v>
      </c>
      <c r="L42" s="3">
        <v>19467.43</v>
      </c>
      <c r="M42" s="3">
        <v>19300.669999999998</v>
      </c>
      <c r="N42" s="3">
        <v>0</v>
      </c>
      <c r="O42" s="3">
        <v>0</v>
      </c>
      <c r="P42" s="10"/>
      <c r="Q42" s="3">
        <f>SUM(OSRRefD21_1_6x)+IFERROR(SUM(OSRRefE21_1_6x),0)</f>
        <v>100544.94</v>
      </c>
    </row>
    <row r="43" spans="1:17" s="42" customFormat="1" ht="15" hidden="1" customHeight="1" outlineLevel="1" x14ac:dyDescent="0.3">
      <c r="A43" s="34"/>
      <c r="B43" s="11" t="str">
        <f>CONCATENATE("          ","6008"," - ","STUDENT HOURLY-FICA EXEMPT")</f>
        <v xml:space="preserve">          6008 - STUDENT HOURLY-FICA EXEMPT</v>
      </c>
      <c r="C43" s="15"/>
      <c r="D43" s="3"/>
      <c r="E43" s="3"/>
      <c r="F43" s="3"/>
      <c r="G43" s="3"/>
      <c r="H43" s="3"/>
      <c r="I43" s="3"/>
      <c r="J43" s="3"/>
      <c r="K43" s="3"/>
      <c r="L43" s="3"/>
      <c r="M43" s="3"/>
      <c r="N43" s="3">
        <v>6456.25695</v>
      </c>
      <c r="O43" s="3">
        <v>0</v>
      </c>
      <c r="P43" s="10"/>
      <c r="Q43" s="3">
        <f>SUM(OSRRefD21_1_7x)+IFERROR(SUM(OSRRefE21_1_7x),0)</f>
        <v>6456.25695</v>
      </c>
    </row>
    <row r="44" spans="1:17" s="42" customFormat="1" ht="15" hidden="1" customHeight="1" outlineLevel="1" x14ac:dyDescent="0.3">
      <c r="A44" s="34"/>
      <c r="B44" s="11" t="str">
        <f>CONCATENATE("          ","6009"," - ","TEMPORARY-SEASONAL")</f>
        <v xml:space="preserve">          6009 - TEMPORARY-SEASONAL</v>
      </c>
      <c r="C44" s="15"/>
      <c r="D44" s="3"/>
      <c r="E44" s="3"/>
      <c r="F44" s="3"/>
      <c r="G44" s="3"/>
      <c r="H44" s="3"/>
      <c r="I44" s="3"/>
      <c r="J44" s="3"/>
      <c r="K44" s="3"/>
      <c r="L44" s="3"/>
      <c r="M44" s="3"/>
      <c r="N44" s="3">
        <v>0</v>
      </c>
      <c r="O44" s="3">
        <v>0</v>
      </c>
      <c r="P44" s="10"/>
      <c r="Q44" s="3">
        <f>SUM(OSRRefD21_1_8x)+IFERROR(SUM(OSRRefE21_1_8x),0)</f>
        <v>0</v>
      </c>
    </row>
    <row r="45" spans="1:17" s="42" customFormat="1" ht="15" hidden="1" customHeight="1" outlineLevel="1" x14ac:dyDescent="0.3">
      <c r="A45" s="34"/>
      <c r="B45" s="11" t="str">
        <f>CONCATENATE("          ","6010"," - ","GRATUITY")</f>
        <v xml:space="preserve">          6010 - GRATUITY</v>
      </c>
      <c r="C45" s="15"/>
      <c r="D45" s="3"/>
      <c r="E45" s="3"/>
      <c r="F45" s="3"/>
      <c r="G45" s="3"/>
      <c r="H45" s="3"/>
      <c r="I45" s="3"/>
      <c r="J45" s="3"/>
      <c r="K45" s="3"/>
      <c r="L45" s="3"/>
      <c r="M45" s="3"/>
      <c r="N45" s="3">
        <v>0</v>
      </c>
      <c r="O45" s="3">
        <v>0</v>
      </c>
      <c r="P45" s="10"/>
      <c r="Q45" s="3">
        <f>SUM(OSRRefD21_1_9x)+IFERROR(SUM(OSRRefE21_1_9x),0)</f>
        <v>0</v>
      </c>
    </row>
    <row r="46" spans="1:17" s="42" customFormat="1" ht="15" customHeight="1" collapsed="1" x14ac:dyDescent="0.3">
      <c r="A46" s="34"/>
      <c r="B46" s="15" t="str">
        <f>CONCATENATE("     ","Advertising/Promo                                 ")</f>
        <v xml:space="preserve">     Advertising/Promo                                 </v>
      </c>
      <c r="C46" s="15"/>
      <c r="D46" s="2">
        <f>SUM(OSRRefD21_2x_0)</f>
        <v>48.14</v>
      </c>
      <c r="E46" s="2">
        <f>SUM(OSRRefD21_2x_1)</f>
        <v>27</v>
      </c>
      <c r="F46" s="2">
        <f>SUM(OSRRefD21_2x_2)</f>
        <v>134.65</v>
      </c>
      <c r="G46" s="2">
        <f>SUM(OSRRefD21_2x_3)</f>
        <v>0</v>
      </c>
      <c r="H46" s="2">
        <f>SUM(OSRRefD21_2x_4)</f>
        <v>8.4700000000000006</v>
      </c>
      <c r="I46" s="2">
        <f>SUM(OSRRefD21_2x_5)</f>
        <v>0</v>
      </c>
      <c r="J46" s="2">
        <f>SUM(OSRRefD21_2x_6)</f>
        <v>22.71</v>
      </c>
      <c r="K46" s="2">
        <f>SUM(OSRRefD21_2x_7)</f>
        <v>17.64</v>
      </c>
      <c r="L46" s="2">
        <f>SUM(OSRRefD21_2x_8)</f>
        <v>0</v>
      </c>
      <c r="M46" s="2">
        <f>SUM(OSRRefD21_2x_9)</f>
        <v>50.27</v>
      </c>
      <c r="N46" s="2">
        <f>SUM(OSRRefE21_2x_0)</f>
        <v>0</v>
      </c>
      <c r="O46" s="2">
        <f>SUM(OSRRefE21_2x_1)</f>
        <v>0</v>
      </c>
      <c r="Q46" s="3">
        <f>SUM(OSRRefD20_2x)+IFERROR(SUM(OSRRefE20_2x),0)</f>
        <v>308.88</v>
      </c>
    </row>
    <row r="47" spans="1:17" s="42" customFormat="1" ht="15" hidden="1" customHeight="1" outlineLevel="1" x14ac:dyDescent="0.3">
      <c r="A47" s="34"/>
      <c r="B47" s="11" t="str">
        <f>CONCATENATE("          ","6362"," - ","ADVERTISING EXPENSE")</f>
        <v xml:space="preserve">          6362 - ADVERTISING EXPENSE</v>
      </c>
      <c r="C47" s="15"/>
      <c r="D47" s="3">
        <v>48.14</v>
      </c>
      <c r="E47" s="3">
        <v>27</v>
      </c>
      <c r="F47" s="3">
        <v>134.65</v>
      </c>
      <c r="G47" s="3"/>
      <c r="H47" s="3">
        <v>8.4700000000000006</v>
      </c>
      <c r="I47" s="3"/>
      <c r="J47" s="3">
        <v>22.71</v>
      </c>
      <c r="K47" s="3">
        <v>17.64</v>
      </c>
      <c r="L47" s="3"/>
      <c r="M47" s="3">
        <v>50.27</v>
      </c>
      <c r="N47" s="3"/>
      <c r="O47" s="3"/>
      <c r="P47" s="10"/>
      <c r="Q47" s="3">
        <f>SUM(OSRRefD21_2_0x)+IFERROR(SUM(OSRRefE21_2_0x),0)</f>
        <v>308.88</v>
      </c>
    </row>
    <row r="48" spans="1:17" s="42" customFormat="1" ht="15" customHeight="1" collapsed="1" x14ac:dyDescent="0.3">
      <c r="A48" s="34"/>
      <c r="B48" s="15" t="str">
        <f>CONCATENATE("     ","Bad Debts/Over/Short                              ")</f>
        <v xml:space="preserve">     Bad Debts/Over/Short                              </v>
      </c>
      <c r="C48" s="15"/>
      <c r="D48" s="2">
        <f>SUM(OSRRefD21_3x_0)</f>
        <v>0</v>
      </c>
      <c r="E48" s="2">
        <f>SUM(OSRRefD21_3x_1)</f>
        <v>-102</v>
      </c>
      <c r="F48" s="2">
        <f>SUM(OSRRefD21_3x_2)</f>
        <v>7.49</v>
      </c>
      <c r="G48" s="2">
        <f>SUM(OSRRefD21_3x_3)</f>
        <v>5.47</v>
      </c>
      <c r="H48" s="2">
        <f>SUM(OSRRefD21_3x_4)</f>
        <v>10.28</v>
      </c>
      <c r="I48" s="2">
        <f>SUM(OSRRefD21_3x_5)</f>
        <v>-3.9</v>
      </c>
      <c r="J48" s="2">
        <f>SUM(OSRRefD21_3x_6)</f>
        <v>-0.55000000000000004</v>
      </c>
      <c r="K48" s="2">
        <f>SUM(OSRRefD21_3x_7)</f>
        <v>18.84</v>
      </c>
      <c r="L48" s="2">
        <f>SUM(OSRRefD21_3x_8)</f>
        <v>49.28</v>
      </c>
      <c r="M48" s="2">
        <f>SUM(OSRRefD21_3x_9)</f>
        <v>-0.08</v>
      </c>
      <c r="N48" s="2">
        <f>SUM(OSRRefE21_3x_0)</f>
        <v>0</v>
      </c>
      <c r="O48" s="2">
        <f>SUM(OSRRefE21_3x_1)</f>
        <v>0</v>
      </c>
      <c r="Q48" s="3">
        <f>SUM(OSRRefD20_3x)+IFERROR(SUM(OSRRefE20_3x),0)</f>
        <v>-15.170000000000003</v>
      </c>
    </row>
    <row r="49" spans="1:17" s="42" customFormat="1" ht="15" hidden="1" customHeight="1" outlineLevel="1" x14ac:dyDescent="0.3">
      <c r="A49" s="34"/>
      <c r="B49" s="11" t="str">
        <f>CONCATENATE("          ","6272"," - ","CASH (OVER/SHORT)")</f>
        <v xml:space="preserve">          6272 - CASH (OVER/SHORT)</v>
      </c>
      <c r="C49" s="15"/>
      <c r="D49" s="3"/>
      <c r="E49" s="3">
        <v>-102</v>
      </c>
      <c r="F49" s="3">
        <v>7.49</v>
      </c>
      <c r="G49" s="3">
        <v>5.47</v>
      </c>
      <c r="H49" s="3">
        <v>10.28</v>
      </c>
      <c r="I49" s="3">
        <v>-3.9</v>
      </c>
      <c r="J49" s="3">
        <v>-0.55000000000000004</v>
      </c>
      <c r="K49" s="3">
        <v>18.84</v>
      </c>
      <c r="L49" s="3">
        <v>49.28</v>
      </c>
      <c r="M49" s="3">
        <v>-0.08</v>
      </c>
      <c r="N49" s="3"/>
      <c r="O49" s="3"/>
      <c r="P49" s="10"/>
      <c r="Q49" s="3">
        <f>SUM(OSRRefD21_3_0x)+IFERROR(SUM(OSRRefE21_3_0x),0)</f>
        <v>-15.170000000000003</v>
      </c>
    </row>
    <row r="50" spans="1:17" s="42" customFormat="1" ht="15" customHeight="1" collapsed="1" x14ac:dyDescent="0.3">
      <c r="A50" s="34"/>
      <c r="B50" s="15" t="str">
        <f>CONCATENATE("     ","Bank/card Fees                                    ")</f>
        <v xml:space="preserve">     Bank/card Fees                                    </v>
      </c>
      <c r="C50" s="15"/>
      <c r="D50" s="2">
        <f>SUM(OSRRefD21_4x_0)</f>
        <v>0</v>
      </c>
      <c r="E50" s="2">
        <f>SUM(OSRRefD21_4x_1)</f>
        <v>721.81</v>
      </c>
      <c r="F50" s="2">
        <f>SUM(OSRRefD21_4x_2)</f>
        <v>2587.71</v>
      </c>
      <c r="G50" s="2">
        <f>SUM(OSRRefD21_4x_3)</f>
        <v>2833.08</v>
      </c>
      <c r="H50" s="2">
        <f>SUM(OSRRefD21_4x_4)</f>
        <v>1904.6</v>
      </c>
      <c r="I50" s="2">
        <f>SUM(OSRRefD21_4x_5)</f>
        <v>1667.49</v>
      </c>
      <c r="J50" s="2">
        <f>SUM(OSRRefD21_4x_6)</f>
        <v>181.66</v>
      </c>
      <c r="K50" s="2">
        <f>SUM(OSRRefD21_4x_7)</f>
        <v>2972.16</v>
      </c>
      <c r="L50" s="2">
        <f>SUM(OSRRefD21_4x_8)</f>
        <v>4175.34</v>
      </c>
      <c r="M50" s="2">
        <f>SUM(OSRRefD21_4x_9)</f>
        <v>3648.64</v>
      </c>
      <c r="N50" s="2">
        <f>SUM(OSRRefE21_4x_0)</f>
        <v>2291</v>
      </c>
      <c r="O50" s="2">
        <f>SUM(OSRRefE21_4x_1)</f>
        <v>550</v>
      </c>
      <c r="Q50" s="3">
        <f>SUM(OSRRefD20_4x)+IFERROR(SUM(OSRRefE20_4x),0)</f>
        <v>23533.489999999998</v>
      </c>
    </row>
    <row r="51" spans="1:17" s="42" customFormat="1" ht="15" hidden="1" customHeight="1" outlineLevel="1" x14ac:dyDescent="0.3">
      <c r="A51" s="34"/>
      <c r="B51" s="11" t="str">
        <f>CONCATENATE("          ","6381"," - ","BANK/CREDIT CARD FEES")</f>
        <v xml:space="preserve">          6381 - BANK/CREDIT CARD FEES</v>
      </c>
      <c r="C51" s="15"/>
      <c r="D51" s="3"/>
      <c r="E51" s="3">
        <v>721.81</v>
      </c>
      <c r="F51" s="3">
        <v>2587.71</v>
      </c>
      <c r="G51" s="3">
        <v>2833.08</v>
      </c>
      <c r="H51" s="3">
        <v>1904.6</v>
      </c>
      <c r="I51" s="3">
        <v>1667.49</v>
      </c>
      <c r="J51" s="3">
        <v>181.66</v>
      </c>
      <c r="K51" s="3">
        <v>2972.16</v>
      </c>
      <c r="L51" s="3">
        <v>4175.34</v>
      </c>
      <c r="M51" s="3">
        <v>3648.64</v>
      </c>
      <c r="N51" s="3">
        <v>2291</v>
      </c>
      <c r="O51" s="3">
        <v>550</v>
      </c>
      <c r="P51" s="10"/>
      <c r="Q51" s="3">
        <f>SUM(OSRRefD21_4_0x)+IFERROR(SUM(OSRRefE21_4_0x),0)</f>
        <v>23533.489999999998</v>
      </c>
    </row>
    <row r="52" spans="1:17" s="42" customFormat="1" ht="15" customHeight="1" collapsed="1" x14ac:dyDescent="0.3">
      <c r="A52" s="34"/>
      <c r="B52" s="15" t="str">
        <f>CONCATENATE("     ","Depreciation                                      ")</f>
        <v xml:space="preserve">     Depreciation                                      </v>
      </c>
      <c r="C52" s="15"/>
      <c r="D52" s="2">
        <f>SUM(OSRRefD21_5x_0)</f>
        <v>4626.5</v>
      </c>
      <c r="E52" s="2">
        <f>SUM(OSRRefD21_5x_1)</f>
        <v>4626.5</v>
      </c>
      <c r="F52" s="2">
        <f>SUM(OSRRefD21_5x_2)</f>
        <v>4626.5</v>
      </c>
      <c r="G52" s="2">
        <f>SUM(OSRRefD21_5x_3)</f>
        <v>4626.5</v>
      </c>
      <c r="H52" s="2">
        <f>SUM(OSRRefD21_5x_4)</f>
        <v>4626.5</v>
      </c>
      <c r="I52" s="2">
        <f>SUM(OSRRefD21_5x_5)</f>
        <v>4626.5</v>
      </c>
      <c r="J52" s="2">
        <f>SUM(OSRRefD21_5x_6)</f>
        <v>4626.5</v>
      </c>
      <c r="K52" s="2">
        <f>SUM(OSRRefD21_5x_7)</f>
        <v>4626.5</v>
      </c>
      <c r="L52" s="2">
        <f>SUM(OSRRefD21_5x_8)</f>
        <v>4626.5</v>
      </c>
      <c r="M52" s="2">
        <f>SUM(OSRRefD21_5x_9)</f>
        <v>5145.07</v>
      </c>
      <c r="N52" s="2">
        <f>SUM(OSRRefE21_5x_0)</f>
        <v>4733</v>
      </c>
      <c r="O52" s="2">
        <f>SUM(OSRRefE21_5x_1)</f>
        <v>4733</v>
      </c>
      <c r="Q52" s="3">
        <f>SUM(OSRRefD20_5x)+IFERROR(SUM(OSRRefE20_5x),0)</f>
        <v>56249.57</v>
      </c>
    </row>
    <row r="53" spans="1:17" s="42" customFormat="1" ht="15" hidden="1" customHeight="1" outlineLevel="1" x14ac:dyDescent="0.3">
      <c r="A53" s="34"/>
      <c r="B53" s="11" t="str">
        <f>CONCATENATE("          ","6321"," - ","BUILDING DEPRECIATION")</f>
        <v xml:space="preserve">          6321 - BUILDING DEPRECIATION</v>
      </c>
      <c r="C53" s="15"/>
      <c r="D53" s="3">
        <v>4626.5</v>
      </c>
      <c r="E53" s="3">
        <v>4626.5</v>
      </c>
      <c r="F53" s="3">
        <v>4626.5</v>
      </c>
      <c r="G53" s="3">
        <v>4626.5</v>
      </c>
      <c r="H53" s="3">
        <v>4626.5</v>
      </c>
      <c r="I53" s="3">
        <v>4626.5</v>
      </c>
      <c r="J53" s="3">
        <v>4626.5</v>
      </c>
      <c r="K53" s="3">
        <v>4626.5</v>
      </c>
      <c r="L53" s="3">
        <v>4626.5</v>
      </c>
      <c r="M53" s="3">
        <v>4626.5</v>
      </c>
      <c r="N53" s="3"/>
      <c r="O53" s="3"/>
      <c r="P53" s="10"/>
      <c r="Q53" s="3">
        <f>SUM(OSRRefD21_5_0x)+IFERROR(SUM(OSRRefE21_5_0x),0)</f>
        <v>46265</v>
      </c>
    </row>
    <row r="54" spans="1:17" s="42" customFormat="1" ht="15" hidden="1" customHeight="1" outlineLevel="1" x14ac:dyDescent="0.3">
      <c r="A54" s="34"/>
      <c r="B54" s="11" t="str">
        <f>CONCATENATE("          ","6322"," - ","EQUIPMENT DEPRECIATION EXPENSE")</f>
        <v xml:space="preserve">          6322 - EQUIPMENT DEPRECIATION EXPENSE</v>
      </c>
      <c r="C54" s="15"/>
      <c r="D54" s="3"/>
      <c r="E54" s="3"/>
      <c r="F54" s="3"/>
      <c r="G54" s="3"/>
      <c r="H54" s="3"/>
      <c r="I54" s="3"/>
      <c r="J54" s="3"/>
      <c r="K54" s="3"/>
      <c r="L54" s="3"/>
      <c r="M54" s="3">
        <v>518.57000000000005</v>
      </c>
      <c r="N54" s="3">
        <v>4733</v>
      </c>
      <c r="O54" s="3">
        <v>4733</v>
      </c>
      <c r="P54" s="10"/>
      <c r="Q54" s="3">
        <f>SUM(OSRRefD21_5_1x)+IFERROR(SUM(OSRRefE21_5_1x),0)</f>
        <v>9984.57</v>
      </c>
    </row>
    <row r="55" spans="1:17" s="42" customFormat="1" ht="15" customHeight="1" collapsed="1" x14ac:dyDescent="0.3">
      <c r="A55" s="34"/>
      <c r="B55" s="15" t="str">
        <f>CONCATENATE("     ","Employees' Appreciation                           ")</f>
        <v xml:space="preserve">     Employees' Appreciation                           </v>
      </c>
      <c r="C55" s="15"/>
      <c r="D55" s="2">
        <f>SUM(OSRRefD21_6x_0)</f>
        <v>0</v>
      </c>
      <c r="E55" s="2">
        <f>SUM(OSRRefD21_6x_1)</f>
        <v>0</v>
      </c>
      <c r="F55" s="2">
        <f>SUM(OSRRefD21_6x_2)</f>
        <v>0</v>
      </c>
      <c r="G55" s="2">
        <f>SUM(OSRRefD21_6x_3)</f>
        <v>73.22</v>
      </c>
      <c r="H55" s="2">
        <f>SUM(OSRRefD21_6x_4)</f>
        <v>0</v>
      </c>
      <c r="I55" s="2">
        <f>SUM(OSRRefD21_6x_5)</f>
        <v>173.7</v>
      </c>
      <c r="J55" s="2">
        <f>SUM(OSRRefD21_6x_6)</f>
        <v>0</v>
      </c>
      <c r="K55" s="2">
        <f>SUM(OSRRefD21_6x_7)</f>
        <v>0</v>
      </c>
      <c r="L55" s="2">
        <f>SUM(OSRRefD21_6x_8)</f>
        <v>0</v>
      </c>
      <c r="M55" s="2">
        <f>SUM(OSRRefD21_6x_9)</f>
        <v>0</v>
      </c>
      <c r="N55" s="2">
        <f>SUM(OSRRefE21_6x_0)</f>
        <v>20</v>
      </c>
      <c r="O55" s="2">
        <f>SUM(OSRRefE21_6x_1)</f>
        <v>0</v>
      </c>
      <c r="Q55" s="3">
        <f>SUM(OSRRefD20_6x)+IFERROR(SUM(OSRRefE20_6x),0)</f>
        <v>266.91999999999996</v>
      </c>
    </row>
    <row r="56" spans="1:17" s="42" customFormat="1" ht="15" hidden="1" customHeight="1" outlineLevel="1" x14ac:dyDescent="0.3">
      <c r="A56" s="34"/>
      <c r="B56" s="11" t="str">
        <f>CONCATENATE("          ","6277"," - ","EMPLOYEE APPRECIATION")</f>
        <v xml:space="preserve">          6277 - EMPLOYEE APPRECIATION</v>
      </c>
      <c r="C56" s="15"/>
      <c r="D56" s="3"/>
      <c r="E56" s="3"/>
      <c r="F56" s="3"/>
      <c r="G56" s="3">
        <v>73.22</v>
      </c>
      <c r="H56" s="3"/>
      <c r="I56" s="3">
        <v>173.7</v>
      </c>
      <c r="J56" s="3"/>
      <c r="K56" s="3"/>
      <c r="L56" s="3"/>
      <c r="M56" s="3"/>
      <c r="N56" s="3">
        <v>20</v>
      </c>
      <c r="O56" s="3"/>
      <c r="P56" s="10"/>
      <c r="Q56" s="3">
        <f>SUM(OSRRefD21_6_0x)+IFERROR(SUM(OSRRefE21_6_0x),0)</f>
        <v>266.91999999999996</v>
      </c>
    </row>
    <row r="57" spans="1:17" s="42" customFormat="1" ht="15" customHeight="1" collapsed="1" x14ac:dyDescent="0.3">
      <c r="A57" s="34"/>
      <c r="B57" s="15" t="str">
        <f>CONCATENATE("     ","General                                           ")</f>
        <v xml:space="preserve">     General                                           </v>
      </c>
      <c r="C57" s="15"/>
      <c r="D57" s="2">
        <f>SUM(OSRRefD21_7x_0)</f>
        <v>0</v>
      </c>
      <c r="E57" s="2">
        <f>SUM(OSRRefD21_7x_1)</f>
        <v>1887.3</v>
      </c>
      <c r="F57" s="2">
        <f>SUM(OSRRefD21_7x_2)</f>
        <v>0</v>
      </c>
      <c r="G57" s="2">
        <f>SUM(OSRRefD21_7x_3)</f>
        <v>0</v>
      </c>
      <c r="H57" s="2">
        <f>SUM(OSRRefD21_7x_4)</f>
        <v>0</v>
      </c>
      <c r="I57" s="2">
        <f>SUM(OSRRefD21_7x_5)</f>
        <v>6</v>
      </c>
      <c r="J57" s="2">
        <f>SUM(OSRRefD21_7x_6)</f>
        <v>0</v>
      </c>
      <c r="K57" s="2">
        <f>SUM(OSRRefD21_7x_7)</f>
        <v>0</v>
      </c>
      <c r="L57" s="2">
        <f>SUM(OSRRefD21_7x_8)</f>
        <v>40.049999999999997</v>
      </c>
      <c r="M57" s="2">
        <f>SUM(OSRRefD21_7x_9)</f>
        <v>-631.45000000000005</v>
      </c>
      <c r="N57" s="2">
        <f>SUM(OSRRefE21_7x_0)</f>
        <v>0</v>
      </c>
      <c r="O57" s="2">
        <f>SUM(OSRRefE21_7x_1)</f>
        <v>0</v>
      </c>
      <c r="Q57" s="3">
        <f>SUM(OSRRefD20_7x)+IFERROR(SUM(OSRRefE20_7x),0)</f>
        <v>1301.8999999999999</v>
      </c>
    </row>
    <row r="58" spans="1:17" s="42" customFormat="1" ht="15" hidden="1" customHeight="1" outlineLevel="1" x14ac:dyDescent="0.3">
      <c r="A58" s="34"/>
      <c r="B58" s="11" t="str">
        <f>CONCATENATE("          ","6279"," - ","GENERAL EXPENSE")</f>
        <v xml:space="preserve">          6279 - GENERAL EXPENSE</v>
      </c>
      <c r="C58" s="15"/>
      <c r="D58" s="3"/>
      <c r="E58" s="3">
        <v>1887.3</v>
      </c>
      <c r="F58" s="3"/>
      <c r="G58" s="3"/>
      <c r="H58" s="3"/>
      <c r="I58" s="3">
        <v>6</v>
      </c>
      <c r="J58" s="3"/>
      <c r="K58" s="3"/>
      <c r="L58" s="3">
        <v>40.049999999999997</v>
      </c>
      <c r="M58" s="3">
        <v>-631.45000000000005</v>
      </c>
      <c r="N58" s="3"/>
      <c r="O58" s="3"/>
      <c r="P58" s="10"/>
      <c r="Q58" s="3">
        <f>SUM(OSRRefD21_7_0x)+IFERROR(SUM(OSRRefE21_7_0x),0)</f>
        <v>1301.8999999999999</v>
      </c>
    </row>
    <row r="59" spans="1:17" s="42" customFormat="1" ht="15" customHeight="1" collapsed="1" x14ac:dyDescent="0.3">
      <c r="A59" s="34"/>
      <c r="B59" s="15" t="str">
        <f>CONCATENATE("     ","Rent                                              ")</f>
        <v xml:space="preserve">     Rent                                              </v>
      </c>
      <c r="C59" s="15"/>
      <c r="D59" s="2">
        <f>SUM(OSRRefD21_8x_0)</f>
        <v>1850</v>
      </c>
      <c r="E59" s="2">
        <f>SUM(OSRRefD21_8x_1)</f>
        <v>1850</v>
      </c>
      <c r="F59" s="2">
        <f>SUM(OSRRefD21_8x_2)</f>
        <v>1850</v>
      </c>
      <c r="G59" s="2">
        <f>SUM(OSRRefD21_8x_3)</f>
        <v>1850</v>
      </c>
      <c r="H59" s="2">
        <f>SUM(OSRRefD21_8x_4)</f>
        <v>1850</v>
      </c>
      <c r="I59" s="2">
        <f>SUM(OSRRefD21_8x_5)</f>
        <v>1850</v>
      </c>
      <c r="J59" s="2">
        <f>SUM(OSRRefD21_8x_6)</f>
        <v>1850</v>
      </c>
      <c r="K59" s="2">
        <f>SUM(OSRRefD21_8x_7)</f>
        <v>1850</v>
      </c>
      <c r="L59" s="2">
        <f>SUM(OSRRefD21_8x_8)</f>
        <v>1850</v>
      </c>
      <c r="M59" s="2">
        <f>SUM(OSRRefD21_8x_9)</f>
        <v>1850</v>
      </c>
      <c r="N59" s="2">
        <f>SUM(OSRRefE21_8x_0)</f>
        <v>1850</v>
      </c>
      <c r="O59" s="2">
        <f>SUM(OSRRefE21_8x_1)</f>
        <v>1850</v>
      </c>
      <c r="Q59" s="3">
        <f>SUM(OSRRefD20_8x)+IFERROR(SUM(OSRRefE20_8x),0)</f>
        <v>22200</v>
      </c>
    </row>
    <row r="60" spans="1:17" s="42" customFormat="1" ht="15" hidden="1" customHeight="1" outlineLevel="1" x14ac:dyDescent="0.3">
      <c r="A60" s="34"/>
      <c r="B60" s="11" t="str">
        <f>CONCATENATE("          ","6273"," - ","RENT")</f>
        <v xml:space="preserve">          6273 - RENT</v>
      </c>
      <c r="C60" s="15"/>
      <c r="D60" s="3">
        <v>1850</v>
      </c>
      <c r="E60" s="3">
        <v>1850</v>
      </c>
      <c r="F60" s="3">
        <v>1850</v>
      </c>
      <c r="G60" s="3">
        <v>1850</v>
      </c>
      <c r="H60" s="3">
        <v>1850</v>
      </c>
      <c r="I60" s="3">
        <v>1850</v>
      </c>
      <c r="J60" s="3">
        <v>1850</v>
      </c>
      <c r="K60" s="3">
        <v>1850</v>
      </c>
      <c r="L60" s="3">
        <v>1850</v>
      </c>
      <c r="M60" s="3">
        <v>1850</v>
      </c>
      <c r="N60" s="3">
        <v>1850</v>
      </c>
      <c r="O60" s="3">
        <v>1850</v>
      </c>
      <c r="P60" s="10"/>
      <c r="Q60" s="3">
        <f>SUM(OSRRefD21_8_0x)+IFERROR(SUM(OSRRefE21_8_0x),0)</f>
        <v>22200</v>
      </c>
    </row>
    <row r="61" spans="1:17" s="42" customFormat="1" ht="15" customHeight="1" collapsed="1" x14ac:dyDescent="0.3">
      <c r="A61" s="34"/>
      <c r="B61" s="15" t="str">
        <f>CONCATENATE("     ","Repair and Maintenance                            ")</f>
        <v xml:space="preserve">     Repair and Maintenance                            </v>
      </c>
      <c r="C61" s="15"/>
      <c r="D61" s="2">
        <f>SUM(OSRRefD21_9x_0)</f>
        <v>130.94999999999999</v>
      </c>
      <c r="E61" s="2">
        <f>SUM(OSRRefD21_9x_1)</f>
        <v>1665.08</v>
      </c>
      <c r="F61" s="2">
        <f>SUM(OSRRefD21_9x_2)</f>
        <v>71.86</v>
      </c>
      <c r="G61" s="2">
        <f>SUM(OSRRefD21_9x_3)</f>
        <v>37</v>
      </c>
      <c r="H61" s="2">
        <f>SUM(OSRRefD21_9x_4)</f>
        <v>1277.0999999999999</v>
      </c>
      <c r="I61" s="2">
        <f>SUM(OSRRefD21_9x_5)</f>
        <v>493.99</v>
      </c>
      <c r="J61" s="2">
        <f>SUM(OSRRefD21_9x_6)</f>
        <v>53.25</v>
      </c>
      <c r="K61" s="2">
        <f>SUM(OSRRefD21_9x_7)</f>
        <v>1713.78</v>
      </c>
      <c r="L61" s="2">
        <f>SUM(OSRRefD21_9x_8)</f>
        <v>554.38</v>
      </c>
      <c r="M61" s="2">
        <f>SUM(OSRRefD21_9x_9)</f>
        <v>2500.6999999999998</v>
      </c>
      <c r="N61" s="2">
        <f>SUM(OSRRefE21_9x_0)</f>
        <v>500</v>
      </c>
      <c r="O61" s="2">
        <f>SUM(OSRRefE21_9x_1)</f>
        <v>500</v>
      </c>
      <c r="Q61" s="3">
        <f>SUM(OSRRefD20_9x)+IFERROR(SUM(OSRRefE20_9x),0)</f>
        <v>9498.09</v>
      </c>
    </row>
    <row r="62" spans="1:17" s="42" customFormat="1" ht="15" hidden="1" customHeight="1" outlineLevel="1" x14ac:dyDescent="0.3">
      <c r="A62" s="34"/>
      <c r="B62" s="11" t="str">
        <f>CONCATENATE("          ","6373"," - ","MAINTENANCE CONTRACTS")</f>
        <v xml:space="preserve">          6373 - MAINTENANCE CONTRACTS</v>
      </c>
      <c r="C62" s="15"/>
      <c r="D62" s="3"/>
      <c r="E62" s="3"/>
      <c r="F62" s="3">
        <v>71.86</v>
      </c>
      <c r="G62" s="3"/>
      <c r="H62" s="3"/>
      <c r="I62" s="3">
        <v>74.89</v>
      </c>
      <c r="J62" s="3"/>
      <c r="K62" s="3"/>
      <c r="L62" s="3">
        <v>74.89</v>
      </c>
      <c r="M62" s="3"/>
      <c r="N62" s="3"/>
      <c r="O62" s="3"/>
      <c r="P62" s="10"/>
      <c r="Q62" s="3">
        <f>SUM(OSRRefD21_9_0x)+IFERROR(SUM(OSRRefE21_9_0x),0)</f>
        <v>221.64</v>
      </c>
    </row>
    <row r="63" spans="1:17" s="42" customFormat="1" ht="15" hidden="1" customHeight="1" outlineLevel="1" x14ac:dyDescent="0.3">
      <c r="A63" s="34"/>
      <c r="B63" s="11" t="str">
        <f>CONCATENATE("          ","6375"," - ","OUTSIDE REPAIRS &amp; MAINTENANCE")</f>
        <v xml:space="preserve">          6375 - OUTSIDE REPAIRS &amp; MAINTENANCE</v>
      </c>
      <c r="C63" s="15"/>
      <c r="D63" s="3">
        <v>130.94999999999999</v>
      </c>
      <c r="E63" s="3">
        <v>1665.08</v>
      </c>
      <c r="F63" s="3"/>
      <c r="G63" s="3">
        <v>37</v>
      </c>
      <c r="H63" s="3">
        <v>1277.0999999999999</v>
      </c>
      <c r="I63" s="3">
        <v>419.1</v>
      </c>
      <c r="J63" s="3">
        <v>53.25</v>
      </c>
      <c r="K63" s="3">
        <v>1713.78</v>
      </c>
      <c r="L63" s="3">
        <v>479.49</v>
      </c>
      <c r="M63" s="3">
        <v>2500.6999999999998</v>
      </c>
      <c r="N63" s="3">
        <v>500</v>
      </c>
      <c r="O63" s="3">
        <v>500</v>
      </c>
      <c r="P63" s="10"/>
      <c r="Q63" s="3">
        <f>SUM(OSRRefD21_9_1x)+IFERROR(SUM(OSRRefE21_9_1x),0)</f>
        <v>9276.4500000000007</v>
      </c>
    </row>
    <row r="64" spans="1:17" s="42" customFormat="1" ht="15" customHeight="1" collapsed="1" x14ac:dyDescent="0.3">
      <c r="A64" s="34"/>
      <c r="B64" s="15" t="str">
        <f>CONCATENATE("     ","Services                                          ")</f>
        <v xml:space="preserve">     Services                                          </v>
      </c>
      <c r="C64" s="15"/>
      <c r="D64" s="2">
        <f>SUM(OSRRefD21_10x_0)</f>
        <v>0</v>
      </c>
      <c r="E64" s="2">
        <f>SUM(OSRRefD21_10x_1)</f>
        <v>0</v>
      </c>
      <c r="F64" s="2">
        <f>SUM(OSRRefD21_10x_2)</f>
        <v>3733.86</v>
      </c>
      <c r="G64" s="2">
        <f>SUM(OSRRefD21_10x_3)</f>
        <v>245.44</v>
      </c>
      <c r="H64" s="2">
        <f>SUM(OSRRefD21_10x_4)</f>
        <v>20.7</v>
      </c>
      <c r="I64" s="2">
        <f>SUM(OSRRefD21_10x_5)</f>
        <v>851.3</v>
      </c>
      <c r="J64" s="2">
        <f>SUM(OSRRefD21_10x_6)</f>
        <v>0</v>
      </c>
      <c r="K64" s="2">
        <f>SUM(OSRRefD21_10x_7)</f>
        <v>246.4</v>
      </c>
      <c r="L64" s="2">
        <f>SUM(OSRRefD21_10x_8)</f>
        <v>202.1</v>
      </c>
      <c r="M64" s="2">
        <f>SUM(OSRRefD21_10x_9)</f>
        <v>1138.3</v>
      </c>
      <c r="N64" s="2">
        <f>SUM(OSRRefE21_10x_0)</f>
        <v>2273</v>
      </c>
      <c r="O64" s="2">
        <f>SUM(OSRRefE21_10x_1)</f>
        <v>2263</v>
      </c>
      <c r="Q64" s="3">
        <f>SUM(OSRRefD20_10x)+IFERROR(SUM(OSRRefE20_10x),0)</f>
        <v>10974.1</v>
      </c>
    </row>
    <row r="65" spans="1:17" s="42" customFormat="1" ht="15" hidden="1" customHeight="1" outlineLevel="1" x14ac:dyDescent="0.3">
      <c r="A65" s="34"/>
      <c r="B65" s="11" t="str">
        <f>CONCATENATE("          ","6282"," - ","JANITORIAL/EXTERMINATOR EXPENS")</f>
        <v xml:space="preserve">          6282 - JANITORIAL/EXTERMINATOR EXPENS</v>
      </c>
      <c r="C65" s="15"/>
      <c r="D65" s="3"/>
      <c r="E65" s="3"/>
      <c r="F65" s="3"/>
      <c r="G65" s="3">
        <v>63.86</v>
      </c>
      <c r="H65" s="3"/>
      <c r="I65" s="3">
        <v>388</v>
      </c>
      <c r="J65" s="3"/>
      <c r="K65" s="3">
        <v>190</v>
      </c>
      <c r="L65" s="3">
        <v>95</v>
      </c>
      <c r="M65" s="3">
        <v>95</v>
      </c>
      <c r="N65" s="3">
        <v>150</v>
      </c>
      <c r="O65" s="3">
        <v>150</v>
      </c>
      <c r="P65" s="10"/>
      <c r="Q65" s="3">
        <f>SUM(OSRRefD21_10_0x)+IFERROR(SUM(OSRRefE21_10_0x),0)</f>
        <v>1131.8600000000001</v>
      </c>
    </row>
    <row r="66" spans="1:17" s="42" customFormat="1" ht="15" hidden="1" customHeight="1" outlineLevel="1" x14ac:dyDescent="0.3">
      <c r="A66" s="34"/>
      <c r="B66" s="11" t="str">
        <f>CONCATENATE("          ","6285"," - ","JANITORIAL SERVICES")</f>
        <v xml:space="preserve">          6285 - JANITORIAL SERVICES</v>
      </c>
      <c r="C66" s="15"/>
      <c r="D66" s="3"/>
      <c r="E66" s="3"/>
      <c r="F66" s="3">
        <v>3660</v>
      </c>
      <c r="G66" s="3"/>
      <c r="H66" s="3"/>
      <c r="I66" s="3"/>
      <c r="J66" s="3"/>
      <c r="K66" s="3"/>
      <c r="L66" s="3"/>
      <c r="M66" s="3"/>
      <c r="N66" s="3">
        <v>2083</v>
      </c>
      <c r="O66" s="3">
        <v>2083</v>
      </c>
      <c r="P66" s="10"/>
      <c r="Q66" s="3">
        <f>SUM(OSRRefD21_10_1x)+IFERROR(SUM(OSRRefE21_10_1x),0)</f>
        <v>7826</v>
      </c>
    </row>
    <row r="67" spans="1:17" s="42" customFormat="1" ht="15" hidden="1" customHeight="1" outlineLevel="1" x14ac:dyDescent="0.3">
      <c r="A67" s="34"/>
      <c r="B67" s="11" t="str">
        <f>CONCATENATE("          ","6286"," - ","LAUNDRY EXPENSE")</f>
        <v xml:space="preserve">          6286 - LAUNDRY EXPENSE</v>
      </c>
      <c r="C67" s="15"/>
      <c r="D67" s="3"/>
      <c r="E67" s="3"/>
      <c r="F67" s="3">
        <v>73.86</v>
      </c>
      <c r="G67" s="3">
        <v>181.58</v>
      </c>
      <c r="H67" s="3">
        <v>20.7</v>
      </c>
      <c r="I67" s="3">
        <v>463.3</v>
      </c>
      <c r="J67" s="3"/>
      <c r="K67" s="3">
        <v>56.4</v>
      </c>
      <c r="L67" s="3">
        <v>107.1</v>
      </c>
      <c r="M67" s="3">
        <v>1043.3</v>
      </c>
      <c r="N67" s="3">
        <v>40</v>
      </c>
      <c r="O67" s="3">
        <v>30</v>
      </c>
      <c r="P67" s="10"/>
      <c r="Q67" s="3">
        <f>SUM(OSRRefD21_10_2x)+IFERROR(SUM(OSRRefE21_10_2x),0)</f>
        <v>2016.24</v>
      </c>
    </row>
    <row r="68" spans="1:17" s="42" customFormat="1" ht="15" customHeight="1" collapsed="1" x14ac:dyDescent="0.3">
      <c r="A68" s="34"/>
      <c r="B68" s="15" t="str">
        <f>CONCATENATE("     ","Subscriptions &amp; Dues                              ")</f>
        <v xml:space="preserve">     Subscriptions &amp; Dues                              </v>
      </c>
      <c r="C68" s="15"/>
      <c r="D68" s="2">
        <f>SUM(OSRRefD21_11x_0)</f>
        <v>0</v>
      </c>
      <c r="E68" s="2">
        <f>SUM(OSRRefD21_11x_1)</f>
        <v>0</v>
      </c>
      <c r="F68" s="2">
        <f>SUM(OSRRefD21_11x_2)</f>
        <v>0</v>
      </c>
      <c r="G68" s="2">
        <f>SUM(OSRRefD21_11x_3)</f>
        <v>173.04</v>
      </c>
      <c r="H68" s="2">
        <f>SUM(OSRRefD21_11x_4)</f>
        <v>44.9</v>
      </c>
      <c r="I68" s="2">
        <f>SUM(OSRRefD21_11x_5)</f>
        <v>17.95</v>
      </c>
      <c r="J68" s="2">
        <f>SUM(OSRRefD21_11x_6)</f>
        <v>17.95</v>
      </c>
      <c r="K68" s="2">
        <f>SUM(OSRRefD21_11x_7)</f>
        <v>17.95</v>
      </c>
      <c r="L68" s="2">
        <f>SUM(OSRRefD21_11x_8)</f>
        <v>17.95</v>
      </c>
      <c r="M68" s="2">
        <f>SUM(OSRRefD21_11x_9)</f>
        <v>17.95</v>
      </c>
      <c r="N68" s="2">
        <f>SUM(OSRRefE21_11x_0)</f>
        <v>30</v>
      </c>
      <c r="O68" s="2">
        <f>SUM(OSRRefE21_11x_1)</f>
        <v>30</v>
      </c>
      <c r="Q68" s="3">
        <f>SUM(OSRRefD20_11x)+IFERROR(SUM(OSRRefE20_11x),0)</f>
        <v>367.68999999999994</v>
      </c>
    </row>
    <row r="69" spans="1:17" s="42" customFormat="1" ht="15" hidden="1" customHeight="1" outlineLevel="1" x14ac:dyDescent="0.3">
      <c r="A69" s="34"/>
      <c r="B69" s="11" t="str">
        <f>CONCATENATE("          ","6275"," - ","SUBSCRIPTIONS")</f>
        <v xml:space="preserve">          6275 - SUBSCRIPTIONS</v>
      </c>
      <c r="C69" s="15"/>
      <c r="D69" s="3"/>
      <c r="E69" s="3"/>
      <c r="F69" s="3"/>
      <c r="G69" s="3">
        <v>173.04</v>
      </c>
      <c r="H69" s="3">
        <v>44.9</v>
      </c>
      <c r="I69" s="3">
        <v>17.95</v>
      </c>
      <c r="J69" s="3">
        <v>17.95</v>
      </c>
      <c r="K69" s="3">
        <v>17.95</v>
      </c>
      <c r="L69" s="3">
        <v>17.95</v>
      </c>
      <c r="M69" s="3">
        <v>17.95</v>
      </c>
      <c r="N69" s="3">
        <v>30</v>
      </c>
      <c r="O69" s="3">
        <v>30</v>
      </c>
      <c r="P69" s="10"/>
      <c r="Q69" s="3">
        <f>SUM(OSRRefD21_11_0x)+IFERROR(SUM(OSRRefE21_11_0x),0)</f>
        <v>367.68999999999994</v>
      </c>
    </row>
    <row r="70" spans="1:17" s="42" customFormat="1" ht="15" customHeight="1" collapsed="1" x14ac:dyDescent="0.3">
      <c r="A70" s="34"/>
      <c r="B70" s="15" t="str">
        <f>CONCATENATE("     ","Supplies                                          ")</f>
        <v xml:space="preserve">     Supplies                                          </v>
      </c>
      <c r="C70" s="15"/>
      <c r="D70" s="2">
        <f>SUM(OSRRefD21_12x_0)</f>
        <v>43.79</v>
      </c>
      <c r="E70" s="2">
        <f>SUM(OSRRefD21_12x_1)</f>
        <v>884.73</v>
      </c>
      <c r="F70" s="2">
        <f>SUM(OSRRefD21_12x_2)</f>
        <v>711.2</v>
      </c>
      <c r="G70" s="2">
        <f>SUM(OSRRefD21_12x_3)</f>
        <v>2741.66</v>
      </c>
      <c r="H70" s="2">
        <f>SUM(OSRRefD21_12x_4)</f>
        <v>409.18</v>
      </c>
      <c r="I70" s="2">
        <f>SUM(OSRRefD21_12x_5)</f>
        <v>574.30999999999995</v>
      </c>
      <c r="J70" s="2">
        <f>SUM(OSRRefD21_12x_6)</f>
        <v>1183.74</v>
      </c>
      <c r="K70" s="2">
        <f>SUM(OSRRefD21_12x_7)</f>
        <v>3065.6499999999996</v>
      </c>
      <c r="L70" s="2">
        <f>SUM(OSRRefD21_12x_8)</f>
        <v>2444.66</v>
      </c>
      <c r="M70" s="2">
        <f>SUM(OSRRefD21_12x_9)</f>
        <v>1384.08</v>
      </c>
      <c r="N70" s="2">
        <f>SUM(OSRRefE21_12x_0)</f>
        <v>525</v>
      </c>
      <c r="O70" s="2">
        <f>SUM(OSRRefE21_12x_1)</f>
        <v>375</v>
      </c>
      <c r="Q70" s="3">
        <f>SUM(OSRRefD20_12x)+IFERROR(SUM(OSRRefE20_12x),0)</f>
        <v>14343</v>
      </c>
    </row>
    <row r="71" spans="1:17" s="42" customFormat="1" ht="15" hidden="1" customHeight="1" outlineLevel="1" x14ac:dyDescent="0.3">
      <c r="A71" s="34"/>
      <c r="B71" s="11" t="str">
        <f>CONCATENATE("          ","6234"," - ","EXPENDABLE SUPPLIES &amp; EQUIPMEN")</f>
        <v xml:space="preserve">          6234 - EXPENDABLE SUPPLIES &amp; EQUIPMEN</v>
      </c>
      <c r="C71" s="15"/>
      <c r="D71" s="3"/>
      <c r="E71" s="3"/>
      <c r="F71" s="3"/>
      <c r="G71" s="3"/>
      <c r="H71" s="3"/>
      <c r="I71" s="3"/>
      <c r="J71" s="3"/>
      <c r="K71" s="3"/>
      <c r="L71" s="3">
        <v>108.73</v>
      </c>
      <c r="M71" s="3">
        <v>175.34</v>
      </c>
      <c r="N71" s="3"/>
      <c r="O71" s="3"/>
      <c r="P71" s="10"/>
      <c r="Q71" s="3">
        <f>SUM(OSRRefD21_12_0x)+IFERROR(SUM(OSRRefE21_12_0x),0)</f>
        <v>284.07</v>
      </c>
    </row>
    <row r="72" spans="1:17" s="42" customFormat="1" ht="15" hidden="1" customHeight="1" outlineLevel="1" x14ac:dyDescent="0.3">
      <c r="A72" s="34"/>
      <c r="B72" s="11" t="str">
        <f>CONCATENATE("          ","6235"," - ","COVID-19 EXPENSES")</f>
        <v xml:space="preserve">          6235 - COVID-19 EXPENSES</v>
      </c>
      <c r="C72" s="15"/>
      <c r="D72" s="3"/>
      <c r="E72" s="3"/>
      <c r="F72" s="3">
        <v>193.5</v>
      </c>
      <c r="G72" s="3"/>
      <c r="H72" s="3"/>
      <c r="I72" s="3"/>
      <c r="J72" s="3"/>
      <c r="K72" s="3"/>
      <c r="L72" s="3">
        <v>35.72</v>
      </c>
      <c r="M72" s="3"/>
      <c r="N72" s="3">
        <v>75</v>
      </c>
      <c r="O72" s="3">
        <v>75</v>
      </c>
      <c r="P72" s="10"/>
      <c r="Q72" s="3">
        <f>SUM(OSRRefD21_12_1x)+IFERROR(SUM(OSRRefE21_12_1x),0)</f>
        <v>379.22</v>
      </c>
    </row>
    <row r="73" spans="1:17" s="42" customFormat="1" ht="15" hidden="1" customHeight="1" outlineLevel="1" x14ac:dyDescent="0.3">
      <c r="A73" s="34"/>
      <c r="B73" s="11" t="str">
        <f>CONCATENATE("          ","6237"," - ","JANITORIAL SUPPLIES")</f>
        <v xml:space="preserve">          6237 - JANITORIAL SUPPLIES</v>
      </c>
      <c r="C73" s="15"/>
      <c r="D73" s="3"/>
      <c r="E73" s="3">
        <v>48.12</v>
      </c>
      <c r="F73" s="3"/>
      <c r="G73" s="3"/>
      <c r="H73" s="3"/>
      <c r="I73" s="3"/>
      <c r="J73" s="3"/>
      <c r="K73" s="3"/>
      <c r="L73" s="3"/>
      <c r="M73" s="3"/>
      <c r="N73" s="3">
        <v>150</v>
      </c>
      <c r="O73" s="3">
        <v>100</v>
      </c>
      <c r="P73" s="10"/>
      <c r="Q73" s="3">
        <f>SUM(OSRRefD21_12_2x)+IFERROR(SUM(OSRRefE21_12_2x),0)</f>
        <v>298.12</v>
      </c>
    </row>
    <row r="74" spans="1:17" s="42" customFormat="1" ht="15" hidden="1" customHeight="1" outlineLevel="1" x14ac:dyDescent="0.3">
      <c r="A74" s="34"/>
      <c r="B74" s="11" t="str">
        <f>CONCATENATE("          ","6239"," - ","KITCHEN SUPPLIES")</f>
        <v xml:space="preserve">          6239 - KITCHEN SUPPLIES</v>
      </c>
      <c r="C74" s="15"/>
      <c r="D74" s="3"/>
      <c r="E74" s="3"/>
      <c r="F74" s="3">
        <v>83.36</v>
      </c>
      <c r="G74" s="3">
        <v>685.8</v>
      </c>
      <c r="H74" s="3">
        <v>105.7</v>
      </c>
      <c r="I74" s="3">
        <v>454.42</v>
      </c>
      <c r="J74" s="3">
        <v>616.36</v>
      </c>
      <c r="K74" s="3">
        <v>929.14</v>
      </c>
      <c r="L74" s="3">
        <v>1624.71</v>
      </c>
      <c r="M74" s="3">
        <v>1033.3399999999999</v>
      </c>
      <c r="N74" s="3"/>
      <c r="O74" s="3"/>
      <c r="P74" s="10"/>
      <c r="Q74" s="3">
        <f>SUM(OSRRefD21_12_3x)+IFERROR(SUM(OSRRefE21_12_3x),0)</f>
        <v>5532.83</v>
      </c>
    </row>
    <row r="75" spans="1:17" s="42" customFormat="1" ht="15" hidden="1" customHeight="1" outlineLevel="1" x14ac:dyDescent="0.3">
      <c r="A75" s="34"/>
      <c r="B75" s="11" t="str">
        <f>CONCATENATE("          ","6241"," - ","OFFICE EXPENSE")</f>
        <v xml:space="preserve">          6241 - OFFICE EXPENSE</v>
      </c>
      <c r="C75" s="15"/>
      <c r="D75" s="3">
        <v>43.79</v>
      </c>
      <c r="E75" s="3">
        <v>636.61</v>
      </c>
      <c r="F75" s="3">
        <v>169.8</v>
      </c>
      <c r="G75" s="3">
        <v>781.88</v>
      </c>
      <c r="H75" s="3">
        <v>110.53</v>
      </c>
      <c r="I75" s="3">
        <v>53.22</v>
      </c>
      <c r="J75" s="3">
        <v>23.08</v>
      </c>
      <c r="K75" s="3">
        <v>258.93</v>
      </c>
      <c r="L75" s="3"/>
      <c r="M75" s="3">
        <v>80.3</v>
      </c>
      <c r="N75" s="3">
        <v>50</v>
      </c>
      <c r="O75" s="3"/>
      <c r="P75" s="10"/>
      <c r="Q75" s="3">
        <f>SUM(OSRRefD21_12_4x)+IFERROR(SUM(OSRRefE21_12_4x),0)</f>
        <v>2208.14</v>
      </c>
    </row>
    <row r="76" spans="1:17" s="42" customFormat="1" ht="15" hidden="1" customHeight="1" outlineLevel="1" x14ac:dyDescent="0.3">
      <c r="A76" s="34"/>
      <c r="B76" s="11" t="str">
        <f>CONCATENATE("          ","6243"," - ","PAPER SUPPLIES")</f>
        <v xml:space="preserve">          6243 - PAPER SUPPLIES</v>
      </c>
      <c r="C76" s="15"/>
      <c r="D76" s="3"/>
      <c r="E76" s="3"/>
      <c r="F76" s="3">
        <v>50.56</v>
      </c>
      <c r="G76" s="3">
        <v>394.35</v>
      </c>
      <c r="H76" s="3"/>
      <c r="I76" s="3">
        <v>66.67</v>
      </c>
      <c r="J76" s="3"/>
      <c r="K76" s="3"/>
      <c r="L76" s="3"/>
      <c r="M76" s="3"/>
      <c r="N76" s="3">
        <v>200</v>
      </c>
      <c r="O76" s="3">
        <v>150</v>
      </c>
      <c r="P76" s="10"/>
      <c r="Q76" s="3">
        <f>SUM(OSRRefD21_12_5x)+IFERROR(SUM(OSRRefE21_12_5x),0)</f>
        <v>861.58</v>
      </c>
    </row>
    <row r="77" spans="1:17" s="42" customFormat="1" ht="15" hidden="1" customHeight="1" outlineLevel="1" x14ac:dyDescent="0.3">
      <c r="A77" s="34"/>
      <c r="B77" s="11" t="str">
        <f>CONCATENATE("          ","6245"," - ","PRINTING")</f>
        <v xml:space="preserve">          6245 - PRINTING</v>
      </c>
      <c r="C77" s="15"/>
      <c r="D77" s="3"/>
      <c r="E77" s="3"/>
      <c r="F77" s="3"/>
      <c r="G77" s="3">
        <v>733</v>
      </c>
      <c r="H77" s="3"/>
      <c r="I77" s="3"/>
      <c r="J77" s="3"/>
      <c r="K77" s="3"/>
      <c r="L77" s="3"/>
      <c r="M77" s="3"/>
      <c r="N77" s="3">
        <v>50</v>
      </c>
      <c r="O77" s="3">
        <v>50</v>
      </c>
      <c r="P77" s="10"/>
      <c r="Q77" s="3">
        <f>SUM(OSRRefD21_12_6x)+IFERROR(SUM(OSRRefE21_12_6x),0)</f>
        <v>833</v>
      </c>
    </row>
    <row r="78" spans="1:17" s="42" customFormat="1" ht="15" hidden="1" customHeight="1" outlineLevel="1" x14ac:dyDescent="0.3">
      <c r="A78" s="34"/>
      <c r="B78" s="11" t="str">
        <f>CONCATENATE("          ","6247"," - ","STORE SUPPLIES")</f>
        <v xml:space="preserve">          6247 - STORE SUPPLIES</v>
      </c>
      <c r="C78" s="15"/>
      <c r="D78" s="3"/>
      <c r="E78" s="3">
        <v>200</v>
      </c>
      <c r="F78" s="3">
        <v>213.98</v>
      </c>
      <c r="G78" s="3">
        <v>146.63</v>
      </c>
      <c r="H78" s="3">
        <v>-60</v>
      </c>
      <c r="I78" s="3">
        <v>0</v>
      </c>
      <c r="J78" s="3">
        <v>195</v>
      </c>
      <c r="K78" s="3">
        <v>355.33</v>
      </c>
      <c r="L78" s="3">
        <v>10</v>
      </c>
      <c r="M78" s="3">
        <v>-103.35</v>
      </c>
      <c r="N78" s="3"/>
      <c r="O78" s="3"/>
      <c r="P78" s="10"/>
      <c r="Q78" s="3">
        <f>SUM(OSRRefD21_12_7x)+IFERROR(SUM(OSRRefE21_12_7x),0)</f>
        <v>957.59</v>
      </c>
    </row>
    <row r="79" spans="1:17" s="42" customFormat="1" ht="15" hidden="1" customHeight="1" outlineLevel="1" x14ac:dyDescent="0.3">
      <c r="A79" s="34"/>
      <c r="B79" s="11" t="str">
        <f>CONCATENATE("          ","6248"," - ","UNIFORMS")</f>
        <v xml:space="preserve">          6248 - UNIFORMS</v>
      </c>
      <c r="C79" s="15"/>
      <c r="D79" s="3"/>
      <c r="E79" s="3"/>
      <c r="F79" s="3"/>
      <c r="G79" s="3"/>
      <c r="H79" s="3">
        <v>252.95</v>
      </c>
      <c r="I79" s="3"/>
      <c r="J79" s="3">
        <v>349.3</v>
      </c>
      <c r="K79" s="3">
        <v>1522.25</v>
      </c>
      <c r="L79" s="3">
        <v>665.5</v>
      </c>
      <c r="M79" s="3">
        <v>198.45</v>
      </c>
      <c r="N79" s="3"/>
      <c r="O79" s="3"/>
      <c r="P79" s="10"/>
      <c r="Q79" s="3">
        <f>SUM(OSRRefD21_12_8x)+IFERROR(SUM(OSRRefE21_12_8x),0)</f>
        <v>2988.45</v>
      </c>
    </row>
    <row r="80" spans="1:17" s="42" customFormat="1" ht="15" customHeight="1" collapsed="1" x14ac:dyDescent="0.3">
      <c r="A80" s="34"/>
      <c r="B80" s="15" t="str">
        <f>CONCATENATE("     ","Telephone/Data Lines                              ")</f>
        <v xml:space="preserve">     Telephone/Data Lines                              </v>
      </c>
      <c r="C80" s="15"/>
      <c r="D80" s="2">
        <f>SUM(OSRRefD21_13x_0)</f>
        <v>150</v>
      </c>
      <c r="E80" s="2">
        <f>SUM(OSRRefD21_13x_1)</f>
        <v>150</v>
      </c>
      <c r="F80" s="2">
        <f>SUM(OSRRefD21_13x_2)</f>
        <v>75</v>
      </c>
      <c r="G80" s="2">
        <f>SUM(OSRRefD21_13x_3)</f>
        <v>150</v>
      </c>
      <c r="H80" s="2">
        <f>SUM(OSRRefD21_13x_4)</f>
        <v>75</v>
      </c>
      <c r="I80" s="2">
        <f>SUM(OSRRefD21_13x_5)</f>
        <v>0</v>
      </c>
      <c r="J80" s="2">
        <f>SUM(OSRRefD21_13x_6)</f>
        <v>75</v>
      </c>
      <c r="K80" s="2">
        <f>SUM(OSRRefD21_13x_7)</f>
        <v>75</v>
      </c>
      <c r="L80" s="2">
        <f>SUM(OSRRefD21_13x_8)</f>
        <v>75</v>
      </c>
      <c r="M80" s="2">
        <f>SUM(OSRRefD21_13x_9)</f>
        <v>150</v>
      </c>
      <c r="N80" s="2">
        <f>SUM(OSRRefE21_13x_0)</f>
        <v>150</v>
      </c>
      <c r="O80" s="2">
        <f>SUM(OSRRefE21_13x_1)</f>
        <v>150</v>
      </c>
      <c r="Q80" s="3">
        <f>SUM(OSRRefD20_13x)+IFERROR(SUM(OSRRefE20_13x),0)</f>
        <v>1275</v>
      </c>
    </row>
    <row r="81" spans="1:17" s="42" customFormat="1" ht="15" hidden="1" customHeight="1" outlineLevel="1" x14ac:dyDescent="0.3">
      <c r="A81" s="34"/>
      <c r="B81" s="11" t="str">
        <f>CONCATENATE("          ","6309"," - ","TELEPHONE")</f>
        <v xml:space="preserve">          6309 - TELEPHONE</v>
      </c>
      <c r="C81" s="15"/>
      <c r="D81" s="3">
        <v>150</v>
      </c>
      <c r="E81" s="3">
        <v>150</v>
      </c>
      <c r="F81" s="3">
        <v>75</v>
      </c>
      <c r="G81" s="3">
        <v>150</v>
      </c>
      <c r="H81" s="3">
        <v>75</v>
      </c>
      <c r="I81" s="3">
        <v>0</v>
      </c>
      <c r="J81" s="3">
        <v>75</v>
      </c>
      <c r="K81" s="3">
        <v>75</v>
      </c>
      <c r="L81" s="3">
        <v>75</v>
      </c>
      <c r="M81" s="3">
        <v>150</v>
      </c>
      <c r="N81" s="3">
        <v>150</v>
      </c>
      <c r="O81" s="3">
        <v>150</v>
      </c>
      <c r="P81" s="10"/>
      <c r="Q81" s="3">
        <f>SUM(OSRRefD21_13_0x)+IFERROR(SUM(OSRRefE21_13_0x),0)</f>
        <v>1275</v>
      </c>
    </row>
    <row r="82" spans="1:17" s="42" customFormat="1" ht="15" customHeight="1" collapsed="1" x14ac:dyDescent="0.3">
      <c r="A82" s="34"/>
      <c r="B82" s="15" t="str">
        <f>CONCATENATE("     ","Training                                          ")</f>
        <v xml:space="preserve">     Training                                          </v>
      </c>
      <c r="C82" s="15"/>
      <c r="D82" s="2">
        <f>SUM(OSRRefD21_14x_0)</f>
        <v>0</v>
      </c>
      <c r="E82" s="2">
        <f>SUM(OSRRefD21_14x_1)</f>
        <v>0</v>
      </c>
      <c r="F82" s="2">
        <f>SUM(OSRRefD21_14x_2)</f>
        <v>0</v>
      </c>
      <c r="G82" s="2">
        <f>SUM(OSRRefD21_14x_3)</f>
        <v>0</v>
      </c>
      <c r="H82" s="2">
        <f>SUM(OSRRefD21_14x_4)</f>
        <v>0</v>
      </c>
      <c r="I82" s="2">
        <f>SUM(OSRRefD21_14x_5)</f>
        <v>0</v>
      </c>
      <c r="J82" s="2">
        <f>SUM(OSRRefD21_14x_6)</f>
        <v>0</v>
      </c>
      <c r="K82" s="2">
        <f>SUM(OSRRefD21_14x_7)</f>
        <v>200</v>
      </c>
      <c r="L82" s="2">
        <f>SUM(OSRRefD21_14x_8)</f>
        <v>0</v>
      </c>
      <c r="M82" s="2">
        <f>SUM(OSRRefD21_14x_9)</f>
        <v>0</v>
      </c>
      <c r="N82" s="2">
        <f>SUM(OSRRefE21_14x_0)</f>
        <v>0</v>
      </c>
      <c r="O82" s="2">
        <f>SUM(OSRRefE21_14x_1)</f>
        <v>0</v>
      </c>
      <c r="Q82" s="3">
        <f>SUM(OSRRefD20_14x)+IFERROR(SUM(OSRRefE20_14x),0)</f>
        <v>200</v>
      </c>
    </row>
    <row r="83" spans="1:17" s="42" customFormat="1" ht="15" hidden="1" customHeight="1" outlineLevel="1" x14ac:dyDescent="0.3">
      <c r="A83" s="34"/>
      <c r="B83" s="11" t="str">
        <f>CONCATENATE("          ","6376"," - ","TRAINING")</f>
        <v xml:space="preserve">          6376 - TRAINING</v>
      </c>
      <c r="C83" s="15"/>
      <c r="D83" s="3"/>
      <c r="E83" s="3"/>
      <c r="F83" s="3"/>
      <c r="G83" s="3"/>
      <c r="H83" s="3"/>
      <c r="I83" s="3"/>
      <c r="J83" s="3"/>
      <c r="K83" s="3">
        <v>200</v>
      </c>
      <c r="L83" s="3"/>
      <c r="M83" s="3"/>
      <c r="N83" s="3"/>
      <c r="O83" s="3"/>
      <c r="P83" s="10"/>
      <c r="Q83" s="3">
        <f>SUM(OSRRefD21_14_0x)+IFERROR(SUM(OSRRefE21_14_0x),0)</f>
        <v>200</v>
      </c>
    </row>
    <row r="84" spans="1:17" s="42" customFormat="1" ht="15" customHeight="1" collapsed="1" x14ac:dyDescent="0.3">
      <c r="A84" s="34"/>
      <c r="B84" s="15" t="str">
        <f>CONCATENATE("     ","Utilities                                         ")</f>
        <v xml:space="preserve">     Utilities                                         </v>
      </c>
      <c r="C84" s="15"/>
      <c r="D84" s="2">
        <f>SUM(OSRRefD21_15x_0)</f>
        <v>200</v>
      </c>
      <c r="E84" s="2">
        <f>SUM(OSRRefD21_15x_1)</f>
        <v>200</v>
      </c>
      <c r="F84" s="2">
        <f>SUM(OSRRefD21_15x_2)</f>
        <v>200</v>
      </c>
      <c r="G84" s="2">
        <f>SUM(OSRRefD21_15x_3)</f>
        <v>200</v>
      </c>
      <c r="H84" s="2">
        <f>SUM(OSRRefD21_15x_4)</f>
        <v>200</v>
      </c>
      <c r="I84" s="2">
        <f>SUM(OSRRefD21_15x_5)</f>
        <v>200</v>
      </c>
      <c r="J84" s="2">
        <f>SUM(OSRRefD21_15x_6)</f>
        <v>200</v>
      </c>
      <c r="K84" s="2">
        <f>SUM(OSRRefD21_15x_7)</f>
        <v>200</v>
      </c>
      <c r="L84" s="2">
        <f>SUM(OSRRefD21_15x_8)</f>
        <v>200</v>
      </c>
      <c r="M84" s="2">
        <f>SUM(OSRRefD21_15x_9)</f>
        <v>200</v>
      </c>
      <c r="N84" s="2">
        <f>SUM(OSRRefE21_15x_0)</f>
        <v>200</v>
      </c>
      <c r="O84" s="2">
        <f>SUM(OSRRefE21_15x_1)</f>
        <v>200</v>
      </c>
      <c r="Q84" s="3">
        <f>SUM(OSRRefD20_15x)+IFERROR(SUM(OSRRefE20_15x),0)</f>
        <v>2400</v>
      </c>
    </row>
    <row r="85" spans="1:17" s="42" customFormat="1" ht="15" hidden="1" customHeight="1" outlineLevel="1" x14ac:dyDescent="0.3">
      <c r="A85" s="34"/>
      <c r="B85" s="11" t="str">
        <f>CONCATENATE("          ","6274"," - ","UTILITIES")</f>
        <v xml:space="preserve">          6274 - UTILITIES</v>
      </c>
      <c r="C85" s="15"/>
      <c r="D85" s="3">
        <v>200</v>
      </c>
      <c r="E85" s="3">
        <v>200</v>
      </c>
      <c r="F85" s="3">
        <v>200</v>
      </c>
      <c r="G85" s="3">
        <v>200</v>
      </c>
      <c r="H85" s="3">
        <v>200</v>
      </c>
      <c r="I85" s="3">
        <v>200</v>
      </c>
      <c r="J85" s="3">
        <v>200</v>
      </c>
      <c r="K85" s="3">
        <v>200</v>
      </c>
      <c r="L85" s="3">
        <v>200</v>
      </c>
      <c r="M85" s="3">
        <v>200</v>
      </c>
      <c r="N85" s="3">
        <v>200</v>
      </c>
      <c r="O85" s="3">
        <v>200</v>
      </c>
      <c r="P85" s="10"/>
      <c r="Q85" s="3">
        <f>SUM(OSRRefD21_15_0x)+IFERROR(SUM(OSRRefE21_15_0x),0)</f>
        <v>2400</v>
      </c>
    </row>
    <row r="86" spans="1:17" s="40" customFormat="1" ht="15" customHeight="1" x14ac:dyDescent="0.3">
      <c r="A86" s="22"/>
      <c r="B86" s="22"/>
      <c r="C86" s="2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Q86" s="2"/>
    </row>
    <row r="87" spans="1:17" s="39" customFormat="1" ht="15" customHeight="1" x14ac:dyDescent="0.3">
      <c r="A87" s="24"/>
      <c r="B87" s="17" t="s">
        <v>287</v>
      </c>
      <c r="C87" s="23"/>
      <c r="D87" s="4">
        <f>0</f>
        <v>0</v>
      </c>
      <c r="E87" s="4">
        <f>0</f>
        <v>0</v>
      </c>
      <c r="F87" s="4">
        <f>0</f>
        <v>0</v>
      </c>
      <c r="G87" s="4">
        <f>0</f>
        <v>0</v>
      </c>
      <c r="H87" s="4">
        <f>--192</f>
        <v>192</v>
      </c>
      <c r="I87" s="4">
        <f>0</f>
        <v>0</v>
      </c>
      <c r="J87" s="4">
        <f>0</f>
        <v>0</v>
      </c>
      <c r="K87" s="4">
        <f>0</f>
        <v>0</v>
      </c>
      <c r="L87" s="4">
        <f>0</f>
        <v>0</v>
      </c>
      <c r="M87" s="4">
        <f>0</f>
        <v>0</v>
      </c>
      <c r="N87" s="4"/>
      <c r="O87" s="4"/>
      <c r="Q87" s="3">
        <f>SUM(OSRRefD23_0x)+IFERROR(SUM(OSRRefE23_0x),0)</f>
        <v>192</v>
      </c>
    </row>
    <row r="88" spans="1:17" ht="15" customHeight="1" x14ac:dyDescent="0.3">
      <c r="A88" s="6"/>
      <c r="B88" s="7"/>
      <c r="C88" s="7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Q88" s="4"/>
    </row>
    <row r="89" spans="1:17" s="37" customFormat="1" ht="15" customHeight="1" x14ac:dyDescent="0.3">
      <c r="A89" s="7"/>
      <c r="B89" s="18" t="s">
        <v>288</v>
      </c>
      <c r="C89" s="18"/>
      <c r="D89" s="9">
        <f t="shared" ref="D89:O89" si="2">IFERROR(+D21-D24+D87,0)</f>
        <v>-13284.030000000002</v>
      </c>
      <c r="E89" s="9">
        <f t="shared" si="2"/>
        <v>-19676.919999999998</v>
      </c>
      <c r="F89" s="9">
        <f t="shared" si="2"/>
        <v>3841.8999999999869</v>
      </c>
      <c r="G89" s="9">
        <f t="shared" si="2"/>
        <v>4109.7300000000032</v>
      </c>
      <c r="H89" s="9">
        <f t="shared" si="2"/>
        <v>-9356.7599999999911</v>
      </c>
      <c r="I89" s="9">
        <f t="shared" si="2"/>
        <v>-6088.9399999999878</v>
      </c>
      <c r="J89" s="9">
        <f t="shared" si="2"/>
        <v>-25233.22</v>
      </c>
      <c r="K89" s="9">
        <f t="shared" si="2"/>
        <v>5631.010000000002</v>
      </c>
      <c r="L89" s="9">
        <f t="shared" si="2"/>
        <v>15177.799999999988</v>
      </c>
      <c r="M89" s="9">
        <f t="shared" si="2"/>
        <v>13341.280000000013</v>
      </c>
      <c r="N89" s="9">
        <f t="shared" si="2"/>
        <v>2782.6136221538472</v>
      </c>
      <c r="O89" s="9">
        <f t="shared" si="2"/>
        <v>-16841.653577846155</v>
      </c>
      <c r="Q89" s="9">
        <f>IFERROR(+Q21-Q24+Q87,0)</f>
        <v>-45597.189955692273</v>
      </c>
    </row>
    <row r="90" spans="1:17" s="38" customFormat="1" ht="15" customHeight="1" x14ac:dyDescent="0.3">
      <c r="B90" s="17"/>
      <c r="C90" s="17"/>
      <c r="D90" s="5">
        <f t="shared" ref="D90:O90" si="3">IFERROR(D89/D10,0)</f>
        <v>0</v>
      </c>
      <c r="E90" s="5">
        <f t="shared" si="3"/>
        <v>-1.2808201656604448</v>
      </c>
      <c r="F90" s="5">
        <f t="shared" si="3"/>
        <v>5.8342132209871125E-2</v>
      </c>
      <c r="G90" s="5">
        <f t="shared" si="3"/>
        <v>4.680238960686374E-2</v>
      </c>
      <c r="H90" s="5">
        <f t="shared" si="3"/>
        <v>-0.20214228355994701</v>
      </c>
      <c r="I90" s="5">
        <f t="shared" si="3"/>
        <v>-0.11812216307110537</v>
      </c>
      <c r="J90" s="5">
        <f t="shared" si="3"/>
        <v>-3.4862914902788678</v>
      </c>
      <c r="K90" s="5">
        <f t="shared" si="3"/>
        <v>6.3646239210195799E-2</v>
      </c>
      <c r="L90" s="5">
        <f t="shared" si="3"/>
        <v>0.12621453360628887</v>
      </c>
      <c r="M90" s="5">
        <f t="shared" si="3"/>
        <v>0.11305009290995656</v>
      </c>
      <c r="N90" s="5">
        <f t="shared" si="3"/>
        <v>4.6411702479423687E-2</v>
      </c>
      <c r="O90" s="5">
        <f t="shared" si="3"/>
        <v>-1.1704533725655817</v>
      </c>
      <c r="P90" s="19"/>
      <c r="Q90" s="5">
        <f>IFERROR(Q89/Q10,0)</f>
        <v>-6.7533230590138132E-2</v>
      </c>
    </row>
    <row r="91" spans="1:17" ht="15" customHeight="1" x14ac:dyDescent="0.3">
      <c r="A91" s="6"/>
      <c r="B91" s="7"/>
      <c r="C91" s="6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Q91" s="4"/>
    </row>
    <row r="92" spans="1:17" s="37" customFormat="1" ht="15" customHeight="1" x14ac:dyDescent="0.3">
      <c r="A92" s="26"/>
      <c r="B92" s="7" t="s">
        <v>289</v>
      </c>
      <c r="C92" s="7"/>
      <c r="D92" s="4"/>
      <c r="E92" s="4">
        <v>2295.6999999999998</v>
      </c>
      <c r="F92" s="4">
        <v>7756.61</v>
      </c>
      <c r="G92" s="4">
        <v>9485.49</v>
      </c>
      <c r="H92" s="4">
        <v>6108.41</v>
      </c>
      <c r="I92" s="4">
        <v>6475.95</v>
      </c>
      <c r="J92" s="4">
        <v>4159.46</v>
      </c>
      <c r="K92" s="4">
        <v>8975.5300000000007</v>
      </c>
      <c r="L92" s="4">
        <v>12366.88</v>
      </c>
      <c r="M92" s="4">
        <v>10441.18</v>
      </c>
      <c r="N92" s="4">
        <v>7833</v>
      </c>
      <c r="O92" s="4">
        <v>-3474</v>
      </c>
      <c r="Q92" s="3">
        <f>SUM(OSRRefD28_0x)+IFERROR(SUM(OSRRefE28_0x),0)</f>
        <v>72424.209999999992</v>
      </c>
    </row>
    <row r="93" spans="1:17" ht="15" customHeight="1" x14ac:dyDescent="0.3">
      <c r="A93" s="6"/>
      <c r="B93" s="7"/>
      <c r="C93" s="7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Q93" s="4"/>
    </row>
    <row r="94" spans="1:17" s="37" customFormat="1" ht="15.75" customHeight="1" x14ac:dyDescent="0.3">
      <c r="A94" s="7"/>
      <c r="B94" s="18" t="s">
        <v>290</v>
      </c>
      <c r="C94" s="18"/>
      <c r="D94" s="8">
        <f t="shared" ref="D94:O94" si="4">IFERROR(+D89-D92,0)</f>
        <v>-13284.030000000002</v>
      </c>
      <c r="E94" s="8">
        <f t="shared" si="4"/>
        <v>-21972.62</v>
      </c>
      <c r="F94" s="8">
        <f t="shared" si="4"/>
        <v>-3914.7100000000128</v>
      </c>
      <c r="G94" s="8">
        <f t="shared" si="4"/>
        <v>-5375.7599999999966</v>
      </c>
      <c r="H94" s="8">
        <f t="shared" si="4"/>
        <v>-15465.169999999991</v>
      </c>
      <c r="I94" s="8">
        <f t="shared" si="4"/>
        <v>-12564.889999999989</v>
      </c>
      <c r="J94" s="8">
        <f t="shared" si="4"/>
        <v>-29392.68</v>
      </c>
      <c r="K94" s="8">
        <f t="shared" si="4"/>
        <v>-3344.5199999999986</v>
      </c>
      <c r="L94" s="8">
        <f t="shared" si="4"/>
        <v>2810.9199999999892</v>
      </c>
      <c r="M94" s="8">
        <f t="shared" si="4"/>
        <v>2900.1000000000131</v>
      </c>
      <c r="N94" s="8">
        <f t="shared" si="4"/>
        <v>-5050.3863778461528</v>
      </c>
      <c r="O94" s="8">
        <f t="shared" si="4"/>
        <v>-13367.653577846155</v>
      </c>
      <c r="Q94" s="8">
        <f>IFERROR(+Q89-Q92,0)</f>
        <v>-118021.39995569226</v>
      </c>
    </row>
    <row r="95" spans="1:17" ht="15.75" customHeight="1" x14ac:dyDescent="0.3">
      <c r="A95" s="6"/>
      <c r="B95" s="6"/>
      <c r="C95" s="6"/>
      <c r="D95" s="5">
        <f t="shared" ref="D95:O95" si="5">IFERROR(D94/D10,0)</f>
        <v>0</v>
      </c>
      <c r="E95" s="5">
        <f t="shared" si="5"/>
        <v>-1.4302530471432522</v>
      </c>
      <c r="F95" s="5">
        <f t="shared" si="5"/>
        <v>-5.9447806653818713E-2</v>
      </c>
      <c r="G95" s="5">
        <f t="shared" si="5"/>
        <v>-6.122018087635768E-2</v>
      </c>
      <c r="H95" s="5">
        <f t="shared" si="5"/>
        <v>-0.3341076162520773</v>
      </c>
      <c r="I95" s="5">
        <f t="shared" si="5"/>
        <v>-0.24375211211647721</v>
      </c>
      <c r="J95" s="5">
        <f t="shared" si="5"/>
        <v>-4.060973992240779</v>
      </c>
      <c r="K95" s="5">
        <f t="shared" si="5"/>
        <v>-3.7802475925861237E-2</v>
      </c>
      <c r="L95" s="5">
        <f t="shared" si="5"/>
        <v>2.3374860441209424E-2</v>
      </c>
      <c r="M95" s="5">
        <f t="shared" si="5"/>
        <v>2.4574596624024544E-2</v>
      </c>
      <c r="N95" s="5">
        <f t="shared" si="5"/>
        <v>-8.4236283510068427E-2</v>
      </c>
      <c r="O95" s="5">
        <f t="shared" si="5"/>
        <v>-0.92901894348781389</v>
      </c>
      <c r="P95" s="19"/>
      <c r="Q95" s="5">
        <f>IFERROR(Q94/Q10,0)</f>
        <v>-0.17479950903824673</v>
      </c>
    </row>
    <row r="96" spans="1:17" ht="15" customHeight="1" x14ac:dyDescent="0.3">
      <c r="A96" s="6"/>
      <c r="B96" s="6"/>
      <c r="C96" s="6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Q96" s="4"/>
    </row>
    <row r="97" spans="1:17" ht="15" customHeight="1" x14ac:dyDescent="0.3">
      <c r="A97" s="6"/>
      <c r="B97" s="6"/>
      <c r="C97" s="6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Q97" s="4"/>
    </row>
    <row r="98" spans="1:17" s="37" customFormat="1" ht="15.75" customHeight="1" x14ac:dyDescent="0.3">
      <c r="A98" s="7"/>
      <c r="B98" s="18" t="s">
        <v>293</v>
      </c>
      <c r="C98" s="18"/>
      <c r="D98" s="8">
        <f t="shared" ref="D98:O98" si="6">IFERROR(SUM(D94:D97),0)</f>
        <v>-13284.030000000002</v>
      </c>
      <c r="E98" s="8">
        <f t="shared" si="6"/>
        <v>-21974.050253047142</v>
      </c>
      <c r="F98" s="8">
        <f t="shared" si="6"/>
        <v>-3914.7694478066664</v>
      </c>
      <c r="G98" s="8">
        <f t="shared" si="6"/>
        <v>-5375.8212201808728</v>
      </c>
      <c r="H98" s="8">
        <f t="shared" si="6"/>
        <v>-15465.504107616243</v>
      </c>
      <c r="I98" s="8">
        <f t="shared" si="6"/>
        <v>-12565.133752112106</v>
      </c>
      <c r="J98" s="8">
        <f t="shared" si="6"/>
        <v>-29396.74097399224</v>
      </c>
      <c r="K98" s="8">
        <f t="shared" si="6"/>
        <v>-3344.5578024759243</v>
      </c>
      <c r="L98" s="8">
        <f t="shared" si="6"/>
        <v>2810.9433748604306</v>
      </c>
      <c r="M98" s="8">
        <f t="shared" si="6"/>
        <v>2900.1245745966371</v>
      </c>
      <c r="N98" s="8">
        <f t="shared" si="6"/>
        <v>-5050.4706141296629</v>
      </c>
      <c r="O98" s="8">
        <f t="shared" si="6"/>
        <v>-13368.582596789644</v>
      </c>
      <c r="Q98" s="8">
        <f>IFERROR(SUM(Q94:Q97),0)</f>
        <v>-118021.57475520131</v>
      </c>
    </row>
    <row r="99" spans="1:17" ht="15.75" customHeight="1" x14ac:dyDescent="0.3">
      <c r="A99" s="6"/>
      <c r="C99" s="6"/>
      <c r="D99" s="5">
        <f t="shared" ref="D99:O99" si="7">IFERROR(D98/D10,0)</f>
        <v>0</v>
      </c>
      <c r="E99" s="5">
        <f t="shared" si="7"/>
        <v>-1.4303461459079359</v>
      </c>
      <c r="F99" s="5">
        <f t="shared" si="7"/>
        <v>-5.944870941333754E-2</v>
      </c>
      <c r="G99" s="5">
        <f t="shared" si="7"/>
        <v>-6.1220878063461742E-2</v>
      </c>
      <c r="H99" s="5">
        <f t="shared" si="7"/>
        <v>-0.33411483427161653</v>
      </c>
      <c r="I99" s="5">
        <f t="shared" si="7"/>
        <v>-0.24375684077643059</v>
      </c>
      <c r="J99" s="5">
        <f t="shared" si="7"/>
        <v>-4.0615350676434181</v>
      </c>
      <c r="K99" s="5">
        <f t="shared" si="7"/>
        <v>-3.7802903200084781E-2</v>
      </c>
      <c r="L99" s="5">
        <f t="shared" si="7"/>
        <v>2.3375054820309736E-2</v>
      </c>
      <c r="M99" s="5">
        <f t="shared" si="7"/>
        <v>2.457480486194711E-2</v>
      </c>
      <c r="N99" s="5">
        <f t="shared" si="7"/>
        <v>-8.4237688501870786E-2</v>
      </c>
      <c r="O99" s="5">
        <f t="shared" si="7"/>
        <v>-0.92908350801234574</v>
      </c>
      <c r="P99" s="19"/>
      <c r="Q99" s="5">
        <f>IFERROR(Q98/Q10,0)</f>
        <v>-0.1747997679308575</v>
      </c>
    </row>
    <row r="100" spans="1:17" ht="15" customHeight="1" x14ac:dyDescent="0.3">
      <c r="A100" s="6"/>
      <c r="B100" s="33">
        <v>44694.892891863426</v>
      </c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Q100" s="14"/>
    </row>
    <row r="101" spans="1:17" ht="15" customHeight="1" x14ac:dyDescent="0.3">
      <c r="A101" s="6"/>
      <c r="B101" s="31" t="s">
        <v>294</v>
      </c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Q101" s="14"/>
    </row>
    <row r="102" spans="1:17" ht="15" customHeight="1" x14ac:dyDescent="0.3">
      <c r="A102" s="6"/>
      <c r="B102" s="27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Q102" s="14"/>
    </row>
    <row r="103" spans="1:17" ht="15" customHeight="1" x14ac:dyDescent="0.3"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Q103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C15D4-95AE-636D-D1B3-0C73E14F812C}">
  <sheetPr>
    <tabColor rgb="FF92D050"/>
    <outlinePr summaryBelow="0" summaryRight="0"/>
    <pageSetUpPr fitToPage="1"/>
  </sheetPr>
  <dimension ref="A2:R37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","406"," - ","OPA! Greek")</f>
        <v>Department 406 - OPA! Greek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9">
        <f t="shared" ref="D14:O14" si="2">IFERROR(+D10-D12,0)</f>
        <v>0</v>
      </c>
      <c r="E14" s="9">
        <f t="shared" si="2"/>
        <v>0</v>
      </c>
      <c r="F14" s="9">
        <f t="shared" si="2"/>
        <v>0</v>
      </c>
      <c r="G14" s="9">
        <f t="shared" si="2"/>
        <v>0</v>
      </c>
      <c r="H14" s="9">
        <f t="shared" si="2"/>
        <v>0</v>
      </c>
      <c r="I14" s="9">
        <f t="shared" si="2"/>
        <v>0</v>
      </c>
      <c r="J14" s="9">
        <f t="shared" si="2"/>
        <v>0</v>
      </c>
      <c r="K14" s="9">
        <f t="shared" si="2"/>
        <v>0</v>
      </c>
      <c r="L14" s="9">
        <f t="shared" si="2"/>
        <v>0</v>
      </c>
      <c r="M14" s="9">
        <f t="shared" si="2"/>
        <v>0</v>
      </c>
      <c r="N14" s="9">
        <f t="shared" si="2"/>
        <v>0</v>
      </c>
      <c r="O14" s="9">
        <f t="shared" si="2"/>
        <v>0</v>
      </c>
      <c r="Q14" s="9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2">
        <f>SUM(OSRRefD20x_0)</f>
        <v>0</v>
      </c>
      <c r="E17" s="12">
        <f>SUM(OSRRefD20x_1)</f>
        <v>0</v>
      </c>
      <c r="F17" s="12">
        <f>SUM(OSRRefD20x_2)</f>
        <v>69.290000000000006</v>
      </c>
      <c r="G17" s="12">
        <f>SUM(OSRRefD20x_3)</f>
        <v>0</v>
      </c>
      <c r="H17" s="12">
        <f>SUM(OSRRefD20x_4)</f>
        <v>0</v>
      </c>
      <c r="I17" s="12">
        <f>SUM(OSRRefD20x_5)</f>
        <v>0</v>
      </c>
      <c r="J17" s="12">
        <f>SUM(OSRRefD20x_6)</f>
        <v>0</v>
      </c>
      <c r="K17" s="12">
        <f>SUM(OSRRefD20x_7)</f>
        <v>0</v>
      </c>
      <c r="L17" s="12">
        <f>SUM(OSRRefD20x_8)</f>
        <v>0</v>
      </c>
      <c r="M17" s="12">
        <f>SUM(OSRRefD20x_9)</f>
        <v>0</v>
      </c>
      <c r="N17" s="12">
        <f>SUM(OSRRefE20x_0)</f>
        <v>0</v>
      </c>
      <c r="O17" s="12">
        <f>SUM(OSRRefE20x_1)</f>
        <v>0</v>
      </c>
      <c r="Q17" s="12">
        <f>SUM(OSRRefG20x)</f>
        <v>69.290000000000006</v>
      </c>
    </row>
    <row r="18" spans="1:17" s="42" customFormat="1" ht="15" customHeight="1" collapsed="1" x14ac:dyDescent="0.3">
      <c r="A18" s="34"/>
      <c r="B18" s="15" t="str">
        <f>CONCATENATE("     ","Repair and Maintenance                            ")</f>
        <v xml:space="preserve">     Repair and Maintenance                            </v>
      </c>
      <c r="C18" s="15"/>
      <c r="D18" s="2">
        <f>SUM(OSRRefD21_0x_0)</f>
        <v>0</v>
      </c>
      <c r="E18" s="2">
        <f>SUM(OSRRefD21_0x_1)</f>
        <v>0</v>
      </c>
      <c r="F18" s="2">
        <f>SUM(OSRRefD21_0x_2)</f>
        <v>69.290000000000006</v>
      </c>
      <c r="G18" s="2">
        <f>SUM(OSRRefD21_0x_3)</f>
        <v>0</v>
      </c>
      <c r="H18" s="2">
        <f>SUM(OSRRefD21_0x_4)</f>
        <v>0</v>
      </c>
      <c r="I18" s="2">
        <f>SUM(OSRRefD21_0x_5)</f>
        <v>0</v>
      </c>
      <c r="J18" s="2">
        <f>SUM(OSRRefD21_0x_6)</f>
        <v>0</v>
      </c>
      <c r="K18" s="2">
        <f>SUM(OSRRefD21_0x_7)</f>
        <v>0</v>
      </c>
      <c r="L18" s="2">
        <f>SUM(OSRRefD21_0x_8)</f>
        <v>0</v>
      </c>
      <c r="M18" s="2">
        <f>SUM(OSRRefD21_0x_9)</f>
        <v>0</v>
      </c>
      <c r="N18" s="2">
        <f>SUM(OSRRefE21_0x_0)</f>
        <v>0</v>
      </c>
      <c r="O18" s="2">
        <f>SUM(OSRRefE21_0x_1)</f>
        <v>0</v>
      </c>
      <c r="Q18" s="3">
        <f>SUM(OSRRefD20_0x)+IFERROR(SUM(OSRRefE20_0x),0)</f>
        <v>69.290000000000006</v>
      </c>
    </row>
    <row r="19" spans="1:17" s="42" customFormat="1" ht="15" hidden="1" customHeight="1" outlineLevel="1" x14ac:dyDescent="0.3">
      <c r="A19" s="34"/>
      <c r="B19" s="11" t="str">
        <f>CONCATENATE("          ","6373"," - ","MAINTENANCE CONTRACTS")</f>
        <v xml:space="preserve">          6373 - MAINTENANCE CONTRACTS</v>
      </c>
      <c r="C19" s="15"/>
      <c r="D19" s="3"/>
      <c r="E19" s="3"/>
      <c r="F19" s="3">
        <v>69.290000000000006</v>
      </c>
      <c r="G19" s="3"/>
      <c r="H19" s="3"/>
      <c r="I19" s="3"/>
      <c r="J19" s="3"/>
      <c r="K19" s="3"/>
      <c r="L19" s="3"/>
      <c r="M19" s="3"/>
      <c r="N19" s="3"/>
      <c r="O19" s="3"/>
      <c r="P19" s="10"/>
      <c r="Q19" s="3">
        <f>SUM(OSRRefD21_0_0x)+IFERROR(SUM(OSRRefE21_0_0x),0)</f>
        <v>69.290000000000006</v>
      </c>
    </row>
    <row r="20" spans="1:17" s="40" customFormat="1" ht="15" customHeight="1" x14ac:dyDescent="0.3">
      <c r="A20" s="22"/>
      <c r="B20" s="22"/>
      <c r="C20" s="2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Q20" s="2"/>
    </row>
    <row r="21" spans="1:17" s="39" customFormat="1" ht="15" customHeight="1" x14ac:dyDescent="0.3">
      <c r="A21" s="24"/>
      <c r="B21" s="17" t="s">
        <v>287</v>
      </c>
      <c r="C21" s="23"/>
      <c r="D21" s="4">
        <f>0</f>
        <v>0</v>
      </c>
      <c r="E21" s="4">
        <f>0</f>
        <v>0</v>
      </c>
      <c r="F21" s="4">
        <f>0</f>
        <v>0</v>
      </c>
      <c r="G21" s="4">
        <f>0</f>
        <v>0</v>
      </c>
      <c r="H21" s="4">
        <f>0</f>
        <v>0</v>
      </c>
      <c r="I21" s="4">
        <f>0</f>
        <v>0</v>
      </c>
      <c r="J21" s="4">
        <f>0</f>
        <v>0</v>
      </c>
      <c r="K21" s="4">
        <f>0</f>
        <v>0</v>
      </c>
      <c r="L21" s="4">
        <f>0</f>
        <v>0</v>
      </c>
      <c r="M21" s="4">
        <f>0</f>
        <v>0</v>
      </c>
      <c r="N21" s="4"/>
      <c r="O21" s="4"/>
      <c r="Q21" s="3">
        <f>SUM(OSRRefD23_0x)+IFERROR(SUM(OSRRefE23_0x),0)</f>
        <v>0</v>
      </c>
    </row>
    <row r="22" spans="1:17" ht="15" customHeight="1" x14ac:dyDescent="0.3">
      <c r="A22" s="6"/>
      <c r="B22" s="7"/>
      <c r="C22" s="7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Q22" s="4"/>
    </row>
    <row r="23" spans="1:17" s="37" customFormat="1" ht="15" customHeight="1" x14ac:dyDescent="0.3">
      <c r="A23" s="7"/>
      <c r="B23" s="18" t="s">
        <v>288</v>
      </c>
      <c r="C23" s="18"/>
      <c r="D23" s="9">
        <f t="shared" ref="D23:O23" si="4">IFERROR(+D14-D17+D21,0)</f>
        <v>0</v>
      </c>
      <c r="E23" s="9">
        <f t="shared" si="4"/>
        <v>0</v>
      </c>
      <c r="F23" s="9">
        <f t="shared" si="4"/>
        <v>-69.290000000000006</v>
      </c>
      <c r="G23" s="9">
        <f t="shared" si="4"/>
        <v>0</v>
      </c>
      <c r="H23" s="9">
        <f t="shared" si="4"/>
        <v>0</v>
      </c>
      <c r="I23" s="9">
        <f t="shared" si="4"/>
        <v>0</v>
      </c>
      <c r="J23" s="9">
        <f t="shared" si="4"/>
        <v>0</v>
      </c>
      <c r="K23" s="9">
        <f t="shared" si="4"/>
        <v>0</v>
      </c>
      <c r="L23" s="9">
        <f t="shared" si="4"/>
        <v>0</v>
      </c>
      <c r="M23" s="9">
        <f t="shared" si="4"/>
        <v>0</v>
      </c>
      <c r="N23" s="9">
        <f t="shared" si="4"/>
        <v>0</v>
      </c>
      <c r="O23" s="9">
        <f t="shared" si="4"/>
        <v>0</v>
      </c>
      <c r="Q23" s="9">
        <f>IFERROR(+Q14-Q17+Q21,0)</f>
        <v>-69.290000000000006</v>
      </c>
    </row>
    <row r="24" spans="1:17" s="38" customFormat="1" ht="15" customHeight="1" x14ac:dyDescent="0.3">
      <c r="B24" s="17"/>
      <c r="C24" s="17"/>
      <c r="D24" s="5">
        <f t="shared" ref="D24:O24" si="5">IFERROR(D23/D10,0)</f>
        <v>0</v>
      </c>
      <c r="E24" s="5">
        <f t="shared" si="5"/>
        <v>0</v>
      </c>
      <c r="F24" s="5">
        <f t="shared" si="5"/>
        <v>0</v>
      </c>
      <c r="G24" s="5">
        <f t="shared" si="5"/>
        <v>0</v>
      </c>
      <c r="H24" s="5">
        <f t="shared" si="5"/>
        <v>0</v>
      </c>
      <c r="I24" s="5">
        <f t="shared" si="5"/>
        <v>0</v>
      </c>
      <c r="J24" s="5">
        <f t="shared" si="5"/>
        <v>0</v>
      </c>
      <c r="K24" s="5">
        <f t="shared" si="5"/>
        <v>0</v>
      </c>
      <c r="L24" s="5">
        <f t="shared" si="5"/>
        <v>0</v>
      </c>
      <c r="M24" s="5">
        <f t="shared" si="5"/>
        <v>0</v>
      </c>
      <c r="N24" s="5">
        <f t="shared" si="5"/>
        <v>0</v>
      </c>
      <c r="O24" s="5">
        <f t="shared" si="5"/>
        <v>0</v>
      </c>
      <c r="P24" s="19"/>
      <c r="Q24" s="5">
        <f>IFERROR(Q23/Q10,0)</f>
        <v>0</v>
      </c>
    </row>
    <row r="25" spans="1:17" ht="15" customHeight="1" x14ac:dyDescent="0.3">
      <c r="A25" s="6"/>
      <c r="B25" s="7"/>
      <c r="C25" s="6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Q25" s="4"/>
    </row>
    <row r="26" spans="1:17" s="37" customFormat="1" ht="15" customHeight="1" x14ac:dyDescent="0.3">
      <c r="A26" s="26"/>
      <c r="B26" s="7" t="s">
        <v>289</v>
      </c>
      <c r="C26" s="7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Q26" s="3">
        <f>SUM(OSRRefD28_0x)+IFERROR(SUM(OSRRefE28_0x),0)</f>
        <v>0</v>
      </c>
    </row>
    <row r="27" spans="1:17" ht="15" customHeight="1" x14ac:dyDescent="0.3">
      <c r="A27" s="6"/>
      <c r="B27" s="7"/>
      <c r="C27" s="7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Q27" s="4"/>
    </row>
    <row r="28" spans="1:17" s="37" customFormat="1" ht="15.75" customHeight="1" x14ac:dyDescent="0.3">
      <c r="A28" s="7"/>
      <c r="B28" s="18" t="s">
        <v>290</v>
      </c>
      <c r="C28" s="18"/>
      <c r="D28" s="8">
        <f t="shared" ref="D28:O28" si="6">IFERROR(+D23-D26,0)</f>
        <v>0</v>
      </c>
      <c r="E28" s="8">
        <f t="shared" si="6"/>
        <v>0</v>
      </c>
      <c r="F28" s="8">
        <f t="shared" si="6"/>
        <v>-69.290000000000006</v>
      </c>
      <c r="G28" s="8">
        <f t="shared" si="6"/>
        <v>0</v>
      </c>
      <c r="H28" s="8">
        <f t="shared" si="6"/>
        <v>0</v>
      </c>
      <c r="I28" s="8">
        <f t="shared" si="6"/>
        <v>0</v>
      </c>
      <c r="J28" s="8">
        <f t="shared" si="6"/>
        <v>0</v>
      </c>
      <c r="K28" s="8">
        <f t="shared" si="6"/>
        <v>0</v>
      </c>
      <c r="L28" s="8">
        <f t="shared" si="6"/>
        <v>0</v>
      </c>
      <c r="M28" s="8">
        <f t="shared" si="6"/>
        <v>0</v>
      </c>
      <c r="N28" s="8">
        <f t="shared" si="6"/>
        <v>0</v>
      </c>
      <c r="O28" s="8">
        <f t="shared" si="6"/>
        <v>0</v>
      </c>
      <c r="Q28" s="8">
        <f>IFERROR(+Q23-Q26,0)</f>
        <v>-69.290000000000006</v>
      </c>
    </row>
    <row r="29" spans="1:17" ht="15.75" customHeight="1" x14ac:dyDescent="0.3">
      <c r="A29" s="6"/>
      <c r="B29" s="6"/>
      <c r="C29" s="6"/>
      <c r="D29" s="5">
        <f t="shared" ref="D29:O29" si="7">IFERROR(D28/D10,0)</f>
        <v>0</v>
      </c>
      <c r="E29" s="5">
        <f t="shared" si="7"/>
        <v>0</v>
      </c>
      <c r="F29" s="5">
        <f t="shared" si="7"/>
        <v>0</v>
      </c>
      <c r="G29" s="5">
        <f t="shared" si="7"/>
        <v>0</v>
      </c>
      <c r="H29" s="5">
        <f t="shared" si="7"/>
        <v>0</v>
      </c>
      <c r="I29" s="5">
        <f t="shared" si="7"/>
        <v>0</v>
      </c>
      <c r="J29" s="5">
        <f t="shared" si="7"/>
        <v>0</v>
      </c>
      <c r="K29" s="5">
        <f t="shared" si="7"/>
        <v>0</v>
      </c>
      <c r="L29" s="5">
        <f t="shared" si="7"/>
        <v>0</v>
      </c>
      <c r="M29" s="5">
        <f t="shared" si="7"/>
        <v>0</v>
      </c>
      <c r="N29" s="5">
        <f t="shared" si="7"/>
        <v>0</v>
      </c>
      <c r="O29" s="5">
        <f t="shared" si="7"/>
        <v>0</v>
      </c>
      <c r="P29" s="19"/>
      <c r="Q29" s="5">
        <f>IFERROR(Q28/Q10,0)</f>
        <v>0</v>
      </c>
    </row>
    <row r="30" spans="1:17" ht="15" customHeight="1" x14ac:dyDescent="0.3">
      <c r="A30" s="6"/>
      <c r="B30" s="6"/>
      <c r="C30" s="6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Q30" s="4"/>
    </row>
    <row r="31" spans="1:17" ht="15" customHeight="1" x14ac:dyDescent="0.3">
      <c r="A31" s="6"/>
      <c r="B31" s="6"/>
      <c r="C31" s="6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Q31" s="4"/>
    </row>
    <row r="32" spans="1:17" s="37" customFormat="1" ht="15.75" customHeight="1" x14ac:dyDescent="0.3">
      <c r="A32" s="7"/>
      <c r="B32" s="18" t="s">
        <v>293</v>
      </c>
      <c r="C32" s="18"/>
      <c r="D32" s="8">
        <f t="shared" ref="D32:O32" si="8">IFERROR(SUM(D28:D31),0)</f>
        <v>0</v>
      </c>
      <c r="E32" s="8">
        <f t="shared" si="8"/>
        <v>0</v>
      </c>
      <c r="F32" s="8">
        <f t="shared" si="8"/>
        <v>-69.290000000000006</v>
      </c>
      <c r="G32" s="8">
        <f t="shared" si="8"/>
        <v>0</v>
      </c>
      <c r="H32" s="8">
        <f t="shared" si="8"/>
        <v>0</v>
      </c>
      <c r="I32" s="8">
        <f t="shared" si="8"/>
        <v>0</v>
      </c>
      <c r="J32" s="8">
        <f t="shared" si="8"/>
        <v>0</v>
      </c>
      <c r="K32" s="8">
        <f t="shared" si="8"/>
        <v>0</v>
      </c>
      <c r="L32" s="8">
        <f t="shared" si="8"/>
        <v>0</v>
      </c>
      <c r="M32" s="8">
        <f t="shared" si="8"/>
        <v>0</v>
      </c>
      <c r="N32" s="8">
        <f t="shared" si="8"/>
        <v>0</v>
      </c>
      <c r="O32" s="8">
        <f t="shared" si="8"/>
        <v>0</v>
      </c>
      <c r="Q32" s="8">
        <f>IFERROR(SUM(Q28:Q31),0)</f>
        <v>-69.290000000000006</v>
      </c>
    </row>
    <row r="33" spans="1:17" ht="15.75" customHeight="1" x14ac:dyDescent="0.3">
      <c r="A33" s="6"/>
      <c r="C33" s="6"/>
      <c r="D33" s="5">
        <f t="shared" ref="D33:O33" si="9">IFERROR(D32/D10,0)</f>
        <v>0</v>
      </c>
      <c r="E33" s="5">
        <f t="shared" si="9"/>
        <v>0</v>
      </c>
      <c r="F33" s="5">
        <f t="shared" si="9"/>
        <v>0</v>
      </c>
      <c r="G33" s="5">
        <f t="shared" si="9"/>
        <v>0</v>
      </c>
      <c r="H33" s="5">
        <f t="shared" si="9"/>
        <v>0</v>
      </c>
      <c r="I33" s="5">
        <f t="shared" si="9"/>
        <v>0</v>
      </c>
      <c r="J33" s="5">
        <f t="shared" si="9"/>
        <v>0</v>
      </c>
      <c r="K33" s="5">
        <f t="shared" si="9"/>
        <v>0</v>
      </c>
      <c r="L33" s="5">
        <f t="shared" si="9"/>
        <v>0</v>
      </c>
      <c r="M33" s="5">
        <f t="shared" si="9"/>
        <v>0</v>
      </c>
      <c r="N33" s="5">
        <f t="shared" si="9"/>
        <v>0</v>
      </c>
      <c r="O33" s="5">
        <f t="shared" si="9"/>
        <v>0</v>
      </c>
      <c r="P33" s="19"/>
      <c r="Q33" s="5">
        <f>IFERROR(Q32/Q10,0)</f>
        <v>0</v>
      </c>
    </row>
    <row r="34" spans="1:17" ht="15" customHeight="1" x14ac:dyDescent="0.3">
      <c r="A34" s="6"/>
      <c r="B34" s="33">
        <v>44694.892891863426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Q34" s="14"/>
    </row>
    <row r="35" spans="1:17" ht="15" customHeight="1" x14ac:dyDescent="0.3">
      <c r="A35" s="6"/>
      <c r="B35" s="31" t="s">
        <v>294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Q35" s="14"/>
    </row>
    <row r="36" spans="1:17" ht="15" customHeight="1" x14ac:dyDescent="0.3">
      <c r="A36" s="6"/>
      <c r="B36" s="27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Q36" s="14"/>
    </row>
    <row r="37" spans="1:17" ht="15" customHeight="1" x14ac:dyDescent="0.3"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Q37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450F9-7677-B6DD-FF82-BEDDE230E7E2}">
  <sheetPr>
    <tabColor rgb="FF92D050"/>
    <outlinePr summaryBelow="0" summaryRight="0"/>
    <pageSetUpPr fitToPage="1"/>
  </sheetPr>
  <dimension ref="A2:R88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","411"," - ","University Dining")</f>
        <v>Department 411 - University Dining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9">
        <f t="shared" ref="D14:O14" si="2">IFERROR(+D10-D12,0)</f>
        <v>0</v>
      </c>
      <c r="E14" s="9">
        <f t="shared" si="2"/>
        <v>0</v>
      </c>
      <c r="F14" s="9">
        <f t="shared" si="2"/>
        <v>0</v>
      </c>
      <c r="G14" s="9">
        <f t="shared" si="2"/>
        <v>0</v>
      </c>
      <c r="H14" s="9">
        <f t="shared" si="2"/>
        <v>0</v>
      </c>
      <c r="I14" s="9">
        <f t="shared" si="2"/>
        <v>0</v>
      </c>
      <c r="J14" s="9">
        <f t="shared" si="2"/>
        <v>0</v>
      </c>
      <c r="K14" s="9">
        <f t="shared" si="2"/>
        <v>0</v>
      </c>
      <c r="L14" s="9">
        <f t="shared" si="2"/>
        <v>0</v>
      </c>
      <c r="M14" s="9">
        <f t="shared" si="2"/>
        <v>0</v>
      </c>
      <c r="N14" s="9">
        <f t="shared" si="2"/>
        <v>0</v>
      </c>
      <c r="O14" s="9">
        <f t="shared" si="2"/>
        <v>0</v>
      </c>
      <c r="Q14" s="9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2" cm="1">
        <f t="array" ref="D17">SUM(OSRRefD20x_0)</f>
        <v>48551.94</v>
      </c>
      <c r="E17" s="12" cm="1">
        <f t="array" ref="E17">SUM(OSRRefD20x_1)</f>
        <v>57506.31</v>
      </c>
      <c r="F17" s="12" cm="1">
        <f t="array" ref="F17">SUM(OSRRefD20x_2)</f>
        <v>43697.029999999992</v>
      </c>
      <c r="G17" s="12" cm="1">
        <f t="array" ref="G17">SUM(OSRRefD20x_3)</f>
        <v>56438.829999999994</v>
      </c>
      <c r="H17" s="12" cm="1">
        <f t="array" ref="H17">SUM(OSRRefD20x_4)</f>
        <v>43690.44999999999</v>
      </c>
      <c r="I17" s="12" cm="1">
        <f t="array" ref="I17">SUM(OSRRefD20x_5)</f>
        <v>45301.119999999995</v>
      </c>
      <c r="J17" s="12" cm="1">
        <f t="array" ref="J17">SUM(OSRRefD20x_6)</f>
        <v>59755.259999999995</v>
      </c>
      <c r="K17" s="12" cm="1">
        <f t="array" ref="K17">SUM(OSRRefD20x_7)</f>
        <v>43353.869999999995</v>
      </c>
      <c r="L17" s="12" cm="1">
        <f t="array" ref="L17">SUM(OSRRefD20x_8)</f>
        <v>44741.879999999983</v>
      </c>
      <c r="M17" s="12" cm="1">
        <f t="array" ref="M17">SUM(OSRRefD20x_9)</f>
        <v>61037.409999999996</v>
      </c>
      <c r="N17" s="12" cm="1">
        <f t="array" ref="N17">SUM(OSRRefE20x_0)</f>
        <v>41372.132430769241</v>
      </c>
      <c r="O17" s="12" cm="1">
        <f t="array" ref="O17">SUM(OSRRefE20x_1)</f>
        <v>41372.132430769241</v>
      </c>
      <c r="Q17" s="12" cm="1">
        <f t="array" ref="Q17">SUM(OSRRefG20x)</f>
        <v>586818.3648615384</v>
      </c>
    </row>
    <row r="18" spans="1:17" s="42" customFormat="1" ht="15" customHeight="1" collapsed="1" x14ac:dyDescent="0.3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2">
        <f>SUM(OSRRefD21_0x_0)</f>
        <v>8985.31</v>
      </c>
      <c r="E18" s="2">
        <f>SUM(OSRRefD21_0x_1)</f>
        <v>9143.380000000001</v>
      </c>
      <c r="F18" s="2">
        <f>SUM(OSRRefD21_0x_2)</f>
        <v>9232</v>
      </c>
      <c r="G18" s="2">
        <f>SUM(OSRRefD21_0x_3)</f>
        <v>12482.669999999998</v>
      </c>
      <c r="H18" s="2">
        <f>SUM(OSRRefD21_0x_4)</f>
        <v>9629.68</v>
      </c>
      <c r="I18" s="2">
        <f>SUM(OSRRefD21_0x_5)</f>
        <v>9492.89</v>
      </c>
      <c r="J18" s="2">
        <f>SUM(OSRRefD21_0x_6)</f>
        <v>17871.32</v>
      </c>
      <c r="K18" s="2">
        <f>SUM(OSRRefD21_0x_7)</f>
        <v>9460.3599999999988</v>
      </c>
      <c r="L18" s="2">
        <f>SUM(OSRRefD21_0x_8)</f>
        <v>9425.75</v>
      </c>
      <c r="M18" s="2">
        <f>SUM(OSRRefD21_0x_9)</f>
        <v>12232.089999999998</v>
      </c>
      <c r="N18" s="2">
        <f>SUM(OSRRefE21_0x_0)</f>
        <v>8483.2093538461559</v>
      </c>
      <c r="O18" s="2">
        <f>SUM(OSRRefE21_0x_1)</f>
        <v>8483.2093538461559</v>
      </c>
      <c r="Q18" s="3">
        <f>SUM(OSRRefD20_0x)+IFERROR(SUM(OSRRefE20_0x),0)</f>
        <v>124921.86870769231</v>
      </c>
    </row>
    <row r="19" spans="1:17" s="42" customFormat="1" ht="15" hidden="1" customHeight="1" outlineLevel="1" x14ac:dyDescent="0.3">
      <c r="A19" s="34"/>
      <c r="B19" s="11" t="str">
        <f>CONCATENATE("          ","6111"," - ","F.I.C.A.")</f>
        <v xml:space="preserve">          6111 - F.I.C.A.</v>
      </c>
      <c r="C19" s="15"/>
      <c r="D19" s="3">
        <v>1317.1</v>
      </c>
      <c r="E19" s="3">
        <v>1346.24</v>
      </c>
      <c r="F19" s="3">
        <v>1459.25</v>
      </c>
      <c r="G19" s="3">
        <v>2044.79</v>
      </c>
      <c r="H19" s="3">
        <v>1391.08</v>
      </c>
      <c r="I19" s="3">
        <v>1254.71</v>
      </c>
      <c r="J19" s="3">
        <v>1381.25</v>
      </c>
      <c r="K19" s="3">
        <v>1381.25</v>
      </c>
      <c r="L19" s="3">
        <v>1381.25</v>
      </c>
      <c r="M19" s="3">
        <v>2077.61</v>
      </c>
      <c r="N19" s="3">
        <v>1358.2308923076901</v>
      </c>
      <c r="O19" s="3">
        <v>1358.2308923076901</v>
      </c>
      <c r="P19" s="10"/>
      <c r="Q19" s="3">
        <f>SUM(OSRRefD21_0_0x)+IFERROR(SUM(OSRRefE21_0_0x),0)</f>
        <v>17750.99178461538</v>
      </c>
    </row>
    <row r="20" spans="1:17" s="42" customFormat="1" ht="15" hidden="1" customHeight="1" outlineLevel="1" x14ac:dyDescent="0.3">
      <c r="A20" s="34"/>
      <c r="B20" s="11" t="str">
        <f>CONCATENATE("          ","6112"," - ","COMPENSATION INSURANCE")</f>
        <v xml:space="preserve">          6112 - COMPENSATION INSURANCE</v>
      </c>
      <c r="C20" s="15"/>
      <c r="D20" s="3">
        <v>222.1</v>
      </c>
      <c r="E20" s="3">
        <v>224.03</v>
      </c>
      <c r="F20" s="3">
        <v>224.03</v>
      </c>
      <c r="G20" s="3">
        <v>337.02</v>
      </c>
      <c r="H20" s="3">
        <v>232.92</v>
      </c>
      <c r="I20" s="3">
        <v>230.98</v>
      </c>
      <c r="J20" s="3">
        <v>232.92</v>
      </c>
      <c r="K20" s="3">
        <v>232.92</v>
      </c>
      <c r="L20" s="3">
        <v>232.92</v>
      </c>
      <c r="M20" s="3">
        <v>232.92</v>
      </c>
      <c r="N20" s="3">
        <v>672.63753846153895</v>
      </c>
      <c r="O20" s="3">
        <v>672.63753846153895</v>
      </c>
      <c r="P20" s="10"/>
      <c r="Q20" s="3">
        <f>SUM(OSRRefD21_0_1x)+IFERROR(SUM(OSRRefE21_0_1x),0)</f>
        <v>3748.0350769230781</v>
      </c>
    </row>
    <row r="21" spans="1:17" s="42" customFormat="1" ht="15" hidden="1" customHeight="1" outlineLevel="1" x14ac:dyDescent="0.3">
      <c r="A21" s="34"/>
      <c r="B21" s="11" t="str">
        <f>CONCATENATE("          ","6113"," - ","GROUP INSURANCE")</f>
        <v xml:space="preserve">          6113 - GROUP INSURANCE</v>
      </c>
      <c r="C21" s="15"/>
      <c r="D21" s="3">
        <v>3318.36</v>
      </c>
      <c r="E21" s="3">
        <v>3318.36</v>
      </c>
      <c r="F21" s="3">
        <v>3337.11</v>
      </c>
      <c r="G21" s="3">
        <v>3318.36</v>
      </c>
      <c r="H21" s="3">
        <v>3318.36</v>
      </c>
      <c r="I21" s="3">
        <v>3318.36</v>
      </c>
      <c r="J21" s="3">
        <v>3042.72</v>
      </c>
      <c r="K21" s="3">
        <v>3042.72</v>
      </c>
      <c r="L21" s="3">
        <v>3042.72</v>
      </c>
      <c r="M21" s="3">
        <v>3042.72</v>
      </c>
      <c r="N21" s="3">
        <v>2764</v>
      </c>
      <c r="O21" s="3">
        <v>2764</v>
      </c>
      <c r="P21" s="10"/>
      <c r="Q21" s="3">
        <f>SUM(OSRRefD21_0_2x)+IFERROR(SUM(OSRRefE21_0_2x),0)</f>
        <v>37627.790000000008</v>
      </c>
    </row>
    <row r="22" spans="1:17" s="42" customFormat="1" ht="15" hidden="1" customHeight="1" outlineLevel="1" x14ac:dyDescent="0.3">
      <c r="A22" s="34"/>
      <c r="B22" s="11" t="str">
        <f>CONCATENATE("          ","6114"," - ","STATE UNEMPLOYMENT INSURANCE")</f>
        <v xml:space="preserve">          6114 - STATE UNEMPLOYMENT INSURANCE</v>
      </c>
      <c r="C22" s="15"/>
      <c r="D22" s="3">
        <v>44.76</v>
      </c>
      <c r="E22" s="3">
        <v>45.15</v>
      </c>
      <c r="F22" s="3">
        <v>45.15</v>
      </c>
      <c r="G22" s="3">
        <v>67.930000000000007</v>
      </c>
      <c r="H22" s="3">
        <v>46.94</v>
      </c>
      <c r="I22" s="3">
        <v>46.55</v>
      </c>
      <c r="J22" s="3">
        <v>46.94</v>
      </c>
      <c r="K22" s="3">
        <v>46.94</v>
      </c>
      <c r="L22" s="3">
        <v>46.94</v>
      </c>
      <c r="M22" s="3">
        <v>46.94</v>
      </c>
      <c r="N22" s="3">
        <v>37.270153846153903</v>
      </c>
      <c r="O22" s="3">
        <v>37.270153846153903</v>
      </c>
      <c r="P22" s="10"/>
      <c r="Q22" s="3">
        <f>SUM(OSRRefD21_0_3x)+IFERROR(SUM(OSRRefE21_0_3x),0)</f>
        <v>558.78030769230782</v>
      </c>
    </row>
    <row r="23" spans="1:17" s="42" customFormat="1" ht="15" hidden="1" customHeight="1" outlineLevel="1" x14ac:dyDescent="0.3">
      <c r="A23" s="34"/>
      <c r="B23" s="11" t="str">
        <f>CONCATENATE("          ","6115"," - ","P.E.R.S.")</f>
        <v xml:space="preserve">          6115 - P.E.R.S.</v>
      </c>
      <c r="C23" s="15"/>
      <c r="D23" s="3">
        <v>1873.21</v>
      </c>
      <c r="E23" s="3">
        <v>1873.21</v>
      </c>
      <c r="F23" s="3">
        <v>1873.21</v>
      </c>
      <c r="G23" s="3">
        <v>2809.81</v>
      </c>
      <c r="H23" s="3">
        <v>1948.13</v>
      </c>
      <c r="I23" s="3">
        <v>1948.13</v>
      </c>
      <c r="J23" s="3">
        <v>1948.13</v>
      </c>
      <c r="K23" s="3">
        <v>1948.13</v>
      </c>
      <c r="L23" s="3">
        <v>1948.13</v>
      </c>
      <c r="M23" s="3">
        <v>2824.79</v>
      </c>
      <c r="N23" s="3">
        <v>1526.3015384615401</v>
      </c>
      <c r="O23" s="3">
        <v>1526.3015384615401</v>
      </c>
      <c r="P23" s="10"/>
      <c r="Q23" s="3">
        <f>SUM(OSRRefD21_0_4x)+IFERROR(SUM(OSRRefE21_0_4x),0)</f>
        <v>24047.483076923083</v>
      </c>
    </row>
    <row r="24" spans="1:17" s="42" customFormat="1" ht="15" hidden="1" customHeight="1" outlineLevel="1" x14ac:dyDescent="0.3">
      <c r="A24" s="34"/>
      <c r="B24" s="11" t="str">
        <f>CONCATENATE("          ","6116"," - ","EDUCATIONAL BENEFITS")</f>
        <v xml:space="preserve">          6116 - EDUCATIONAL BENEFITS</v>
      </c>
      <c r="C24" s="15"/>
      <c r="D24" s="3"/>
      <c r="E24" s="3"/>
      <c r="F24" s="3"/>
      <c r="G24" s="3"/>
      <c r="H24" s="3"/>
      <c r="I24" s="3"/>
      <c r="J24" s="3"/>
      <c r="K24" s="3"/>
      <c r="L24" s="3"/>
      <c r="M24" s="3"/>
      <c r="N24" s="3">
        <v>0</v>
      </c>
      <c r="O24" s="3">
        <v>0</v>
      </c>
      <c r="P24" s="10"/>
      <c r="Q24" s="3">
        <f>SUM(OSRRefD21_0_5x)+IFERROR(SUM(OSRRefE21_0_5x),0)</f>
        <v>0</v>
      </c>
    </row>
    <row r="25" spans="1:17" s="42" customFormat="1" ht="15" hidden="1" customHeight="1" outlineLevel="1" x14ac:dyDescent="0.3">
      <c r="A25" s="34"/>
      <c r="B25" s="11" t="str">
        <f>CONCATENATE("          ","6118"," - ","VACATION")</f>
        <v xml:space="preserve">          6118 - VACATION</v>
      </c>
      <c r="C25" s="15"/>
      <c r="D25" s="3">
        <v>1518.94</v>
      </c>
      <c r="E25" s="3">
        <v>1518.94</v>
      </c>
      <c r="F25" s="3">
        <v>1518.94</v>
      </c>
      <c r="G25" s="3">
        <v>2278.41</v>
      </c>
      <c r="H25" s="3">
        <v>1579.7</v>
      </c>
      <c r="I25" s="3">
        <v>1579.7</v>
      </c>
      <c r="J25" s="3">
        <v>3245.46</v>
      </c>
      <c r="K25" s="3">
        <v>1579.7</v>
      </c>
      <c r="L25" s="3">
        <v>1579.7</v>
      </c>
      <c r="M25" s="3">
        <v>2369.5500000000002</v>
      </c>
      <c r="N25" s="3">
        <v>1648</v>
      </c>
      <c r="O25" s="3">
        <v>1648</v>
      </c>
      <c r="P25" s="10"/>
      <c r="Q25" s="3">
        <f>SUM(OSRRefD21_0_6x)+IFERROR(SUM(OSRRefE21_0_6x),0)</f>
        <v>22065.040000000001</v>
      </c>
    </row>
    <row r="26" spans="1:17" s="42" customFormat="1" ht="15" hidden="1" customHeight="1" outlineLevel="1" x14ac:dyDescent="0.3">
      <c r="A26" s="34"/>
      <c r="B26" s="11" t="str">
        <f>CONCATENATE("          ","6119"," - ","SICK LEAVE")</f>
        <v xml:space="preserve">          6119 - SICK LEAVE</v>
      </c>
      <c r="C26" s="15"/>
      <c r="D26" s="3">
        <v>510.58</v>
      </c>
      <c r="E26" s="3">
        <v>510.58</v>
      </c>
      <c r="F26" s="3">
        <v>510.58</v>
      </c>
      <c r="G26" s="3">
        <v>1191.21</v>
      </c>
      <c r="H26" s="3">
        <v>825.9</v>
      </c>
      <c r="I26" s="3">
        <v>825.9</v>
      </c>
      <c r="J26" s="3">
        <v>7730.97</v>
      </c>
      <c r="K26" s="3">
        <v>825.9</v>
      </c>
      <c r="L26" s="3">
        <v>825.9</v>
      </c>
      <c r="M26" s="3">
        <v>1238.8499999999999</v>
      </c>
      <c r="N26" s="3">
        <v>126.769230769231</v>
      </c>
      <c r="O26" s="3">
        <v>126.769230769231</v>
      </c>
      <c r="P26" s="10"/>
      <c r="Q26" s="3">
        <f>SUM(OSRRefD21_0_7x)+IFERROR(SUM(OSRRefE21_0_7x),0)</f>
        <v>15249.908461538464</v>
      </c>
    </row>
    <row r="27" spans="1:17" s="42" customFormat="1" ht="15" hidden="1" customHeight="1" outlineLevel="1" x14ac:dyDescent="0.3">
      <c r="A27" s="34"/>
      <c r="B27" s="11" t="str">
        <f>CONCATENATE("          ","6156"," - ","EMPLOYEE MEALS")</f>
        <v xml:space="preserve">          6156 - EMPLOYEE MEALS</v>
      </c>
      <c r="C27" s="15"/>
      <c r="D27" s="3">
        <v>180.26</v>
      </c>
      <c r="E27" s="3">
        <v>306.87</v>
      </c>
      <c r="F27" s="3">
        <v>263.73</v>
      </c>
      <c r="G27" s="3">
        <v>435.14</v>
      </c>
      <c r="H27" s="3">
        <v>286.64999999999998</v>
      </c>
      <c r="I27" s="3">
        <v>288.56</v>
      </c>
      <c r="J27" s="3">
        <v>242.93</v>
      </c>
      <c r="K27" s="3">
        <v>402.8</v>
      </c>
      <c r="L27" s="3">
        <v>368.19</v>
      </c>
      <c r="M27" s="3">
        <v>398.71</v>
      </c>
      <c r="N27" s="3">
        <v>350</v>
      </c>
      <c r="O27" s="3">
        <v>350</v>
      </c>
      <c r="P27" s="10"/>
      <c r="Q27" s="3">
        <f>SUM(OSRRefD21_0_8x)+IFERROR(SUM(OSRRefE21_0_8x),0)</f>
        <v>3873.84</v>
      </c>
    </row>
    <row r="28" spans="1:17" s="42" customFormat="1" ht="15" customHeight="1" collapsed="1" x14ac:dyDescent="0.3">
      <c r="A28" s="34"/>
      <c r="B28" s="15" t="str">
        <f>CONCATENATE("     ","*Payroll                                          ")</f>
        <v xml:space="preserve">     *Payroll                                          </v>
      </c>
      <c r="C28" s="15"/>
      <c r="D28" s="2">
        <f>SUM(OSRRefD21_1x_0)</f>
        <v>21520.959999999999</v>
      </c>
      <c r="E28" s="2">
        <f>SUM(OSRRefD21_1x_1)</f>
        <v>15601.960000000001</v>
      </c>
      <c r="F28" s="2">
        <f>SUM(OSRRefD21_1x_2)</f>
        <v>17388.849999999999</v>
      </c>
      <c r="G28" s="2">
        <f>SUM(OSRRefD21_1x_3)</f>
        <v>18497.079999999998</v>
      </c>
      <c r="H28" s="2">
        <f>SUM(OSRRefD21_1x_4)</f>
        <v>15092.41</v>
      </c>
      <c r="I28" s="2">
        <f>SUM(OSRRefD21_1x_5)</f>
        <v>15747.88</v>
      </c>
      <c r="J28" s="2">
        <f>SUM(OSRRefD21_1x_6)</f>
        <v>22061.96</v>
      </c>
      <c r="K28" s="2">
        <f>SUM(OSRRefD21_1x_7)</f>
        <v>15731.64</v>
      </c>
      <c r="L28" s="2">
        <f>SUM(OSRRefD21_1x_8)</f>
        <v>17266.28</v>
      </c>
      <c r="M28" s="2">
        <f>SUM(OSRRefD21_1x_9)</f>
        <v>19440.690000000002</v>
      </c>
      <c r="N28" s="2">
        <f>SUM(OSRRefE21_1x_0)</f>
        <v>15972.923076923082</v>
      </c>
      <c r="O28" s="2">
        <f>SUM(OSRRefE21_1x_1)</f>
        <v>15972.923076923082</v>
      </c>
      <c r="Q28" s="3">
        <f>SUM(OSRRefD20_1x)+IFERROR(SUM(OSRRefE20_1x),0)</f>
        <v>210295.55615384615</v>
      </c>
    </row>
    <row r="29" spans="1:17" s="42" customFormat="1" ht="15" hidden="1" customHeight="1" outlineLevel="1" x14ac:dyDescent="0.3">
      <c r="A29" s="34"/>
      <c r="B29" s="11" t="str">
        <f>CONCATENATE("          ","6001"," - ","ADMINISTRATIVE SALARIES")</f>
        <v xml:space="preserve">          6001 - ADMINISTRATIVE SALARIES</v>
      </c>
      <c r="C29" s="15"/>
      <c r="D29" s="3">
        <v>13836.28</v>
      </c>
      <c r="E29" s="3">
        <v>8855.42</v>
      </c>
      <c r="F29" s="3">
        <v>10515.82</v>
      </c>
      <c r="G29" s="3">
        <v>10516.14</v>
      </c>
      <c r="H29" s="3">
        <v>9209.65</v>
      </c>
      <c r="I29" s="3">
        <v>10936.46</v>
      </c>
      <c r="J29" s="3">
        <v>14390.06</v>
      </c>
      <c r="K29" s="3">
        <v>10936.46</v>
      </c>
      <c r="L29" s="3">
        <v>11512.06</v>
      </c>
      <c r="M29" s="3">
        <v>12087.68</v>
      </c>
      <c r="N29" s="3">
        <v>10268.307692307701</v>
      </c>
      <c r="O29" s="3">
        <v>10268.307692307701</v>
      </c>
      <c r="P29" s="10"/>
      <c r="Q29" s="3">
        <f>SUM(OSRRefD21_1_0x)+IFERROR(SUM(OSRRefE21_1_0x),0)</f>
        <v>133332.6453846154</v>
      </c>
    </row>
    <row r="30" spans="1:17" s="42" customFormat="1" ht="15" hidden="1" customHeight="1" outlineLevel="1" x14ac:dyDescent="0.3">
      <c r="A30" s="34"/>
      <c r="B30" s="11" t="str">
        <f>CONCATENATE("          ","6002"," - ","STAFF SALARIES")</f>
        <v xml:space="preserve">          6002 - STAFF SALARIES</v>
      </c>
      <c r="C30" s="15"/>
      <c r="D30" s="3">
        <v>7684.68</v>
      </c>
      <c r="E30" s="3">
        <v>6147.68</v>
      </c>
      <c r="F30" s="3">
        <v>5532.91</v>
      </c>
      <c r="G30" s="3">
        <v>7377.14</v>
      </c>
      <c r="H30" s="3">
        <v>5754.22</v>
      </c>
      <c r="I30" s="3">
        <v>4475.5</v>
      </c>
      <c r="J30" s="3">
        <v>7671.9</v>
      </c>
      <c r="K30" s="3">
        <v>4795.18</v>
      </c>
      <c r="L30" s="3">
        <v>5754.22</v>
      </c>
      <c r="M30" s="3">
        <v>7353.01</v>
      </c>
      <c r="N30" s="3">
        <v>5704.6153846153802</v>
      </c>
      <c r="O30" s="3">
        <v>5704.6153846153802</v>
      </c>
      <c r="P30" s="10"/>
      <c r="Q30" s="3">
        <f>SUM(OSRRefD21_1_1x)+IFERROR(SUM(OSRRefE21_1_1x),0)</f>
        <v>73955.670769230768</v>
      </c>
    </row>
    <row r="31" spans="1:17" s="42" customFormat="1" ht="15" hidden="1" customHeight="1" outlineLevel="1" x14ac:dyDescent="0.3">
      <c r="A31" s="34"/>
      <c r="B31" s="11" t="str">
        <f>CONCATENATE("          ","6003"," - ","STAFF HOURLY-9 MONTH")</f>
        <v xml:space="preserve">          6003 - STAFF HOURLY-9 MONTH</v>
      </c>
      <c r="C31" s="15"/>
      <c r="D31" s="3"/>
      <c r="E31" s="3"/>
      <c r="F31" s="3"/>
      <c r="G31" s="3"/>
      <c r="H31" s="3"/>
      <c r="I31" s="3"/>
      <c r="J31" s="3"/>
      <c r="K31" s="3"/>
      <c r="L31" s="3"/>
      <c r="M31" s="3"/>
      <c r="N31" s="3">
        <v>0</v>
      </c>
      <c r="O31" s="3">
        <v>0</v>
      </c>
      <c r="P31" s="10"/>
      <c r="Q31" s="3">
        <f>SUM(OSRRefD21_1_2x)+IFERROR(SUM(OSRRefE21_1_2x),0)</f>
        <v>0</v>
      </c>
    </row>
    <row r="32" spans="1:17" s="42" customFormat="1" ht="15" hidden="1" customHeight="1" outlineLevel="1" x14ac:dyDescent="0.3">
      <c r="A32" s="34"/>
      <c r="B32" s="11" t="str">
        <f>CONCATENATE("          ","6004"," - ","STAFF HOURLY")</f>
        <v xml:space="preserve">          6004 - STAFF HOURLY</v>
      </c>
      <c r="C32" s="15"/>
      <c r="D32" s="3"/>
      <c r="E32" s="3"/>
      <c r="F32" s="3">
        <v>312.5</v>
      </c>
      <c r="G32" s="3">
        <v>603.79999999999995</v>
      </c>
      <c r="H32" s="3">
        <v>128.54</v>
      </c>
      <c r="I32" s="3">
        <v>335.92</v>
      </c>
      <c r="J32" s="3"/>
      <c r="K32" s="3"/>
      <c r="L32" s="3"/>
      <c r="M32" s="3"/>
      <c r="N32" s="3">
        <v>0</v>
      </c>
      <c r="O32" s="3">
        <v>0</v>
      </c>
      <c r="P32" s="10"/>
      <c r="Q32" s="3">
        <f>SUM(OSRRefD21_1_3x)+IFERROR(SUM(OSRRefE21_1_3x),0)</f>
        <v>1380.76</v>
      </c>
    </row>
    <row r="33" spans="1:17" s="42" customFormat="1" ht="15" hidden="1" customHeight="1" outlineLevel="1" x14ac:dyDescent="0.3">
      <c r="A33" s="34"/>
      <c r="B33" s="11" t="str">
        <f>CONCATENATE("          ","6005"," - ","TEMPORARY WAGES-HOURLY")</f>
        <v xml:space="preserve">          6005 - TEMPORARY WAGES-HOURLY</v>
      </c>
      <c r="C33" s="15"/>
      <c r="D33" s="3"/>
      <c r="E33" s="3">
        <v>230.86</v>
      </c>
      <c r="F33" s="3">
        <v>1395.62</v>
      </c>
      <c r="G33" s="3"/>
      <c r="H33" s="3"/>
      <c r="I33" s="3"/>
      <c r="J33" s="3"/>
      <c r="K33" s="3"/>
      <c r="L33" s="3"/>
      <c r="M33" s="3"/>
      <c r="N33" s="3">
        <v>0</v>
      </c>
      <c r="O33" s="3">
        <v>0</v>
      </c>
      <c r="P33" s="10"/>
      <c r="Q33" s="3">
        <f>SUM(OSRRefD21_1_4x)+IFERROR(SUM(OSRRefE21_1_4x),0)</f>
        <v>1626.48</v>
      </c>
    </row>
    <row r="34" spans="1:17" s="42" customFormat="1" ht="15" hidden="1" customHeight="1" outlineLevel="1" x14ac:dyDescent="0.3">
      <c r="A34" s="34"/>
      <c r="B34" s="11" t="str">
        <f>CONCATENATE("          ","6006"," - ","TEMPORARY PART TIME")</f>
        <v xml:space="preserve">          6006 - TEMPORARY PART TIME</v>
      </c>
      <c r="C34" s="15"/>
      <c r="D34" s="3"/>
      <c r="E34" s="3"/>
      <c r="F34" s="3"/>
      <c r="G34" s="3"/>
      <c r="H34" s="3"/>
      <c r="I34" s="3"/>
      <c r="J34" s="3"/>
      <c r="K34" s="3"/>
      <c r="L34" s="3"/>
      <c r="M34" s="3"/>
      <c r="N34" s="3">
        <v>0</v>
      </c>
      <c r="O34" s="3">
        <v>0</v>
      </c>
      <c r="P34" s="10"/>
      <c r="Q34" s="3">
        <f>SUM(OSRRefD21_1_5x)+IFERROR(SUM(OSRRefE21_1_5x),0)</f>
        <v>0</v>
      </c>
    </row>
    <row r="35" spans="1:17" s="42" customFormat="1" ht="15" hidden="1" customHeight="1" outlineLevel="1" x14ac:dyDescent="0.3">
      <c r="A35" s="34"/>
      <c r="B35" s="11" t="str">
        <f>CONCATENATE("          ","6007"," - ","STUDENT HOURLY")</f>
        <v xml:space="preserve">          6007 - STUDENT HOURLY</v>
      </c>
      <c r="C35" s="15"/>
      <c r="D35" s="3"/>
      <c r="E35" s="3">
        <v>368</v>
      </c>
      <c r="F35" s="3">
        <v>-368</v>
      </c>
      <c r="G35" s="3"/>
      <c r="H35" s="3"/>
      <c r="I35" s="3"/>
      <c r="J35" s="3"/>
      <c r="K35" s="3"/>
      <c r="L35" s="3"/>
      <c r="M35" s="3"/>
      <c r="N35" s="3">
        <v>0</v>
      </c>
      <c r="O35" s="3">
        <v>0</v>
      </c>
      <c r="P35" s="10"/>
      <c r="Q35" s="3">
        <f>SUM(OSRRefD21_1_6x)+IFERROR(SUM(OSRRefE21_1_6x),0)</f>
        <v>0</v>
      </c>
    </row>
    <row r="36" spans="1:17" s="42" customFormat="1" ht="15" hidden="1" customHeight="1" outlineLevel="1" x14ac:dyDescent="0.3">
      <c r="A36" s="34"/>
      <c r="B36" s="11" t="str">
        <f>CONCATENATE("          ","6008"," - ","STUDENT HOURLY-FICA EXEMPT")</f>
        <v xml:space="preserve">          6008 - STUDENT HOURLY-FICA EXEMPT</v>
      </c>
      <c r="C36" s="15"/>
      <c r="D36" s="3"/>
      <c r="E36" s="3"/>
      <c r="F36" s="3"/>
      <c r="G36" s="3"/>
      <c r="H36" s="3"/>
      <c r="I36" s="3"/>
      <c r="J36" s="3"/>
      <c r="K36" s="3"/>
      <c r="L36" s="3"/>
      <c r="M36" s="3"/>
      <c r="N36" s="3">
        <v>0</v>
      </c>
      <c r="O36" s="3">
        <v>0</v>
      </c>
      <c r="P36" s="10"/>
      <c r="Q36" s="3">
        <f>SUM(OSRRefD21_1_7x)+IFERROR(SUM(OSRRefE21_1_7x),0)</f>
        <v>0</v>
      </c>
    </row>
    <row r="37" spans="1:17" s="42" customFormat="1" ht="15" hidden="1" customHeight="1" outlineLevel="1" x14ac:dyDescent="0.3">
      <c r="A37" s="34"/>
      <c r="B37" s="11" t="str">
        <f>CONCATENATE("          ","6009"," - ","TEMPORARY-SEASONAL")</f>
        <v xml:space="preserve">          6009 - TEMPORARY-SEASONAL</v>
      </c>
      <c r="C37" s="15"/>
      <c r="D37" s="3"/>
      <c r="E37" s="3"/>
      <c r="F37" s="3"/>
      <c r="G37" s="3"/>
      <c r="H37" s="3"/>
      <c r="I37" s="3"/>
      <c r="J37" s="3"/>
      <c r="K37" s="3"/>
      <c r="L37" s="3"/>
      <c r="M37" s="3"/>
      <c r="N37" s="3">
        <v>0</v>
      </c>
      <c r="O37" s="3">
        <v>0</v>
      </c>
      <c r="P37" s="10"/>
      <c r="Q37" s="3">
        <f>SUM(OSRRefD21_1_8x)+IFERROR(SUM(OSRRefE21_1_8x),0)</f>
        <v>0</v>
      </c>
    </row>
    <row r="38" spans="1:17" s="42" customFormat="1" ht="15" hidden="1" customHeight="1" outlineLevel="1" x14ac:dyDescent="0.3">
      <c r="A38" s="34"/>
      <c r="B38" s="11" t="str">
        <f>CONCATENATE("          ","6010"," - ","GRATUITY")</f>
        <v xml:space="preserve">          6010 - GRATUITY</v>
      </c>
      <c r="C38" s="15"/>
      <c r="D38" s="3"/>
      <c r="E38" s="3"/>
      <c r="F38" s="3"/>
      <c r="G38" s="3"/>
      <c r="H38" s="3"/>
      <c r="I38" s="3"/>
      <c r="J38" s="3"/>
      <c r="K38" s="3"/>
      <c r="L38" s="3"/>
      <c r="M38" s="3"/>
      <c r="N38" s="3">
        <v>0</v>
      </c>
      <c r="O38" s="3">
        <v>0</v>
      </c>
      <c r="P38" s="10"/>
      <c r="Q38" s="3">
        <f>SUM(OSRRefD21_1_9x)+IFERROR(SUM(OSRRefE21_1_9x),0)</f>
        <v>0</v>
      </c>
    </row>
    <row r="39" spans="1:17" s="42" customFormat="1" ht="15" customHeight="1" collapsed="1" x14ac:dyDescent="0.3">
      <c r="A39" s="34"/>
      <c r="B39" s="15" t="str">
        <f>CONCATENATE("     ","Bank/card Fees                                    ")</f>
        <v xml:space="preserve">     Bank/card Fees                                    </v>
      </c>
      <c r="C39" s="15"/>
      <c r="D39" s="2">
        <f>SUM(OSRRefD21_2x_0)</f>
        <v>242.91</v>
      </c>
      <c r="E39" s="2">
        <f>SUM(OSRRefD21_2x_1)</f>
        <v>242.91</v>
      </c>
      <c r="F39" s="2">
        <f>SUM(OSRRefD21_2x_2)</f>
        <v>242.91</v>
      </c>
      <c r="G39" s="2">
        <f>SUM(OSRRefD21_2x_3)</f>
        <v>242.7</v>
      </c>
      <c r="H39" s="2">
        <f>SUM(OSRRefD21_2x_4)</f>
        <v>167.96</v>
      </c>
      <c r="I39" s="2">
        <f>SUM(OSRRefD21_2x_5)</f>
        <v>267</v>
      </c>
      <c r="J39" s="2">
        <f>SUM(OSRRefD21_2x_6)</f>
        <v>177.96</v>
      </c>
      <c r="K39" s="2">
        <f>SUM(OSRRefD21_2x_7)</f>
        <v>177.96</v>
      </c>
      <c r="L39" s="2">
        <f>SUM(OSRRefD21_2x_8)</f>
        <v>177.96</v>
      </c>
      <c r="M39" s="2">
        <f>SUM(OSRRefD21_2x_9)</f>
        <v>177.96</v>
      </c>
      <c r="N39" s="2">
        <f>SUM(OSRRefE21_2x_0)</f>
        <v>839</v>
      </c>
      <c r="O39" s="2">
        <f>SUM(OSRRefE21_2x_1)</f>
        <v>839</v>
      </c>
      <c r="Q39" s="3">
        <f>SUM(OSRRefD20_2x)+IFERROR(SUM(OSRRefE20_2x),0)</f>
        <v>3796.23</v>
      </c>
    </row>
    <row r="40" spans="1:17" s="42" customFormat="1" ht="15" hidden="1" customHeight="1" outlineLevel="1" x14ac:dyDescent="0.3">
      <c r="A40" s="34"/>
      <c r="B40" s="11" t="str">
        <f>CONCATENATE("          ","6381"," - ","BANK/CREDIT CARD FEES")</f>
        <v xml:space="preserve">          6381 - BANK/CREDIT CARD FEES</v>
      </c>
      <c r="C40" s="15"/>
      <c r="D40" s="3">
        <v>242.91</v>
      </c>
      <c r="E40" s="3">
        <v>242.91</v>
      </c>
      <c r="F40" s="3">
        <v>242.91</v>
      </c>
      <c r="G40" s="3">
        <v>242.7</v>
      </c>
      <c r="H40" s="3">
        <v>167.96</v>
      </c>
      <c r="I40" s="3">
        <v>267</v>
      </c>
      <c r="J40" s="3">
        <v>177.96</v>
      </c>
      <c r="K40" s="3">
        <v>177.96</v>
      </c>
      <c r="L40" s="3">
        <v>177.96</v>
      </c>
      <c r="M40" s="3">
        <v>177.96</v>
      </c>
      <c r="N40" s="3">
        <v>839</v>
      </c>
      <c r="O40" s="3">
        <v>839</v>
      </c>
      <c r="P40" s="10"/>
      <c r="Q40" s="3">
        <f>SUM(OSRRefD21_2_0x)+IFERROR(SUM(OSRRefE21_2_0x),0)</f>
        <v>3796.23</v>
      </c>
    </row>
    <row r="41" spans="1:17" s="42" customFormat="1" ht="15" customHeight="1" collapsed="1" x14ac:dyDescent="0.3">
      <c r="A41" s="34"/>
      <c r="B41" s="15" t="str">
        <f>CONCATENATE("     ","Depreciation                                      ")</f>
        <v xml:space="preserve">     Depreciation                                      </v>
      </c>
      <c r="C41" s="15"/>
      <c r="D41" s="2">
        <f>SUM(OSRRefD21_3x_0)</f>
        <v>5331.53</v>
      </c>
      <c r="E41" s="2">
        <f>SUM(OSRRefD21_3x_1)</f>
        <v>5331.53</v>
      </c>
      <c r="F41" s="2">
        <f>SUM(OSRRefD21_3x_2)</f>
        <v>5331.53</v>
      </c>
      <c r="G41" s="2">
        <f>SUM(OSRRefD21_3x_3)</f>
        <v>5331.53</v>
      </c>
      <c r="H41" s="2">
        <f>SUM(OSRRefD21_3x_4)</f>
        <v>5331.53</v>
      </c>
      <c r="I41" s="2">
        <f>SUM(OSRRefD21_3x_5)</f>
        <v>5331.53</v>
      </c>
      <c r="J41" s="2">
        <f>SUM(OSRRefD21_3x_6)</f>
        <v>5331.53</v>
      </c>
      <c r="K41" s="2">
        <f>SUM(OSRRefD21_3x_7)</f>
        <v>5331.53</v>
      </c>
      <c r="L41" s="2">
        <f>SUM(OSRRefD21_3x_8)</f>
        <v>4756.7300000000005</v>
      </c>
      <c r="M41" s="2">
        <f>SUM(OSRRefD21_3x_9)</f>
        <v>7280.08</v>
      </c>
      <c r="N41" s="2">
        <f>SUM(OSRRefE21_3x_0)</f>
        <v>4757</v>
      </c>
      <c r="O41" s="2">
        <f>SUM(OSRRefE21_3x_1)</f>
        <v>4757</v>
      </c>
      <c r="Q41" s="3">
        <f>SUM(OSRRefD20_3x)+IFERROR(SUM(OSRRefE20_3x),0)</f>
        <v>64203.05</v>
      </c>
    </row>
    <row r="42" spans="1:17" s="42" customFormat="1" ht="15" hidden="1" customHeight="1" outlineLevel="1" x14ac:dyDescent="0.3">
      <c r="A42" s="34"/>
      <c r="B42" s="11" t="str">
        <f>CONCATENATE("          ","6321"," - ","BUILDING DEPRECIATION")</f>
        <v xml:space="preserve">          6321 - BUILDING DEPRECIATION</v>
      </c>
      <c r="C42" s="15"/>
      <c r="D42" s="3">
        <v>1822.68</v>
      </c>
      <c r="E42" s="3">
        <v>1822.68</v>
      </c>
      <c r="F42" s="3">
        <v>1822.68</v>
      </c>
      <c r="G42" s="3">
        <v>1822.68</v>
      </c>
      <c r="H42" s="3">
        <v>1822.68</v>
      </c>
      <c r="I42" s="3">
        <v>1822.68</v>
      </c>
      <c r="J42" s="3">
        <v>1822.68</v>
      </c>
      <c r="K42" s="3">
        <v>1822.68</v>
      </c>
      <c r="L42" s="3">
        <v>1822.68</v>
      </c>
      <c r="M42" s="3">
        <v>1822.68</v>
      </c>
      <c r="N42" s="3"/>
      <c r="O42" s="3"/>
      <c r="P42" s="10"/>
      <c r="Q42" s="3">
        <f>SUM(OSRRefD21_3_0x)+IFERROR(SUM(OSRRefE21_3_0x),0)</f>
        <v>18226.8</v>
      </c>
    </row>
    <row r="43" spans="1:17" s="42" customFormat="1" ht="15" hidden="1" customHeight="1" outlineLevel="1" x14ac:dyDescent="0.3">
      <c r="A43" s="34"/>
      <c r="B43" s="11" t="str">
        <f>CONCATENATE("          ","6322"," - ","EQUIPMENT DEPRECIATION EXPENSE")</f>
        <v xml:space="preserve">          6322 - EQUIPMENT DEPRECIATION EXPENSE</v>
      </c>
      <c r="C43" s="15"/>
      <c r="D43" s="3">
        <v>3508.85</v>
      </c>
      <c r="E43" s="3">
        <v>3508.85</v>
      </c>
      <c r="F43" s="3">
        <v>3508.85</v>
      </c>
      <c r="G43" s="3">
        <v>3508.85</v>
      </c>
      <c r="H43" s="3">
        <v>3508.85</v>
      </c>
      <c r="I43" s="3">
        <v>3508.85</v>
      </c>
      <c r="J43" s="3">
        <v>3508.85</v>
      </c>
      <c r="K43" s="3">
        <v>3508.85</v>
      </c>
      <c r="L43" s="3">
        <v>2934.05</v>
      </c>
      <c r="M43" s="3">
        <v>5457.4</v>
      </c>
      <c r="N43" s="3">
        <v>4757</v>
      </c>
      <c r="O43" s="3">
        <v>4757</v>
      </c>
      <c r="P43" s="10"/>
      <c r="Q43" s="3">
        <f>SUM(OSRRefD21_3_1x)+IFERROR(SUM(OSRRefE21_3_1x),0)</f>
        <v>45976.249999999993</v>
      </c>
    </row>
    <row r="44" spans="1:17" s="42" customFormat="1" ht="15" customHeight="1" collapsed="1" x14ac:dyDescent="0.3">
      <c r="A44" s="34"/>
      <c r="B44" s="15" t="str">
        <f>CONCATENATE("     ","Employees' Appreciation                           ")</f>
        <v xml:space="preserve">     Employees' Appreciation                           </v>
      </c>
      <c r="C44" s="15"/>
      <c r="D44" s="2">
        <f>SUM(OSRRefD21_4x_0)</f>
        <v>0</v>
      </c>
      <c r="E44" s="2">
        <f>SUM(OSRRefD21_4x_1)</f>
        <v>18</v>
      </c>
      <c r="F44" s="2">
        <f>SUM(OSRRefD21_4x_2)</f>
        <v>0</v>
      </c>
      <c r="G44" s="2">
        <f>SUM(OSRRefD21_4x_3)</f>
        <v>0</v>
      </c>
      <c r="H44" s="2">
        <f>SUM(OSRRefD21_4x_4)</f>
        <v>0</v>
      </c>
      <c r="I44" s="2">
        <f>SUM(OSRRefD21_4x_5)</f>
        <v>0</v>
      </c>
      <c r="J44" s="2">
        <f>SUM(OSRRefD21_4x_6)</f>
        <v>0</v>
      </c>
      <c r="K44" s="2">
        <f>SUM(OSRRefD21_4x_7)</f>
        <v>0</v>
      </c>
      <c r="L44" s="2">
        <f>SUM(OSRRefD21_4x_8)</f>
        <v>0</v>
      </c>
      <c r="M44" s="2">
        <f>SUM(OSRRefD21_4x_9)</f>
        <v>0</v>
      </c>
      <c r="N44" s="2">
        <f>SUM(OSRRefE21_4x_0)</f>
        <v>0</v>
      </c>
      <c r="O44" s="2">
        <f>SUM(OSRRefE21_4x_1)</f>
        <v>0</v>
      </c>
      <c r="Q44" s="3">
        <f>SUM(OSRRefD20_4x)+IFERROR(SUM(OSRRefE20_4x),0)</f>
        <v>18</v>
      </c>
    </row>
    <row r="45" spans="1:17" s="42" customFormat="1" ht="15" hidden="1" customHeight="1" outlineLevel="1" x14ac:dyDescent="0.3">
      <c r="A45" s="34"/>
      <c r="B45" s="11" t="str">
        <f>CONCATENATE("          ","6277"," - ","EMPLOYEE APPRECIATION")</f>
        <v xml:space="preserve">          6277 - EMPLOYEE APPRECIATION</v>
      </c>
      <c r="C45" s="15"/>
      <c r="D45" s="3"/>
      <c r="E45" s="3">
        <v>18</v>
      </c>
      <c r="F45" s="3"/>
      <c r="G45" s="3"/>
      <c r="H45" s="3"/>
      <c r="I45" s="3"/>
      <c r="J45" s="3"/>
      <c r="K45" s="3"/>
      <c r="L45" s="3"/>
      <c r="M45" s="3"/>
      <c r="N45" s="3"/>
      <c r="O45" s="3"/>
      <c r="P45" s="10"/>
      <c r="Q45" s="3">
        <f>SUM(OSRRefD21_4_0x)+IFERROR(SUM(OSRRefE21_4_0x),0)</f>
        <v>18</v>
      </c>
    </row>
    <row r="46" spans="1:17" s="42" customFormat="1" ht="15" customHeight="1" collapsed="1" x14ac:dyDescent="0.3">
      <c r="A46" s="34"/>
      <c r="B46" s="15" t="str">
        <f>CONCATENATE("     ","Equipment Rental                                  ")</f>
        <v xml:space="preserve">     Equipment Rental                                  </v>
      </c>
      <c r="C46" s="15"/>
      <c r="D46" s="2">
        <f>SUM(OSRRefD21_5x_0)</f>
        <v>91.26</v>
      </c>
      <c r="E46" s="2">
        <f>SUM(OSRRefD21_5x_1)</f>
        <v>91.26</v>
      </c>
      <c r="F46" s="2">
        <f>SUM(OSRRefD21_5x_2)</f>
        <v>91.26</v>
      </c>
      <c r="G46" s="2">
        <f>SUM(OSRRefD21_5x_3)</f>
        <v>91.26</v>
      </c>
      <c r="H46" s="2">
        <f>SUM(OSRRefD21_5x_4)</f>
        <v>91.26</v>
      </c>
      <c r="I46" s="2">
        <f>SUM(OSRRefD21_5x_5)</f>
        <v>91.26</v>
      </c>
      <c r="J46" s="2">
        <f>SUM(OSRRefD21_5x_6)</f>
        <v>0</v>
      </c>
      <c r="K46" s="2">
        <f>SUM(OSRRefD21_5x_7)</f>
        <v>91.26</v>
      </c>
      <c r="L46" s="2">
        <f>SUM(OSRRefD21_5x_8)</f>
        <v>91.26</v>
      </c>
      <c r="M46" s="2">
        <f>SUM(OSRRefD21_5x_9)</f>
        <v>91.26</v>
      </c>
      <c r="N46" s="2">
        <f>SUM(OSRRefE21_5x_0)</f>
        <v>300</v>
      </c>
      <c r="O46" s="2">
        <f>SUM(OSRRefE21_5x_1)</f>
        <v>300</v>
      </c>
      <c r="Q46" s="3">
        <f>SUM(OSRRefD20_5x)+IFERROR(SUM(OSRRefE20_5x),0)</f>
        <v>1421.3400000000001</v>
      </c>
    </row>
    <row r="47" spans="1:17" s="42" customFormat="1" ht="15" hidden="1" customHeight="1" outlineLevel="1" x14ac:dyDescent="0.3">
      <c r="A47" s="34"/>
      <c r="B47" s="11" t="str">
        <f>CONCATENATE("          ","6351"," - ","EQUIPMENT RENTAL")</f>
        <v xml:space="preserve">          6351 - EQUIPMENT RENTAL</v>
      </c>
      <c r="C47" s="15"/>
      <c r="D47" s="3">
        <v>91.26</v>
      </c>
      <c r="E47" s="3">
        <v>91.26</v>
      </c>
      <c r="F47" s="3">
        <v>91.26</v>
      </c>
      <c r="G47" s="3">
        <v>91.26</v>
      </c>
      <c r="H47" s="3">
        <v>91.26</v>
      </c>
      <c r="I47" s="3">
        <v>91.26</v>
      </c>
      <c r="J47" s="3"/>
      <c r="K47" s="3">
        <v>91.26</v>
      </c>
      <c r="L47" s="3">
        <v>91.26</v>
      </c>
      <c r="M47" s="3">
        <v>91.26</v>
      </c>
      <c r="N47" s="3">
        <v>300</v>
      </c>
      <c r="O47" s="3">
        <v>300</v>
      </c>
      <c r="P47" s="10"/>
      <c r="Q47" s="3">
        <f>SUM(OSRRefD21_5_0x)+IFERROR(SUM(OSRRefE21_5_0x),0)</f>
        <v>1421.3400000000001</v>
      </c>
    </row>
    <row r="48" spans="1:17" s="42" customFormat="1" ht="15" customHeight="1" collapsed="1" x14ac:dyDescent="0.3">
      <c r="A48" s="34"/>
      <c r="B48" s="15" t="str">
        <f>CONCATENATE("     ","General                                           ")</f>
        <v xml:space="preserve">     General                                           </v>
      </c>
      <c r="C48" s="15"/>
      <c r="D48" s="2">
        <f>SUM(OSRRefD21_6x_0)</f>
        <v>122.51</v>
      </c>
      <c r="E48" s="2">
        <f>SUM(OSRRefD21_6x_1)</f>
        <v>0</v>
      </c>
      <c r="F48" s="2">
        <f>SUM(OSRRefD21_6x_2)</f>
        <v>0</v>
      </c>
      <c r="G48" s="2">
        <f>SUM(OSRRefD21_6x_3)</f>
        <v>0</v>
      </c>
      <c r="H48" s="2">
        <f>SUM(OSRRefD21_6x_4)</f>
        <v>0</v>
      </c>
      <c r="I48" s="2">
        <f>SUM(OSRRefD21_6x_5)</f>
        <v>0</v>
      </c>
      <c r="J48" s="2">
        <f>SUM(OSRRefD21_6x_6)</f>
        <v>0</v>
      </c>
      <c r="K48" s="2">
        <f>SUM(OSRRefD21_6x_7)</f>
        <v>0</v>
      </c>
      <c r="L48" s="2">
        <f>SUM(OSRRefD21_6x_8)</f>
        <v>0</v>
      </c>
      <c r="M48" s="2">
        <f>SUM(OSRRefD21_6x_9)</f>
        <v>215</v>
      </c>
      <c r="N48" s="2">
        <f>SUM(OSRRefE21_6x_0)</f>
        <v>0</v>
      </c>
      <c r="O48" s="2">
        <f>SUM(OSRRefE21_6x_1)</f>
        <v>0</v>
      </c>
      <c r="Q48" s="3">
        <f>SUM(OSRRefD20_6x)+IFERROR(SUM(OSRRefE20_6x),0)</f>
        <v>337.51</v>
      </c>
    </row>
    <row r="49" spans="1:17" s="42" customFormat="1" ht="15" hidden="1" customHeight="1" outlineLevel="1" x14ac:dyDescent="0.3">
      <c r="A49" s="34"/>
      <c r="B49" s="11" t="str">
        <f>CONCATENATE("          ","6279"," - ","GENERAL EXPENSE")</f>
        <v xml:space="preserve">          6279 - GENERAL EXPENSE</v>
      </c>
      <c r="C49" s="15"/>
      <c r="D49" s="3">
        <v>122.51</v>
      </c>
      <c r="E49" s="3"/>
      <c r="F49" s="3"/>
      <c r="G49" s="3"/>
      <c r="H49" s="3"/>
      <c r="I49" s="3"/>
      <c r="J49" s="3"/>
      <c r="K49" s="3"/>
      <c r="L49" s="3"/>
      <c r="M49" s="3">
        <v>215</v>
      </c>
      <c r="N49" s="3"/>
      <c r="O49" s="3"/>
      <c r="P49" s="10"/>
      <c r="Q49" s="3">
        <f>SUM(OSRRefD21_6_0x)+IFERROR(SUM(OSRRefE21_6_0x),0)</f>
        <v>337.51</v>
      </c>
    </row>
    <row r="50" spans="1:17" s="42" customFormat="1" ht="15" customHeight="1" collapsed="1" x14ac:dyDescent="0.3">
      <c r="A50" s="34"/>
      <c r="B50" s="15" t="str">
        <f>CONCATENATE("     ","Insurance                                         ")</f>
        <v xml:space="preserve">     Insurance                                         </v>
      </c>
      <c r="C50" s="15"/>
      <c r="D50" s="2">
        <f>SUM(OSRRefD21_7x_0)</f>
        <v>4884.6000000000004</v>
      </c>
      <c r="E50" s="2">
        <f>SUM(OSRRefD21_7x_1)</f>
        <v>4884.6000000000004</v>
      </c>
      <c r="F50" s="2">
        <f>SUM(OSRRefD21_7x_2)</f>
        <v>4884.6000000000004</v>
      </c>
      <c r="G50" s="2">
        <f>SUM(OSRRefD21_7x_3)</f>
        <v>11767.6</v>
      </c>
      <c r="H50" s="2">
        <f>SUM(OSRRefD21_7x_4)</f>
        <v>4884.6000000000004</v>
      </c>
      <c r="I50" s="2">
        <f>SUM(OSRRefD21_7x_5)</f>
        <v>4884.6000000000004</v>
      </c>
      <c r="J50" s="2">
        <f>SUM(OSRRefD21_7x_6)</f>
        <v>4884.6000000000004</v>
      </c>
      <c r="K50" s="2">
        <f>SUM(OSRRefD21_7x_7)</f>
        <v>4884.6000000000004</v>
      </c>
      <c r="L50" s="2">
        <f>SUM(OSRRefD21_7x_8)</f>
        <v>4884.6000000000004</v>
      </c>
      <c r="M50" s="2">
        <f>SUM(OSRRefD21_7x_9)</f>
        <v>4884.6000000000004</v>
      </c>
      <c r="N50" s="2">
        <f>SUM(OSRRefE21_7x_0)</f>
        <v>4820</v>
      </c>
      <c r="O50" s="2">
        <f>SUM(OSRRefE21_7x_1)</f>
        <v>4820</v>
      </c>
      <c r="Q50" s="3">
        <f>SUM(OSRRefD20_7x)+IFERROR(SUM(OSRRefE20_7x),0)</f>
        <v>65368.999999999993</v>
      </c>
    </row>
    <row r="51" spans="1:17" s="42" customFormat="1" ht="15" hidden="1" customHeight="1" outlineLevel="1" x14ac:dyDescent="0.3">
      <c r="A51" s="34"/>
      <c r="B51" s="11" t="str">
        <f>CONCATENATE("          ","6314"," - ","LIABILITY INSURANCE")</f>
        <v xml:space="preserve">          6314 - LIABILITY INSURANCE</v>
      </c>
      <c r="C51" s="15"/>
      <c r="D51" s="3">
        <v>4884.6000000000004</v>
      </c>
      <c r="E51" s="3">
        <v>4884.6000000000004</v>
      </c>
      <c r="F51" s="3">
        <v>4884.6000000000004</v>
      </c>
      <c r="G51" s="3">
        <v>11767.6</v>
      </c>
      <c r="H51" s="3">
        <v>4884.6000000000004</v>
      </c>
      <c r="I51" s="3">
        <v>4884.6000000000004</v>
      </c>
      <c r="J51" s="3">
        <v>4884.6000000000004</v>
      </c>
      <c r="K51" s="3">
        <v>4884.6000000000004</v>
      </c>
      <c r="L51" s="3">
        <v>4884.6000000000004</v>
      </c>
      <c r="M51" s="3">
        <v>4884.6000000000004</v>
      </c>
      <c r="N51" s="3">
        <v>4820</v>
      </c>
      <c r="O51" s="3">
        <v>4820</v>
      </c>
      <c r="P51" s="10"/>
      <c r="Q51" s="3">
        <f>SUM(OSRRefD21_7_0x)+IFERROR(SUM(OSRRefE21_7_0x),0)</f>
        <v>65368.999999999993</v>
      </c>
    </row>
    <row r="52" spans="1:17" s="42" customFormat="1" ht="15" customHeight="1" collapsed="1" x14ac:dyDescent="0.3">
      <c r="A52" s="34"/>
      <c r="B52" s="15" t="str">
        <f>CONCATENATE("     ","Repair and Maintenance                            ")</f>
        <v xml:space="preserve">     Repair and Maintenance                            </v>
      </c>
      <c r="C52" s="15"/>
      <c r="D52" s="2">
        <f>SUM(OSRRefD21_8x_0)</f>
        <v>877.46</v>
      </c>
      <c r="E52" s="2">
        <f>SUM(OSRRefD21_8x_1)</f>
        <v>12058.39</v>
      </c>
      <c r="F52" s="2">
        <f>SUM(OSRRefD21_8x_2)</f>
        <v>83.83</v>
      </c>
      <c r="G52" s="2">
        <f>SUM(OSRRefD21_8x_3)</f>
        <v>1442.53</v>
      </c>
      <c r="H52" s="2">
        <f>SUM(OSRRefD21_8x_4)</f>
        <v>2067.02</v>
      </c>
      <c r="I52" s="2">
        <f>SUM(OSRRefD21_8x_5)</f>
        <v>3229.56</v>
      </c>
      <c r="J52" s="2">
        <f>SUM(OSRRefD21_8x_6)</f>
        <v>2693.7</v>
      </c>
      <c r="K52" s="2">
        <f>SUM(OSRRefD21_8x_7)</f>
        <v>1138.8399999999999</v>
      </c>
      <c r="L52" s="2">
        <f>SUM(OSRRefD21_8x_8)</f>
        <v>1580.0600000000002</v>
      </c>
      <c r="M52" s="2">
        <f>SUM(OSRRefD21_8x_9)</f>
        <v>10146.61</v>
      </c>
      <c r="N52" s="2">
        <f>SUM(OSRRefE21_8x_0)</f>
        <v>0</v>
      </c>
      <c r="O52" s="2">
        <f>SUM(OSRRefE21_8x_1)</f>
        <v>0</v>
      </c>
      <c r="Q52" s="3">
        <f>SUM(OSRRefD20_8x)+IFERROR(SUM(OSRRefE20_8x),0)</f>
        <v>35318</v>
      </c>
    </row>
    <row r="53" spans="1:17" s="42" customFormat="1" ht="15" hidden="1" customHeight="1" outlineLevel="1" x14ac:dyDescent="0.3">
      <c r="A53" s="34"/>
      <c r="B53" s="11" t="str">
        <f>CONCATENATE("          ","6371"," - ","COMPUTER SOFTWARE MAINTENANCE")</f>
        <v xml:space="preserve">          6371 - COMPUTER SOFTWARE MAINTENANCE</v>
      </c>
      <c r="C53" s="15"/>
      <c r="D53" s="3"/>
      <c r="E53" s="3">
        <v>5177.72</v>
      </c>
      <c r="F53" s="3"/>
      <c r="G53" s="3">
        <v>159.68</v>
      </c>
      <c r="H53" s="3">
        <v>380.32</v>
      </c>
      <c r="I53" s="3">
        <v>618.36</v>
      </c>
      <c r="J53" s="3">
        <v>481.09</v>
      </c>
      <c r="K53" s="3"/>
      <c r="L53" s="3">
        <v>783.7</v>
      </c>
      <c r="M53" s="3">
        <v>8966.19</v>
      </c>
      <c r="N53" s="3"/>
      <c r="O53" s="3"/>
      <c r="P53" s="10"/>
      <c r="Q53" s="3">
        <f>SUM(OSRRefD21_8_0x)+IFERROR(SUM(OSRRefE21_8_0x),0)</f>
        <v>16567.060000000001</v>
      </c>
    </row>
    <row r="54" spans="1:17" s="42" customFormat="1" ht="15" hidden="1" customHeight="1" outlineLevel="1" x14ac:dyDescent="0.3">
      <c r="A54" s="34"/>
      <c r="B54" s="11" t="str">
        <f>CONCATENATE("          ","6373"," - ","MAINTENANCE CONTRACTS")</f>
        <v xml:space="preserve">          6373 - MAINTENANCE CONTRACTS</v>
      </c>
      <c r="C54" s="15"/>
      <c r="D54" s="3">
        <v>0.87</v>
      </c>
      <c r="E54" s="3"/>
      <c r="F54" s="3">
        <v>83.83</v>
      </c>
      <c r="G54" s="3">
        <v>1282.8499999999999</v>
      </c>
      <c r="H54" s="3">
        <v>1241.7</v>
      </c>
      <c r="I54" s="3">
        <v>2611.1999999999998</v>
      </c>
      <c r="J54" s="3">
        <v>1493.51</v>
      </c>
      <c r="K54" s="3">
        <v>538.66999999999996</v>
      </c>
      <c r="L54" s="3">
        <v>463.64</v>
      </c>
      <c r="M54" s="3">
        <v>0.73</v>
      </c>
      <c r="N54" s="3"/>
      <c r="O54" s="3"/>
      <c r="P54" s="10"/>
      <c r="Q54" s="3">
        <f>SUM(OSRRefD21_8_1x)+IFERROR(SUM(OSRRefE21_8_1x),0)</f>
        <v>7717</v>
      </c>
    </row>
    <row r="55" spans="1:17" s="42" customFormat="1" ht="15" hidden="1" customHeight="1" outlineLevel="1" x14ac:dyDescent="0.3">
      <c r="A55" s="34"/>
      <c r="B55" s="11" t="str">
        <f>CONCATENATE("          ","6375"," - ","OUTSIDE REPAIRS &amp; MAINTENANCE")</f>
        <v xml:space="preserve">          6375 - OUTSIDE REPAIRS &amp; MAINTENANCE</v>
      </c>
      <c r="C55" s="15"/>
      <c r="D55" s="3">
        <v>876.59</v>
      </c>
      <c r="E55" s="3">
        <v>6880.67</v>
      </c>
      <c r="F55" s="3"/>
      <c r="G55" s="3"/>
      <c r="H55" s="3">
        <v>445</v>
      </c>
      <c r="I55" s="3"/>
      <c r="J55" s="3">
        <v>719.1</v>
      </c>
      <c r="K55" s="3">
        <v>600.16999999999996</v>
      </c>
      <c r="L55" s="3">
        <v>332.72</v>
      </c>
      <c r="M55" s="3">
        <v>1179.69</v>
      </c>
      <c r="N55" s="3"/>
      <c r="O55" s="3"/>
      <c r="P55" s="10"/>
      <c r="Q55" s="3">
        <f>SUM(OSRRefD21_8_2x)+IFERROR(SUM(OSRRefE21_8_2x),0)</f>
        <v>11033.94</v>
      </c>
    </row>
    <row r="56" spans="1:17" s="42" customFormat="1" ht="15" customHeight="1" collapsed="1" x14ac:dyDescent="0.3">
      <c r="A56" s="34"/>
      <c r="B56" s="15" t="str">
        <f>CONCATENATE("     ","Services                                          ")</f>
        <v xml:space="preserve">     Services                                          </v>
      </c>
      <c r="C56" s="15"/>
      <c r="D56" s="2">
        <f>SUM(OSRRefD21_9x_0)</f>
        <v>670.1</v>
      </c>
      <c r="E56" s="2">
        <f>SUM(OSRRefD21_9x_1)</f>
        <v>4344.42</v>
      </c>
      <c r="F56" s="2">
        <f>SUM(OSRRefD21_9x_2)</f>
        <v>670.1</v>
      </c>
      <c r="G56" s="2">
        <f>SUM(OSRRefD21_9x_3)</f>
        <v>670.1</v>
      </c>
      <c r="H56" s="2">
        <f>SUM(OSRRefD21_9x_4)</f>
        <v>670.1</v>
      </c>
      <c r="I56" s="2">
        <f>SUM(OSRRefD21_9x_5)</f>
        <v>670.1</v>
      </c>
      <c r="J56" s="2">
        <f>SUM(OSRRefD21_9x_6)</f>
        <v>670.1</v>
      </c>
      <c r="K56" s="2">
        <f>SUM(OSRRefD21_9x_7)</f>
        <v>670.1</v>
      </c>
      <c r="L56" s="2">
        <f>SUM(OSRRefD21_9x_8)</f>
        <v>670.1</v>
      </c>
      <c r="M56" s="2">
        <f>SUM(OSRRefD21_9x_9)</f>
        <v>670.1</v>
      </c>
      <c r="N56" s="2">
        <f>SUM(OSRRefE21_9x_0)</f>
        <v>650</v>
      </c>
      <c r="O56" s="2">
        <f>SUM(OSRRefE21_9x_1)</f>
        <v>650</v>
      </c>
      <c r="Q56" s="3">
        <f>SUM(OSRRefD20_9x)+IFERROR(SUM(OSRRefE20_9x),0)</f>
        <v>11675.320000000003</v>
      </c>
    </row>
    <row r="57" spans="1:17" s="42" customFormat="1" ht="15" hidden="1" customHeight="1" outlineLevel="1" x14ac:dyDescent="0.3">
      <c r="A57" s="34"/>
      <c r="B57" s="11" t="str">
        <f>CONCATENATE("          ","6282"," - ","JANITORIAL/EXTERMINATOR EXPENS")</f>
        <v xml:space="preserve">          6282 - JANITORIAL/EXTERMINATOR EXPENS</v>
      </c>
      <c r="C57" s="15"/>
      <c r="D57" s="3">
        <v>670.1</v>
      </c>
      <c r="E57" s="3">
        <v>670.1</v>
      </c>
      <c r="F57" s="3">
        <v>670.1</v>
      </c>
      <c r="G57" s="3">
        <v>670.1</v>
      </c>
      <c r="H57" s="3">
        <v>670.1</v>
      </c>
      <c r="I57" s="3">
        <v>670.1</v>
      </c>
      <c r="J57" s="3">
        <v>670.1</v>
      </c>
      <c r="K57" s="3">
        <v>670.1</v>
      </c>
      <c r="L57" s="3">
        <v>670.1</v>
      </c>
      <c r="M57" s="3">
        <v>670.1</v>
      </c>
      <c r="N57" s="3">
        <v>650</v>
      </c>
      <c r="O57" s="3">
        <v>650</v>
      </c>
      <c r="P57" s="10"/>
      <c r="Q57" s="3">
        <f>SUM(OSRRefD21_9_0x)+IFERROR(SUM(OSRRefE21_9_0x),0)</f>
        <v>8001.0000000000009</v>
      </c>
    </row>
    <row r="58" spans="1:17" s="42" customFormat="1" ht="15" hidden="1" customHeight="1" outlineLevel="1" x14ac:dyDescent="0.3">
      <c r="A58" s="34"/>
      <c r="B58" s="11" t="str">
        <f>CONCATENATE("          ","6285"," - ","JANITORIAL SERVICES")</f>
        <v xml:space="preserve">          6285 - JANITORIAL SERVICES</v>
      </c>
      <c r="C58" s="15"/>
      <c r="D58" s="3"/>
      <c r="E58" s="3">
        <v>3674.32</v>
      </c>
      <c r="F58" s="3"/>
      <c r="G58" s="3"/>
      <c r="H58" s="3"/>
      <c r="I58" s="3"/>
      <c r="J58" s="3"/>
      <c r="K58" s="3"/>
      <c r="L58" s="3"/>
      <c r="M58" s="3"/>
      <c r="N58" s="3"/>
      <c r="O58" s="3"/>
      <c r="P58" s="10"/>
      <c r="Q58" s="3">
        <f>SUM(OSRRefD21_9_1x)+IFERROR(SUM(OSRRefE21_9_1x),0)</f>
        <v>3674.32</v>
      </c>
    </row>
    <row r="59" spans="1:17" s="42" customFormat="1" ht="15" customHeight="1" collapsed="1" x14ac:dyDescent="0.3">
      <c r="A59" s="34"/>
      <c r="B59" s="15" t="str">
        <f>CONCATENATE("     ","Subscriptions &amp; Dues                              ")</f>
        <v xml:space="preserve">     Subscriptions &amp; Dues                              </v>
      </c>
      <c r="C59" s="15"/>
      <c r="D59" s="2">
        <f>SUM(OSRRefD21_10x_0)</f>
        <v>0</v>
      </c>
      <c r="E59" s="2">
        <f>SUM(OSRRefD21_10x_1)</f>
        <v>0</v>
      </c>
      <c r="F59" s="2">
        <f>SUM(OSRRefD21_10x_2)</f>
        <v>0</v>
      </c>
      <c r="G59" s="2">
        <f>SUM(OSRRefD21_10x_3)</f>
        <v>0</v>
      </c>
      <c r="H59" s="2">
        <f>SUM(OSRRefD21_10x_4)</f>
        <v>0</v>
      </c>
      <c r="I59" s="2">
        <f>SUM(OSRRefD21_10x_5)</f>
        <v>0</v>
      </c>
      <c r="J59" s="2">
        <f>SUM(OSRRefD21_10x_6)</f>
        <v>0</v>
      </c>
      <c r="K59" s="2">
        <f>SUM(OSRRefD21_10x_7)</f>
        <v>0</v>
      </c>
      <c r="L59" s="2">
        <f>SUM(OSRRefD21_10x_8)</f>
        <v>119.2</v>
      </c>
      <c r="M59" s="2">
        <f>SUM(OSRRefD21_10x_9)</f>
        <v>0</v>
      </c>
      <c r="N59" s="2">
        <f>SUM(OSRRefE21_10x_0)</f>
        <v>0</v>
      </c>
      <c r="O59" s="2">
        <f>SUM(OSRRefE21_10x_1)</f>
        <v>0</v>
      </c>
      <c r="Q59" s="3">
        <f>SUM(OSRRefD20_10x)+IFERROR(SUM(OSRRefE20_10x),0)</f>
        <v>119.2</v>
      </c>
    </row>
    <row r="60" spans="1:17" s="42" customFormat="1" ht="15" hidden="1" customHeight="1" outlineLevel="1" x14ac:dyDescent="0.3">
      <c r="A60" s="34"/>
      <c r="B60" s="11" t="str">
        <f>CONCATENATE("          ","6275"," - ","SUBSCRIPTIONS")</f>
        <v xml:space="preserve">          6275 - SUBSCRIPTIONS</v>
      </c>
      <c r="C60" s="15"/>
      <c r="D60" s="3"/>
      <c r="E60" s="3"/>
      <c r="F60" s="3"/>
      <c r="G60" s="3"/>
      <c r="H60" s="3"/>
      <c r="I60" s="3"/>
      <c r="J60" s="3"/>
      <c r="K60" s="3"/>
      <c r="L60" s="3">
        <v>119.2</v>
      </c>
      <c r="M60" s="3"/>
      <c r="N60" s="3"/>
      <c r="O60" s="3"/>
      <c r="P60" s="10"/>
      <c r="Q60" s="3">
        <f>SUM(OSRRefD21_10_0x)+IFERROR(SUM(OSRRefE21_10_0x),0)</f>
        <v>119.2</v>
      </c>
    </row>
    <row r="61" spans="1:17" s="42" customFormat="1" ht="15" customHeight="1" collapsed="1" x14ac:dyDescent="0.3">
      <c r="A61" s="34"/>
      <c r="B61" s="15" t="str">
        <f>CONCATENATE("     ","Supplies                                          ")</f>
        <v xml:space="preserve">     Supplies                                          </v>
      </c>
      <c r="C61" s="15"/>
      <c r="D61" s="2">
        <f>SUM(OSRRefD21_11x_0)</f>
        <v>155.75</v>
      </c>
      <c r="E61" s="2">
        <f>SUM(OSRRefD21_11x_1)</f>
        <v>4.41</v>
      </c>
      <c r="F61" s="2">
        <f>SUM(OSRRefD21_11x_2)</f>
        <v>0</v>
      </c>
      <c r="G61" s="2">
        <f>SUM(OSRRefD21_11x_3)</f>
        <v>0</v>
      </c>
      <c r="H61" s="2">
        <f>SUM(OSRRefD21_11x_4)</f>
        <v>0</v>
      </c>
      <c r="I61" s="2">
        <f>SUM(OSRRefD21_11x_5)</f>
        <v>0</v>
      </c>
      <c r="J61" s="2">
        <f>SUM(OSRRefD21_11x_6)</f>
        <v>327.19</v>
      </c>
      <c r="K61" s="2">
        <f>SUM(OSRRefD21_11x_7)</f>
        <v>6.63</v>
      </c>
      <c r="L61" s="2">
        <f>SUM(OSRRefD21_11x_8)</f>
        <v>32.840000000000003</v>
      </c>
      <c r="M61" s="2">
        <f>SUM(OSRRefD21_11x_9)</f>
        <v>8.82</v>
      </c>
      <c r="N61" s="2">
        <f>SUM(OSRRefE21_11x_0)</f>
        <v>0</v>
      </c>
      <c r="O61" s="2">
        <f>SUM(OSRRefE21_11x_1)</f>
        <v>0</v>
      </c>
      <c r="Q61" s="3">
        <f>SUM(OSRRefD20_11x)+IFERROR(SUM(OSRRefE20_11x),0)</f>
        <v>535.6400000000001</v>
      </c>
    </row>
    <row r="62" spans="1:17" s="42" customFormat="1" ht="15" hidden="1" customHeight="1" outlineLevel="1" x14ac:dyDescent="0.3">
      <c r="A62" s="34"/>
      <c r="B62" s="11" t="str">
        <f>CONCATENATE("          ","6235"," - ","COVID-19 EXPENSES")</f>
        <v xml:space="preserve">          6235 - COVID-19 EXPENSES</v>
      </c>
      <c r="C62" s="15"/>
      <c r="D62" s="3"/>
      <c r="E62" s="3"/>
      <c r="F62" s="3"/>
      <c r="G62" s="3"/>
      <c r="H62" s="3"/>
      <c r="I62" s="3"/>
      <c r="J62" s="3">
        <v>318.42</v>
      </c>
      <c r="K62" s="3"/>
      <c r="L62" s="3"/>
      <c r="M62" s="3"/>
      <c r="N62" s="3"/>
      <c r="O62" s="3"/>
      <c r="P62" s="10"/>
      <c r="Q62" s="3">
        <f>SUM(OSRRefD21_11_0x)+IFERROR(SUM(OSRRefE21_11_0x),0)</f>
        <v>318.42</v>
      </c>
    </row>
    <row r="63" spans="1:17" s="42" customFormat="1" ht="15" hidden="1" customHeight="1" outlineLevel="1" x14ac:dyDescent="0.3">
      <c r="A63" s="34"/>
      <c r="B63" s="11" t="str">
        <f>CONCATENATE("          ","6241"," - ","OFFICE EXPENSE")</f>
        <v xml:space="preserve">          6241 - OFFICE EXPENSE</v>
      </c>
      <c r="C63" s="15"/>
      <c r="D63" s="3">
        <v>155.75</v>
      </c>
      <c r="E63" s="3">
        <v>4.41</v>
      </c>
      <c r="F63" s="3"/>
      <c r="G63" s="3"/>
      <c r="H63" s="3"/>
      <c r="I63" s="3"/>
      <c r="J63" s="3">
        <v>8.77</v>
      </c>
      <c r="K63" s="3">
        <v>6.63</v>
      </c>
      <c r="L63" s="3">
        <v>32.840000000000003</v>
      </c>
      <c r="M63" s="3">
        <v>8.82</v>
      </c>
      <c r="N63" s="3"/>
      <c r="O63" s="3"/>
      <c r="P63" s="10"/>
      <c r="Q63" s="3">
        <f>SUM(OSRRefD21_11_1x)+IFERROR(SUM(OSRRefE21_11_1x),0)</f>
        <v>217.22</v>
      </c>
    </row>
    <row r="64" spans="1:17" s="42" customFormat="1" ht="15" customHeight="1" collapsed="1" x14ac:dyDescent="0.3">
      <c r="A64" s="34"/>
      <c r="B64" s="15" t="str">
        <f>CONCATENATE("     ","Telephone/Data Lines                              ")</f>
        <v xml:space="preserve">     Telephone/Data Lines                              </v>
      </c>
      <c r="C64" s="15"/>
      <c r="D64" s="2">
        <f>SUM(OSRRefD21_12x_0)</f>
        <v>119.55</v>
      </c>
      <c r="E64" s="2">
        <f>SUM(OSRRefD21_12x_1)</f>
        <v>235.45</v>
      </c>
      <c r="F64" s="2">
        <f>SUM(OSRRefD21_12x_2)</f>
        <v>221.95</v>
      </c>
      <c r="G64" s="2">
        <f>SUM(OSRRefD21_12x_3)</f>
        <v>363.36</v>
      </c>
      <c r="H64" s="2">
        <f>SUM(OSRRefD21_12x_4)</f>
        <v>187.3</v>
      </c>
      <c r="I64" s="2">
        <f>SUM(OSRRefD21_12x_5)</f>
        <v>36.299999999999997</v>
      </c>
      <c r="J64" s="2">
        <f>SUM(OSRRefD21_12x_6)</f>
        <v>186.9</v>
      </c>
      <c r="K64" s="2">
        <f>SUM(OSRRefD21_12x_7)</f>
        <v>188.3</v>
      </c>
      <c r="L64" s="2">
        <f>SUM(OSRRefD21_12x_8)</f>
        <v>187.1</v>
      </c>
      <c r="M64" s="2">
        <f>SUM(OSRRefD21_12x_9)</f>
        <v>340.2</v>
      </c>
      <c r="N64" s="2">
        <f>SUM(OSRRefE21_12x_0)</f>
        <v>0</v>
      </c>
      <c r="O64" s="2">
        <f>SUM(OSRRefE21_12x_1)</f>
        <v>0</v>
      </c>
      <c r="Q64" s="3">
        <f>SUM(OSRRefD20_12x)+IFERROR(SUM(OSRRefE20_12x),0)</f>
        <v>2066.41</v>
      </c>
    </row>
    <row r="65" spans="1:17" s="42" customFormat="1" ht="15" hidden="1" customHeight="1" outlineLevel="1" x14ac:dyDescent="0.3">
      <c r="A65" s="34"/>
      <c r="B65" s="11" t="str">
        <f>CONCATENATE("          ","6309"," - ","TELEPHONE")</f>
        <v xml:space="preserve">          6309 - TELEPHONE</v>
      </c>
      <c r="C65" s="15"/>
      <c r="D65" s="3">
        <v>119.55</v>
      </c>
      <c r="E65" s="3">
        <v>235.45</v>
      </c>
      <c r="F65" s="3">
        <v>221.95</v>
      </c>
      <c r="G65" s="3">
        <v>363.36</v>
      </c>
      <c r="H65" s="3">
        <v>187.3</v>
      </c>
      <c r="I65" s="3">
        <v>36.299999999999997</v>
      </c>
      <c r="J65" s="3">
        <v>186.9</v>
      </c>
      <c r="K65" s="3">
        <v>188.3</v>
      </c>
      <c r="L65" s="3">
        <v>187.1</v>
      </c>
      <c r="M65" s="3">
        <v>340.2</v>
      </c>
      <c r="N65" s="3"/>
      <c r="O65" s="3"/>
      <c r="P65" s="10"/>
      <c r="Q65" s="3">
        <f>SUM(OSRRefD21_12_0x)+IFERROR(SUM(OSRRefE21_12_0x),0)</f>
        <v>2066.41</v>
      </c>
    </row>
    <row r="66" spans="1:17" s="42" customFormat="1" ht="15" customHeight="1" collapsed="1" x14ac:dyDescent="0.3">
      <c r="A66" s="34"/>
      <c r="B66" s="15" t="str">
        <f>CONCATENATE("     ","Travel                                            ")</f>
        <v xml:space="preserve">     Travel                                            </v>
      </c>
      <c r="C66" s="15"/>
      <c r="D66" s="2">
        <f>SUM(OSRRefD21_13x_0)</f>
        <v>0</v>
      </c>
      <c r="E66" s="2">
        <f>SUM(OSRRefD21_13x_1)</f>
        <v>0</v>
      </c>
      <c r="F66" s="2">
        <f>SUM(OSRRefD21_13x_2)</f>
        <v>0</v>
      </c>
      <c r="G66" s="2">
        <f>SUM(OSRRefD21_13x_3)</f>
        <v>0</v>
      </c>
      <c r="H66" s="2">
        <f>SUM(OSRRefD21_13x_4)</f>
        <v>18.59</v>
      </c>
      <c r="I66" s="2">
        <f>SUM(OSRRefD21_13x_5)</f>
        <v>0</v>
      </c>
      <c r="J66" s="2">
        <f>SUM(OSRRefD21_13x_6)</f>
        <v>0</v>
      </c>
      <c r="K66" s="2">
        <f>SUM(OSRRefD21_13x_7)</f>
        <v>122.65</v>
      </c>
      <c r="L66" s="2">
        <f>SUM(OSRRefD21_13x_8)</f>
        <v>0</v>
      </c>
      <c r="M66" s="2">
        <f>SUM(OSRRefD21_13x_9)</f>
        <v>0</v>
      </c>
      <c r="N66" s="2">
        <f>SUM(OSRRefE21_13x_0)</f>
        <v>0</v>
      </c>
      <c r="O66" s="2">
        <f>SUM(OSRRefE21_13x_1)</f>
        <v>0</v>
      </c>
      <c r="Q66" s="3">
        <f>SUM(OSRRefD20_13x)+IFERROR(SUM(OSRRefE20_13x),0)</f>
        <v>141.24</v>
      </c>
    </row>
    <row r="67" spans="1:17" s="42" customFormat="1" ht="15" hidden="1" customHeight="1" outlineLevel="1" x14ac:dyDescent="0.3">
      <c r="A67" s="34"/>
      <c r="B67" s="11" t="str">
        <f>CONCATENATE("          ","6292"," - ","TRAVEL/CONFERENCE")</f>
        <v xml:space="preserve">          6292 - TRAVEL/CONFERENCE</v>
      </c>
      <c r="C67" s="15"/>
      <c r="D67" s="3"/>
      <c r="E67" s="3"/>
      <c r="F67" s="3"/>
      <c r="G67" s="3"/>
      <c r="H67" s="3">
        <v>18.59</v>
      </c>
      <c r="I67" s="3"/>
      <c r="J67" s="3"/>
      <c r="K67" s="3"/>
      <c r="L67" s="3"/>
      <c r="M67" s="3"/>
      <c r="N67" s="3"/>
      <c r="O67" s="3"/>
      <c r="P67" s="10"/>
      <c r="Q67" s="3">
        <f>SUM(OSRRefD21_13_0x)+IFERROR(SUM(OSRRefE21_13_0x),0)</f>
        <v>18.59</v>
      </c>
    </row>
    <row r="68" spans="1:17" s="42" customFormat="1" ht="15" hidden="1" customHeight="1" outlineLevel="1" x14ac:dyDescent="0.3">
      <c r="A68" s="34"/>
      <c r="B68" s="11" t="str">
        <f>CONCATENATE("          ","6298"," - ","VEHICLE MILEAGE")</f>
        <v xml:space="preserve">          6298 - VEHICLE MILEAGE</v>
      </c>
      <c r="C68" s="15"/>
      <c r="D68" s="3"/>
      <c r="E68" s="3"/>
      <c r="F68" s="3"/>
      <c r="G68" s="3"/>
      <c r="H68" s="3"/>
      <c r="I68" s="3"/>
      <c r="J68" s="3"/>
      <c r="K68" s="3">
        <v>122.65</v>
      </c>
      <c r="L68" s="3"/>
      <c r="M68" s="3"/>
      <c r="N68" s="3"/>
      <c r="O68" s="3"/>
      <c r="P68" s="10"/>
      <c r="Q68" s="3">
        <f>SUM(OSRRefD21_13_1x)+IFERROR(SUM(OSRRefE21_13_1x),0)</f>
        <v>122.65</v>
      </c>
    </row>
    <row r="69" spans="1:17" s="42" customFormat="1" ht="15" customHeight="1" collapsed="1" x14ac:dyDescent="0.3">
      <c r="A69" s="34"/>
      <c r="B69" s="15" t="str">
        <f>CONCATENATE("     ","Utilities                                         ")</f>
        <v xml:space="preserve">     Utilities                                         </v>
      </c>
      <c r="C69" s="15"/>
      <c r="D69" s="2">
        <f>SUM(OSRRefD21_14x_0)</f>
        <v>5550</v>
      </c>
      <c r="E69" s="2">
        <f>SUM(OSRRefD21_14x_1)</f>
        <v>5550</v>
      </c>
      <c r="F69" s="2">
        <f>SUM(OSRRefD21_14x_2)</f>
        <v>5550</v>
      </c>
      <c r="G69" s="2">
        <f>SUM(OSRRefD21_14x_3)</f>
        <v>5550</v>
      </c>
      <c r="H69" s="2">
        <f>SUM(OSRRefD21_14x_4)</f>
        <v>5550</v>
      </c>
      <c r="I69" s="2">
        <f>SUM(OSRRefD21_14x_5)</f>
        <v>5550</v>
      </c>
      <c r="J69" s="2">
        <f>SUM(OSRRefD21_14x_6)</f>
        <v>5550</v>
      </c>
      <c r="K69" s="2">
        <f>SUM(OSRRefD21_14x_7)</f>
        <v>5550</v>
      </c>
      <c r="L69" s="2">
        <f>SUM(OSRRefD21_14x_8)</f>
        <v>5550</v>
      </c>
      <c r="M69" s="2">
        <f>SUM(OSRRefD21_14x_9)</f>
        <v>5550</v>
      </c>
      <c r="N69" s="2">
        <f>SUM(OSRRefE21_14x_0)</f>
        <v>5550</v>
      </c>
      <c r="O69" s="2">
        <f>SUM(OSRRefE21_14x_1)</f>
        <v>5550</v>
      </c>
      <c r="Q69" s="3">
        <f>SUM(OSRRefD20_14x)+IFERROR(SUM(OSRRefE20_14x),0)</f>
        <v>66600</v>
      </c>
    </row>
    <row r="70" spans="1:17" s="42" customFormat="1" ht="15" hidden="1" customHeight="1" outlineLevel="1" x14ac:dyDescent="0.3">
      <c r="A70" s="34"/>
      <c r="B70" s="11" t="str">
        <f>CONCATENATE("          ","6274"," - ","UTILITIES")</f>
        <v xml:space="preserve">          6274 - UTILITIES</v>
      </c>
      <c r="C70" s="15"/>
      <c r="D70" s="3">
        <v>5550</v>
      </c>
      <c r="E70" s="3">
        <v>5550</v>
      </c>
      <c r="F70" s="3">
        <v>5550</v>
      </c>
      <c r="G70" s="3">
        <v>5550</v>
      </c>
      <c r="H70" s="3">
        <v>5550</v>
      </c>
      <c r="I70" s="3">
        <v>5550</v>
      </c>
      <c r="J70" s="3">
        <v>5550</v>
      </c>
      <c r="K70" s="3">
        <v>5550</v>
      </c>
      <c r="L70" s="3">
        <v>5550</v>
      </c>
      <c r="M70" s="3">
        <v>5550</v>
      </c>
      <c r="N70" s="3">
        <v>5550</v>
      </c>
      <c r="O70" s="3">
        <v>5550</v>
      </c>
      <c r="P70" s="10"/>
      <c r="Q70" s="3">
        <f>SUM(OSRRefD21_14_0x)+IFERROR(SUM(OSRRefE21_14_0x),0)</f>
        <v>66600</v>
      </c>
    </row>
    <row r="71" spans="1:17" s="40" customFormat="1" ht="15" customHeight="1" x14ac:dyDescent="0.3">
      <c r="A71" s="22"/>
      <c r="B71" s="22"/>
      <c r="C71" s="2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Q71" s="2"/>
    </row>
    <row r="72" spans="1:17" s="39" customFormat="1" ht="15" customHeight="1" x14ac:dyDescent="0.3">
      <c r="A72" s="24"/>
      <c r="B72" s="17" t="s">
        <v>287</v>
      </c>
      <c r="C72" s="23"/>
      <c r="D72" s="4">
        <f>--1414.97</f>
        <v>1414.97</v>
      </c>
      <c r="E72" s="4">
        <f>--1041.32</f>
        <v>1041.32</v>
      </c>
      <c r="F72" s="4">
        <f>--555.08</f>
        <v>555.08000000000004</v>
      </c>
      <c r="G72" s="4">
        <f>--534.58</f>
        <v>534.58000000000004</v>
      </c>
      <c r="H72" s="4">
        <f>0</f>
        <v>0</v>
      </c>
      <c r="I72" s="4">
        <f>--10743.95</f>
        <v>10743.95</v>
      </c>
      <c r="J72" s="4">
        <f>--287.27</f>
        <v>287.27</v>
      </c>
      <c r="K72" s="4">
        <f>0</f>
        <v>0</v>
      </c>
      <c r="L72" s="4">
        <f>--19579.44</f>
        <v>19579.439999999999</v>
      </c>
      <c r="M72" s="4">
        <f>0</f>
        <v>0</v>
      </c>
      <c r="N72" s="4"/>
      <c r="O72" s="4"/>
      <c r="Q72" s="3">
        <f>SUM(OSRRefD23_0x)+IFERROR(SUM(OSRRefE23_0x),0)</f>
        <v>34156.61</v>
      </c>
    </row>
    <row r="73" spans="1:17" ht="15" customHeight="1" x14ac:dyDescent="0.3">
      <c r="A73" s="6"/>
      <c r="B73" s="7"/>
      <c r="C73" s="7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Q73" s="4"/>
    </row>
    <row r="74" spans="1:17" s="37" customFormat="1" ht="15" customHeight="1" x14ac:dyDescent="0.3">
      <c r="A74" s="7"/>
      <c r="B74" s="18" t="s">
        <v>288</v>
      </c>
      <c r="C74" s="18"/>
      <c r="D74" s="9">
        <f t="shared" ref="D74:O74" si="4">IFERROR(+D14-D17+D72,0)</f>
        <v>-47136.97</v>
      </c>
      <c r="E74" s="9">
        <f t="shared" si="4"/>
        <v>-56464.99</v>
      </c>
      <c r="F74" s="9">
        <f t="shared" si="4"/>
        <v>-43141.94999999999</v>
      </c>
      <c r="G74" s="9">
        <f t="shared" si="4"/>
        <v>-55904.249999999993</v>
      </c>
      <c r="H74" s="9">
        <f t="shared" si="4"/>
        <v>-43690.44999999999</v>
      </c>
      <c r="I74" s="9">
        <f t="shared" si="4"/>
        <v>-34557.17</v>
      </c>
      <c r="J74" s="9">
        <f t="shared" si="4"/>
        <v>-59467.99</v>
      </c>
      <c r="K74" s="9">
        <f t="shared" si="4"/>
        <v>-43353.869999999995</v>
      </c>
      <c r="L74" s="9">
        <f t="shared" si="4"/>
        <v>-25162.439999999984</v>
      </c>
      <c r="M74" s="9">
        <f t="shared" si="4"/>
        <v>-61037.409999999996</v>
      </c>
      <c r="N74" s="9">
        <f t="shared" si="4"/>
        <v>-41372.132430769241</v>
      </c>
      <c r="O74" s="9">
        <f t="shared" si="4"/>
        <v>-41372.132430769241</v>
      </c>
      <c r="Q74" s="9">
        <f>IFERROR(+Q14-Q17+Q72,0)</f>
        <v>-552661.75486153841</v>
      </c>
    </row>
    <row r="75" spans="1:17" s="38" customFormat="1" ht="15" customHeight="1" x14ac:dyDescent="0.3">
      <c r="B75" s="17"/>
      <c r="C75" s="17"/>
      <c r="D75" s="5">
        <f t="shared" ref="D75:O75" si="5">IFERROR(D74/D10,0)</f>
        <v>0</v>
      </c>
      <c r="E75" s="5">
        <f t="shared" si="5"/>
        <v>0</v>
      </c>
      <c r="F75" s="5">
        <f t="shared" si="5"/>
        <v>0</v>
      </c>
      <c r="G75" s="5">
        <f t="shared" si="5"/>
        <v>0</v>
      </c>
      <c r="H75" s="5">
        <f t="shared" si="5"/>
        <v>0</v>
      </c>
      <c r="I75" s="5">
        <f t="shared" si="5"/>
        <v>0</v>
      </c>
      <c r="J75" s="5">
        <f t="shared" si="5"/>
        <v>0</v>
      </c>
      <c r="K75" s="5">
        <f t="shared" si="5"/>
        <v>0</v>
      </c>
      <c r="L75" s="5">
        <f t="shared" si="5"/>
        <v>0</v>
      </c>
      <c r="M75" s="5">
        <f t="shared" si="5"/>
        <v>0</v>
      </c>
      <c r="N75" s="5">
        <f t="shared" si="5"/>
        <v>0</v>
      </c>
      <c r="O75" s="5">
        <f t="shared" si="5"/>
        <v>0</v>
      </c>
      <c r="P75" s="19"/>
      <c r="Q75" s="5">
        <f>IFERROR(Q74/Q10,0)</f>
        <v>0</v>
      </c>
    </row>
    <row r="76" spans="1:17" ht="15" customHeight="1" x14ac:dyDescent="0.3">
      <c r="A76" s="6"/>
      <c r="B76" s="7"/>
      <c r="C76" s="6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Q76" s="4"/>
    </row>
    <row r="77" spans="1:17" s="37" customFormat="1" ht="15" customHeight="1" x14ac:dyDescent="0.3">
      <c r="A77" s="26"/>
      <c r="B77" s="7" t="s">
        <v>289</v>
      </c>
      <c r="C77" s="7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Q77" s="3">
        <f>SUM(OSRRefD28_0x)+IFERROR(SUM(OSRRefE28_0x),0)</f>
        <v>0</v>
      </c>
    </row>
    <row r="78" spans="1:17" ht="15" customHeight="1" x14ac:dyDescent="0.3">
      <c r="A78" s="6"/>
      <c r="B78" s="7"/>
      <c r="C78" s="7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Q78" s="4"/>
    </row>
    <row r="79" spans="1:17" s="37" customFormat="1" ht="15.75" customHeight="1" x14ac:dyDescent="0.3">
      <c r="A79" s="7"/>
      <c r="B79" s="18" t="s">
        <v>290</v>
      </c>
      <c r="C79" s="18"/>
      <c r="D79" s="8">
        <f t="shared" ref="D79:O79" si="6">IFERROR(+D74-D77,0)</f>
        <v>-47136.97</v>
      </c>
      <c r="E79" s="8">
        <f t="shared" si="6"/>
        <v>-56464.99</v>
      </c>
      <c r="F79" s="8">
        <f t="shared" si="6"/>
        <v>-43141.94999999999</v>
      </c>
      <c r="G79" s="8">
        <f t="shared" si="6"/>
        <v>-55904.249999999993</v>
      </c>
      <c r="H79" s="8">
        <f t="shared" si="6"/>
        <v>-43690.44999999999</v>
      </c>
      <c r="I79" s="8">
        <f t="shared" si="6"/>
        <v>-34557.17</v>
      </c>
      <c r="J79" s="8">
        <f t="shared" si="6"/>
        <v>-59467.99</v>
      </c>
      <c r="K79" s="8">
        <f t="shared" si="6"/>
        <v>-43353.869999999995</v>
      </c>
      <c r="L79" s="8">
        <f t="shared" si="6"/>
        <v>-25162.439999999984</v>
      </c>
      <c r="M79" s="8">
        <f t="shared" si="6"/>
        <v>-61037.409999999996</v>
      </c>
      <c r="N79" s="8">
        <f t="shared" si="6"/>
        <v>-41372.132430769241</v>
      </c>
      <c r="O79" s="8">
        <f t="shared" si="6"/>
        <v>-41372.132430769241</v>
      </c>
      <c r="Q79" s="8">
        <f>IFERROR(+Q74-Q77,0)</f>
        <v>-552661.75486153841</v>
      </c>
    </row>
    <row r="80" spans="1:17" ht="15.75" customHeight="1" x14ac:dyDescent="0.3">
      <c r="A80" s="6"/>
      <c r="B80" s="6"/>
      <c r="C80" s="6"/>
      <c r="D80" s="5">
        <f t="shared" ref="D80:O80" si="7">IFERROR(D79/D10,0)</f>
        <v>0</v>
      </c>
      <c r="E80" s="5">
        <f t="shared" si="7"/>
        <v>0</v>
      </c>
      <c r="F80" s="5">
        <f t="shared" si="7"/>
        <v>0</v>
      </c>
      <c r="G80" s="5">
        <f t="shared" si="7"/>
        <v>0</v>
      </c>
      <c r="H80" s="5">
        <f t="shared" si="7"/>
        <v>0</v>
      </c>
      <c r="I80" s="5">
        <f t="shared" si="7"/>
        <v>0</v>
      </c>
      <c r="J80" s="5">
        <f t="shared" si="7"/>
        <v>0</v>
      </c>
      <c r="K80" s="5">
        <f t="shared" si="7"/>
        <v>0</v>
      </c>
      <c r="L80" s="5">
        <f t="shared" si="7"/>
        <v>0</v>
      </c>
      <c r="M80" s="5">
        <f t="shared" si="7"/>
        <v>0</v>
      </c>
      <c r="N80" s="5">
        <f t="shared" si="7"/>
        <v>0</v>
      </c>
      <c r="O80" s="5">
        <f t="shared" si="7"/>
        <v>0</v>
      </c>
      <c r="P80" s="19"/>
      <c r="Q80" s="5">
        <f>IFERROR(Q79/Q10,0)</f>
        <v>0</v>
      </c>
    </row>
    <row r="81" spans="1:17" ht="15" customHeight="1" x14ac:dyDescent="0.3">
      <c r="A81" s="6"/>
      <c r="B81" s="6"/>
      <c r="C81" s="6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Q81" s="4"/>
    </row>
    <row r="82" spans="1:17" ht="15" customHeight="1" x14ac:dyDescent="0.3">
      <c r="A82" s="6"/>
      <c r="B82" s="6"/>
      <c r="C82" s="6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Q82" s="4"/>
    </row>
    <row r="83" spans="1:17" s="37" customFormat="1" ht="15.75" customHeight="1" x14ac:dyDescent="0.3">
      <c r="A83" s="7"/>
      <c r="B83" s="18" t="s">
        <v>293</v>
      </c>
      <c r="C83" s="18"/>
      <c r="D83" s="8">
        <f t="shared" ref="D83:O83" si="8">IFERROR(SUM(D79:D82),0)</f>
        <v>-47136.97</v>
      </c>
      <c r="E83" s="8">
        <f t="shared" si="8"/>
        <v>-56464.99</v>
      </c>
      <c r="F83" s="8">
        <f t="shared" si="8"/>
        <v>-43141.94999999999</v>
      </c>
      <c r="G83" s="8">
        <f t="shared" si="8"/>
        <v>-55904.249999999993</v>
      </c>
      <c r="H83" s="8">
        <f t="shared" si="8"/>
        <v>-43690.44999999999</v>
      </c>
      <c r="I83" s="8">
        <f t="shared" si="8"/>
        <v>-34557.17</v>
      </c>
      <c r="J83" s="8">
        <f t="shared" si="8"/>
        <v>-59467.99</v>
      </c>
      <c r="K83" s="8">
        <f t="shared" si="8"/>
        <v>-43353.869999999995</v>
      </c>
      <c r="L83" s="8">
        <f t="shared" si="8"/>
        <v>-25162.439999999984</v>
      </c>
      <c r="M83" s="8">
        <f t="shared" si="8"/>
        <v>-61037.409999999996</v>
      </c>
      <c r="N83" s="8">
        <f t="shared" si="8"/>
        <v>-41372.132430769241</v>
      </c>
      <c r="O83" s="8">
        <f t="shared" si="8"/>
        <v>-41372.132430769241</v>
      </c>
      <c r="Q83" s="8">
        <f>IFERROR(SUM(Q79:Q82),0)</f>
        <v>-552661.75486153841</v>
      </c>
    </row>
    <row r="84" spans="1:17" ht="15.75" customHeight="1" x14ac:dyDescent="0.3">
      <c r="A84" s="6"/>
      <c r="C84" s="6"/>
      <c r="D84" s="5">
        <f t="shared" ref="D84:O84" si="9">IFERROR(D83/D10,0)</f>
        <v>0</v>
      </c>
      <c r="E84" s="5">
        <f t="shared" si="9"/>
        <v>0</v>
      </c>
      <c r="F84" s="5">
        <f t="shared" si="9"/>
        <v>0</v>
      </c>
      <c r="G84" s="5">
        <f t="shared" si="9"/>
        <v>0</v>
      </c>
      <c r="H84" s="5">
        <f t="shared" si="9"/>
        <v>0</v>
      </c>
      <c r="I84" s="5">
        <f t="shared" si="9"/>
        <v>0</v>
      </c>
      <c r="J84" s="5">
        <f t="shared" si="9"/>
        <v>0</v>
      </c>
      <c r="K84" s="5">
        <f t="shared" si="9"/>
        <v>0</v>
      </c>
      <c r="L84" s="5">
        <f t="shared" si="9"/>
        <v>0</v>
      </c>
      <c r="M84" s="5">
        <f t="shared" si="9"/>
        <v>0</v>
      </c>
      <c r="N84" s="5">
        <f t="shared" si="9"/>
        <v>0</v>
      </c>
      <c r="O84" s="5">
        <f t="shared" si="9"/>
        <v>0</v>
      </c>
      <c r="P84" s="19"/>
      <c r="Q84" s="5">
        <f>IFERROR(Q83/Q10,0)</f>
        <v>0</v>
      </c>
    </row>
    <row r="85" spans="1:17" ht="15" customHeight="1" x14ac:dyDescent="0.3">
      <c r="A85" s="6"/>
      <c r="B85" s="33">
        <v>44694.892891863426</v>
      </c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Q85" s="14"/>
    </row>
    <row r="86" spans="1:17" ht="15" customHeight="1" x14ac:dyDescent="0.3">
      <c r="A86" s="6"/>
      <c r="B86" s="31" t="s">
        <v>294</v>
      </c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</row>
    <row r="87" spans="1:17" ht="15" customHeight="1" x14ac:dyDescent="0.3">
      <c r="A87" s="6"/>
      <c r="B87" s="27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Q87" s="14"/>
    </row>
    <row r="88" spans="1:17" ht="15" customHeight="1" x14ac:dyDescent="0.3"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Q88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2A6D8-D726-53D8-7E96-10D9B265029B}">
  <sheetPr>
    <tabColor rgb="FF92D050"/>
    <outlinePr summaryBelow="0" summaryRight="0"/>
    <pageSetUpPr fitToPage="1"/>
  </sheetPr>
  <dimension ref="A2:R43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","412"," - ","Chartroom")</f>
        <v>Department 412 - Chartroom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9">
        <f t="shared" ref="D14:O14" si="2">IFERROR(+D10-D12,0)</f>
        <v>0</v>
      </c>
      <c r="E14" s="9">
        <f t="shared" si="2"/>
        <v>0</v>
      </c>
      <c r="F14" s="9">
        <f t="shared" si="2"/>
        <v>0</v>
      </c>
      <c r="G14" s="9">
        <f t="shared" si="2"/>
        <v>0</v>
      </c>
      <c r="H14" s="9">
        <f t="shared" si="2"/>
        <v>0</v>
      </c>
      <c r="I14" s="9">
        <f t="shared" si="2"/>
        <v>0</v>
      </c>
      <c r="J14" s="9">
        <f t="shared" si="2"/>
        <v>0</v>
      </c>
      <c r="K14" s="9">
        <f t="shared" si="2"/>
        <v>0</v>
      </c>
      <c r="L14" s="9">
        <f t="shared" si="2"/>
        <v>0</v>
      </c>
      <c r="M14" s="9">
        <f t="shared" si="2"/>
        <v>0</v>
      </c>
      <c r="N14" s="9">
        <f t="shared" si="2"/>
        <v>0</v>
      </c>
      <c r="O14" s="9">
        <f t="shared" si="2"/>
        <v>0</v>
      </c>
      <c r="Q14" s="9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2" cm="1">
        <f t="array" ref="D17">SUM(OSRRefD20x_0)</f>
        <v>613.36</v>
      </c>
      <c r="E17" s="12" cm="1">
        <f t="array" ref="E17">SUM(OSRRefD20x_1)</f>
        <v>613.36</v>
      </c>
      <c r="F17" s="12" cm="1">
        <f t="array" ref="F17">SUM(OSRRefD20x_2)</f>
        <v>673.79</v>
      </c>
      <c r="G17" s="12" cm="1">
        <f t="array" ref="G17">SUM(OSRRefD20x_3)</f>
        <v>604.96</v>
      </c>
      <c r="H17" s="12" cm="1">
        <f t="array" ref="H17">SUM(OSRRefD20x_4)</f>
        <v>577.36</v>
      </c>
      <c r="I17" s="12" cm="1">
        <f t="array" ref="I17">SUM(OSRRefD20x_5)</f>
        <v>640.63</v>
      </c>
      <c r="J17" s="12" cm="1">
        <f t="array" ref="J17">SUM(OSRRefD20x_6)</f>
        <v>577.36</v>
      </c>
      <c r="K17" s="12" cm="1">
        <f t="array" ref="K17">SUM(OSRRefD20x_7)</f>
        <v>577.36</v>
      </c>
      <c r="L17" s="12" cm="1">
        <f t="array" ref="L17">SUM(OSRRefD20x_8)</f>
        <v>640.63</v>
      </c>
      <c r="M17" s="12" cm="1">
        <f t="array" ref="M17">SUM(OSRRefD20x_9)</f>
        <v>314.83000000000004</v>
      </c>
      <c r="N17" s="12" cm="1">
        <f t="array" ref="N17">SUM(OSRRefE20x_0)</f>
        <v>577</v>
      </c>
      <c r="O17" s="12" cm="1">
        <f t="array" ref="O17">SUM(OSRRefE20x_1)</f>
        <v>577</v>
      </c>
      <c r="Q17" s="12" cm="1">
        <f t="array" ref="Q17">SUM(OSRRefG20x)</f>
        <v>6987.64</v>
      </c>
    </row>
    <row r="18" spans="1:17" s="42" customFormat="1" ht="15" customHeight="1" collapsed="1" x14ac:dyDescent="0.3">
      <c r="A18" s="34"/>
      <c r="B18" s="15" t="str">
        <f>CONCATENATE("     ","*Payroll                                          ")</f>
        <v xml:space="preserve">     *Payroll                                          </v>
      </c>
      <c r="C18" s="15"/>
      <c r="D18" s="2">
        <f>SUM(OSRRefD21_0x_0)</f>
        <v>0</v>
      </c>
      <c r="E18" s="2">
        <f>SUM(OSRRefD21_0x_1)</f>
        <v>0</v>
      </c>
      <c r="F18" s="2">
        <f>SUM(OSRRefD21_0x_2)</f>
        <v>0</v>
      </c>
      <c r="G18" s="2">
        <f>SUM(OSRRefD21_0x_3)</f>
        <v>0</v>
      </c>
      <c r="H18" s="2">
        <f>SUM(OSRRefD21_0x_4)</f>
        <v>0</v>
      </c>
      <c r="I18" s="2">
        <f>SUM(OSRRefD21_0x_5)</f>
        <v>0</v>
      </c>
      <c r="J18" s="2">
        <f>SUM(OSRRefD21_0x_6)</f>
        <v>0</v>
      </c>
      <c r="K18" s="2">
        <f>SUM(OSRRefD21_0x_7)</f>
        <v>0</v>
      </c>
      <c r="L18" s="2">
        <f>SUM(OSRRefD21_0x_8)</f>
        <v>0</v>
      </c>
      <c r="M18" s="2">
        <f>SUM(OSRRefD21_0x_9)</f>
        <v>-262.52999999999997</v>
      </c>
      <c r="N18" s="2">
        <f>SUM(OSRRefE21_0x_0)</f>
        <v>0</v>
      </c>
      <c r="O18" s="2">
        <f>SUM(OSRRefE21_0x_1)</f>
        <v>0</v>
      </c>
      <c r="Q18" s="3">
        <f>SUM(OSRRefD20_0x)+IFERROR(SUM(OSRRefE20_0x),0)</f>
        <v>-262.52999999999997</v>
      </c>
    </row>
    <row r="19" spans="1:17" s="42" customFormat="1" ht="15" hidden="1" customHeight="1" outlineLevel="1" x14ac:dyDescent="0.3">
      <c r="A19" s="34"/>
      <c r="B19" s="11" t="str">
        <f>CONCATENATE("          ","6002"," - ","STAFF SALARIES")</f>
        <v xml:space="preserve">          6002 - STAFF SALARIES</v>
      </c>
      <c r="C19" s="15"/>
      <c r="D19" s="3"/>
      <c r="E19" s="3"/>
      <c r="F19" s="3"/>
      <c r="G19" s="3"/>
      <c r="H19" s="3"/>
      <c r="I19" s="3"/>
      <c r="J19" s="3"/>
      <c r="K19" s="3"/>
      <c r="L19" s="3"/>
      <c r="M19" s="3">
        <v>-262.52999999999997</v>
      </c>
      <c r="N19" s="3"/>
      <c r="O19" s="3"/>
      <c r="P19" s="10"/>
      <c r="Q19" s="3">
        <f>SUM(OSRRefD21_0_0x)+IFERROR(SUM(OSRRefE21_0_0x),0)</f>
        <v>-262.52999999999997</v>
      </c>
    </row>
    <row r="20" spans="1:17" s="42" customFormat="1" ht="15" customHeight="1" collapsed="1" x14ac:dyDescent="0.3">
      <c r="A20" s="34"/>
      <c r="B20" s="15" t="str">
        <f>CONCATENATE("     ","Depreciation                                      ")</f>
        <v xml:space="preserve">     Depreciation                                      </v>
      </c>
      <c r="C20" s="15"/>
      <c r="D20" s="2">
        <f>SUM(OSRRefD21_1x_0)</f>
        <v>577.36</v>
      </c>
      <c r="E20" s="2">
        <f>SUM(OSRRefD21_1x_1)</f>
        <v>577.36</v>
      </c>
      <c r="F20" s="2">
        <f>SUM(OSRRefD21_1x_2)</f>
        <v>577.36</v>
      </c>
      <c r="G20" s="2">
        <f>SUM(OSRRefD21_1x_3)</f>
        <v>577.36</v>
      </c>
      <c r="H20" s="2">
        <f>SUM(OSRRefD21_1x_4)</f>
        <v>577.36</v>
      </c>
      <c r="I20" s="2">
        <f>SUM(OSRRefD21_1x_5)</f>
        <v>577.36</v>
      </c>
      <c r="J20" s="2">
        <f>SUM(OSRRefD21_1x_6)</f>
        <v>577.36</v>
      </c>
      <c r="K20" s="2">
        <f>SUM(OSRRefD21_1x_7)</f>
        <v>577.36</v>
      </c>
      <c r="L20" s="2">
        <f>SUM(OSRRefD21_1x_8)</f>
        <v>577.36</v>
      </c>
      <c r="M20" s="2">
        <f>SUM(OSRRefD21_1x_9)</f>
        <v>577.36</v>
      </c>
      <c r="N20" s="2">
        <f>SUM(OSRRefE21_1x_0)</f>
        <v>577</v>
      </c>
      <c r="O20" s="2">
        <f>SUM(OSRRefE21_1x_1)</f>
        <v>577</v>
      </c>
      <c r="Q20" s="3">
        <f>SUM(OSRRefD20_1x)+IFERROR(SUM(OSRRefE20_1x),0)</f>
        <v>6927.5999999999995</v>
      </c>
    </row>
    <row r="21" spans="1:17" s="42" customFormat="1" ht="15" hidden="1" customHeight="1" outlineLevel="1" x14ac:dyDescent="0.3">
      <c r="A21" s="34"/>
      <c r="B21" s="11" t="str">
        <f>CONCATENATE("          ","6322"," - ","EQUIPMENT DEPRECIATION EXPENSE")</f>
        <v xml:space="preserve">          6322 - EQUIPMENT DEPRECIATION EXPENSE</v>
      </c>
      <c r="C21" s="15"/>
      <c r="D21" s="3">
        <v>577.36</v>
      </c>
      <c r="E21" s="3">
        <v>577.36</v>
      </c>
      <c r="F21" s="3">
        <v>577.36</v>
      </c>
      <c r="G21" s="3">
        <v>577.36</v>
      </c>
      <c r="H21" s="3">
        <v>577.36</v>
      </c>
      <c r="I21" s="3">
        <v>577.36</v>
      </c>
      <c r="J21" s="3">
        <v>577.36</v>
      </c>
      <c r="K21" s="3">
        <v>577.36</v>
      </c>
      <c r="L21" s="3">
        <v>577.36</v>
      </c>
      <c r="M21" s="3">
        <v>577.36</v>
      </c>
      <c r="N21" s="3">
        <v>577</v>
      </c>
      <c r="O21" s="3">
        <v>577</v>
      </c>
      <c r="P21" s="10"/>
      <c r="Q21" s="3">
        <f>SUM(OSRRefD21_1_0x)+IFERROR(SUM(OSRRefE21_1_0x),0)</f>
        <v>6927.5999999999995</v>
      </c>
    </row>
    <row r="22" spans="1:17" s="42" customFormat="1" ht="15" customHeight="1" collapsed="1" x14ac:dyDescent="0.3">
      <c r="A22" s="34"/>
      <c r="B22" s="15" t="str">
        <f>CONCATENATE("     ","Repair and Maintenance                            ")</f>
        <v xml:space="preserve">     Repair and Maintenance                            </v>
      </c>
      <c r="C22" s="15"/>
      <c r="D22" s="2">
        <f>SUM(OSRRefD21_2x_0)</f>
        <v>0</v>
      </c>
      <c r="E22" s="2">
        <f>SUM(OSRRefD21_2x_1)</f>
        <v>0</v>
      </c>
      <c r="F22" s="2">
        <f>SUM(OSRRefD21_2x_2)</f>
        <v>60.43</v>
      </c>
      <c r="G22" s="2">
        <f>SUM(OSRRefD21_2x_3)</f>
        <v>0</v>
      </c>
      <c r="H22" s="2">
        <f>SUM(OSRRefD21_2x_4)</f>
        <v>0</v>
      </c>
      <c r="I22" s="2">
        <f>SUM(OSRRefD21_2x_5)</f>
        <v>63.27</v>
      </c>
      <c r="J22" s="2">
        <f>SUM(OSRRefD21_2x_6)</f>
        <v>0</v>
      </c>
      <c r="K22" s="2">
        <f>SUM(OSRRefD21_2x_7)</f>
        <v>0</v>
      </c>
      <c r="L22" s="2">
        <f>SUM(OSRRefD21_2x_8)</f>
        <v>63.27</v>
      </c>
      <c r="M22" s="2">
        <f>SUM(OSRRefD21_2x_9)</f>
        <v>0</v>
      </c>
      <c r="N22" s="2">
        <f>SUM(OSRRefE21_2x_0)</f>
        <v>0</v>
      </c>
      <c r="O22" s="2">
        <f>SUM(OSRRefE21_2x_1)</f>
        <v>0</v>
      </c>
      <c r="Q22" s="3">
        <f>SUM(OSRRefD20_2x)+IFERROR(SUM(OSRRefE20_2x),0)</f>
        <v>186.97</v>
      </c>
    </row>
    <row r="23" spans="1:17" s="42" customFormat="1" ht="15" hidden="1" customHeight="1" outlineLevel="1" x14ac:dyDescent="0.3">
      <c r="A23" s="34"/>
      <c r="B23" s="11" t="str">
        <f>CONCATENATE("          ","6373"," - ","MAINTENANCE CONTRACTS")</f>
        <v xml:space="preserve">          6373 - MAINTENANCE CONTRACTS</v>
      </c>
      <c r="C23" s="15"/>
      <c r="D23" s="3"/>
      <c r="E23" s="3"/>
      <c r="F23" s="3">
        <v>60.43</v>
      </c>
      <c r="G23" s="3"/>
      <c r="H23" s="3"/>
      <c r="I23" s="3">
        <v>63.27</v>
      </c>
      <c r="J23" s="3"/>
      <c r="K23" s="3"/>
      <c r="L23" s="3">
        <v>63.27</v>
      </c>
      <c r="M23" s="3"/>
      <c r="N23" s="3"/>
      <c r="O23" s="3"/>
      <c r="P23" s="10"/>
      <c r="Q23" s="3">
        <f>SUM(OSRRefD21_2_0x)+IFERROR(SUM(OSRRefE21_2_0x),0)</f>
        <v>186.97</v>
      </c>
    </row>
    <row r="24" spans="1:17" s="42" customFormat="1" ht="15" customHeight="1" collapsed="1" x14ac:dyDescent="0.3">
      <c r="A24" s="34"/>
      <c r="B24" s="15" t="str">
        <f>CONCATENATE("     ","Telephone/Data Lines                              ")</f>
        <v xml:space="preserve">     Telephone/Data Lines                              </v>
      </c>
      <c r="C24" s="15"/>
      <c r="D24" s="2">
        <f>SUM(OSRRefD21_3x_0)</f>
        <v>36</v>
      </c>
      <c r="E24" s="2">
        <f>SUM(OSRRefD21_3x_1)</f>
        <v>36</v>
      </c>
      <c r="F24" s="2">
        <f>SUM(OSRRefD21_3x_2)</f>
        <v>36</v>
      </c>
      <c r="G24" s="2">
        <f>SUM(OSRRefD21_3x_3)</f>
        <v>27.6</v>
      </c>
      <c r="H24" s="2">
        <f>SUM(OSRRefD21_3x_4)</f>
        <v>0</v>
      </c>
      <c r="I24" s="2">
        <f>SUM(OSRRefD21_3x_5)</f>
        <v>0</v>
      </c>
      <c r="J24" s="2">
        <f>SUM(OSRRefD21_3x_6)</f>
        <v>0</v>
      </c>
      <c r="K24" s="2">
        <f>SUM(OSRRefD21_3x_7)</f>
        <v>0</v>
      </c>
      <c r="L24" s="2">
        <f>SUM(OSRRefD21_3x_8)</f>
        <v>0</v>
      </c>
      <c r="M24" s="2">
        <f>SUM(OSRRefD21_3x_9)</f>
        <v>0</v>
      </c>
      <c r="N24" s="2">
        <f>SUM(OSRRefE21_3x_0)</f>
        <v>0</v>
      </c>
      <c r="O24" s="2">
        <f>SUM(OSRRefE21_3x_1)</f>
        <v>0</v>
      </c>
      <c r="Q24" s="3">
        <f>SUM(OSRRefD20_3x)+IFERROR(SUM(OSRRefE20_3x),0)</f>
        <v>135.6</v>
      </c>
    </row>
    <row r="25" spans="1:17" s="42" customFormat="1" ht="15" hidden="1" customHeight="1" outlineLevel="1" x14ac:dyDescent="0.3">
      <c r="A25" s="34"/>
      <c r="B25" s="11" t="str">
        <f>CONCATENATE("          ","6309"," - ","TELEPHONE")</f>
        <v xml:space="preserve">          6309 - TELEPHONE</v>
      </c>
      <c r="C25" s="15"/>
      <c r="D25" s="3">
        <v>36</v>
      </c>
      <c r="E25" s="3">
        <v>36</v>
      </c>
      <c r="F25" s="3">
        <v>36</v>
      </c>
      <c r="G25" s="3">
        <v>27.6</v>
      </c>
      <c r="H25" s="3"/>
      <c r="I25" s="3"/>
      <c r="J25" s="3"/>
      <c r="K25" s="3"/>
      <c r="L25" s="3"/>
      <c r="M25" s="3"/>
      <c r="N25" s="3"/>
      <c r="O25" s="3"/>
      <c r="P25" s="10"/>
      <c r="Q25" s="3">
        <f>SUM(OSRRefD21_3_0x)+IFERROR(SUM(OSRRefE21_3_0x),0)</f>
        <v>135.6</v>
      </c>
    </row>
    <row r="26" spans="1:17" s="40" customFormat="1" ht="15" customHeight="1" x14ac:dyDescent="0.3">
      <c r="A26" s="22"/>
      <c r="B26" s="22"/>
      <c r="C26" s="2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Q26" s="2"/>
    </row>
    <row r="27" spans="1:17" s="39" customFormat="1" ht="15" customHeight="1" x14ac:dyDescent="0.3">
      <c r="A27" s="24"/>
      <c r="B27" s="17" t="s">
        <v>287</v>
      </c>
      <c r="C27" s="23"/>
      <c r="D27" s="4">
        <f>0</f>
        <v>0</v>
      </c>
      <c r="E27" s="4">
        <f>0</f>
        <v>0</v>
      </c>
      <c r="F27" s="4">
        <f>0</f>
        <v>0</v>
      </c>
      <c r="G27" s="4">
        <f>0</f>
        <v>0</v>
      </c>
      <c r="H27" s="4">
        <f>0</f>
        <v>0</v>
      </c>
      <c r="I27" s="4">
        <f>0</f>
        <v>0</v>
      </c>
      <c r="J27" s="4">
        <f>0</f>
        <v>0</v>
      </c>
      <c r="K27" s="4">
        <f>0</f>
        <v>0</v>
      </c>
      <c r="L27" s="4">
        <f>0</f>
        <v>0</v>
      </c>
      <c r="M27" s="4">
        <f>0</f>
        <v>0</v>
      </c>
      <c r="N27" s="4"/>
      <c r="O27" s="4"/>
      <c r="Q27" s="3">
        <f>SUM(OSRRefD23_0x)+IFERROR(SUM(OSRRefE23_0x),0)</f>
        <v>0</v>
      </c>
    </row>
    <row r="28" spans="1:17" ht="15" customHeight="1" x14ac:dyDescent="0.3">
      <c r="A28" s="6"/>
      <c r="B28" s="7"/>
      <c r="C28" s="7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Q28" s="4"/>
    </row>
    <row r="29" spans="1:17" s="37" customFormat="1" ht="15" customHeight="1" x14ac:dyDescent="0.3">
      <c r="A29" s="7"/>
      <c r="B29" s="18" t="s">
        <v>288</v>
      </c>
      <c r="C29" s="18"/>
      <c r="D29" s="9">
        <f t="shared" ref="D29:O29" si="4">IFERROR(+D14-D17+D27,0)</f>
        <v>-613.36</v>
      </c>
      <c r="E29" s="9">
        <f t="shared" si="4"/>
        <v>-613.36</v>
      </c>
      <c r="F29" s="9">
        <f t="shared" si="4"/>
        <v>-673.79</v>
      </c>
      <c r="G29" s="9">
        <f t="shared" si="4"/>
        <v>-604.96</v>
      </c>
      <c r="H29" s="9">
        <f t="shared" si="4"/>
        <v>-577.36</v>
      </c>
      <c r="I29" s="9">
        <f t="shared" si="4"/>
        <v>-640.63</v>
      </c>
      <c r="J29" s="9">
        <f t="shared" si="4"/>
        <v>-577.36</v>
      </c>
      <c r="K29" s="9">
        <f t="shared" si="4"/>
        <v>-577.36</v>
      </c>
      <c r="L29" s="9">
        <f t="shared" si="4"/>
        <v>-640.63</v>
      </c>
      <c r="M29" s="9">
        <f t="shared" si="4"/>
        <v>-314.83000000000004</v>
      </c>
      <c r="N29" s="9">
        <f t="shared" si="4"/>
        <v>-577</v>
      </c>
      <c r="O29" s="9">
        <f t="shared" si="4"/>
        <v>-577</v>
      </c>
      <c r="Q29" s="9">
        <f>IFERROR(+Q14-Q17+Q27,0)</f>
        <v>-6987.64</v>
      </c>
    </row>
    <row r="30" spans="1:17" s="38" customFormat="1" ht="15" customHeight="1" x14ac:dyDescent="0.3">
      <c r="B30" s="17"/>
      <c r="C30" s="17"/>
      <c r="D30" s="5">
        <f t="shared" ref="D30:O30" si="5">IFERROR(D29/D10,0)</f>
        <v>0</v>
      </c>
      <c r="E30" s="5">
        <f t="shared" si="5"/>
        <v>0</v>
      </c>
      <c r="F30" s="5">
        <f t="shared" si="5"/>
        <v>0</v>
      </c>
      <c r="G30" s="5">
        <f t="shared" si="5"/>
        <v>0</v>
      </c>
      <c r="H30" s="5">
        <f t="shared" si="5"/>
        <v>0</v>
      </c>
      <c r="I30" s="5">
        <f t="shared" si="5"/>
        <v>0</v>
      </c>
      <c r="J30" s="5">
        <f t="shared" si="5"/>
        <v>0</v>
      </c>
      <c r="K30" s="5">
        <f t="shared" si="5"/>
        <v>0</v>
      </c>
      <c r="L30" s="5">
        <f t="shared" si="5"/>
        <v>0</v>
      </c>
      <c r="M30" s="5">
        <f t="shared" si="5"/>
        <v>0</v>
      </c>
      <c r="N30" s="5">
        <f t="shared" si="5"/>
        <v>0</v>
      </c>
      <c r="O30" s="5">
        <f t="shared" si="5"/>
        <v>0</v>
      </c>
      <c r="P30" s="19"/>
      <c r="Q30" s="5">
        <f>IFERROR(Q29/Q10,0)</f>
        <v>0</v>
      </c>
    </row>
    <row r="31" spans="1:17" ht="15" customHeight="1" x14ac:dyDescent="0.3">
      <c r="A31" s="6"/>
      <c r="B31" s="7"/>
      <c r="C31" s="6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Q31" s="4"/>
    </row>
    <row r="32" spans="1:17" s="37" customFormat="1" ht="15" customHeight="1" x14ac:dyDescent="0.3">
      <c r="A32" s="26"/>
      <c r="B32" s="7" t="s">
        <v>289</v>
      </c>
      <c r="C32" s="7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Q32" s="3">
        <f>SUM(OSRRefD28_0x)+IFERROR(SUM(OSRRefE28_0x),0)</f>
        <v>0</v>
      </c>
    </row>
    <row r="33" spans="1:17" ht="15" customHeight="1" x14ac:dyDescent="0.3">
      <c r="A33" s="6"/>
      <c r="B33" s="7"/>
      <c r="C33" s="7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Q33" s="4"/>
    </row>
    <row r="34" spans="1:17" s="37" customFormat="1" ht="15.75" customHeight="1" x14ac:dyDescent="0.3">
      <c r="A34" s="7"/>
      <c r="B34" s="18" t="s">
        <v>290</v>
      </c>
      <c r="C34" s="18"/>
      <c r="D34" s="8">
        <f t="shared" ref="D34:O34" si="6">IFERROR(+D29-D32,0)</f>
        <v>-613.36</v>
      </c>
      <c r="E34" s="8">
        <f t="shared" si="6"/>
        <v>-613.36</v>
      </c>
      <c r="F34" s="8">
        <f t="shared" si="6"/>
        <v>-673.79</v>
      </c>
      <c r="G34" s="8">
        <f t="shared" si="6"/>
        <v>-604.96</v>
      </c>
      <c r="H34" s="8">
        <f t="shared" si="6"/>
        <v>-577.36</v>
      </c>
      <c r="I34" s="8">
        <f t="shared" si="6"/>
        <v>-640.63</v>
      </c>
      <c r="J34" s="8">
        <f t="shared" si="6"/>
        <v>-577.36</v>
      </c>
      <c r="K34" s="8">
        <f t="shared" si="6"/>
        <v>-577.36</v>
      </c>
      <c r="L34" s="8">
        <f t="shared" si="6"/>
        <v>-640.63</v>
      </c>
      <c r="M34" s="8">
        <f t="shared" si="6"/>
        <v>-314.83000000000004</v>
      </c>
      <c r="N34" s="8">
        <f t="shared" si="6"/>
        <v>-577</v>
      </c>
      <c r="O34" s="8">
        <f t="shared" si="6"/>
        <v>-577</v>
      </c>
      <c r="Q34" s="8">
        <f>IFERROR(+Q29-Q32,0)</f>
        <v>-6987.64</v>
      </c>
    </row>
    <row r="35" spans="1:17" ht="15.75" customHeight="1" x14ac:dyDescent="0.3">
      <c r="A35" s="6"/>
      <c r="B35" s="6"/>
      <c r="C35" s="6"/>
      <c r="D35" s="5">
        <f t="shared" ref="D35:O35" si="7">IFERROR(D34/D10,0)</f>
        <v>0</v>
      </c>
      <c r="E35" s="5">
        <f t="shared" si="7"/>
        <v>0</v>
      </c>
      <c r="F35" s="5">
        <f t="shared" si="7"/>
        <v>0</v>
      </c>
      <c r="G35" s="5">
        <f t="shared" si="7"/>
        <v>0</v>
      </c>
      <c r="H35" s="5">
        <f t="shared" si="7"/>
        <v>0</v>
      </c>
      <c r="I35" s="5">
        <f t="shared" si="7"/>
        <v>0</v>
      </c>
      <c r="J35" s="5">
        <f t="shared" si="7"/>
        <v>0</v>
      </c>
      <c r="K35" s="5">
        <f t="shared" si="7"/>
        <v>0</v>
      </c>
      <c r="L35" s="5">
        <f t="shared" si="7"/>
        <v>0</v>
      </c>
      <c r="M35" s="5">
        <f t="shared" si="7"/>
        <v>0</v>
      </c>
      <c r="N35" s="5">
        <f t="shared" si="7"/>
        <v>0</v>
      </c>
      <c r="O35" s="5">
        <f t="shared" si="7"/>
        <v>0</v>
      </c>
      <c r="P35" s="19"/>
      <c r="Q35" s="5">
        <f>IFERROR(Q34/Q10,0)</f>
        <v>0</v>
      </c>
    </row>
    <row r="36" spans="1:17" ht="15" customHeight="1" x14ac:dyDescent="0.3">
      <c r="A36" s="6"/>
      <c r="B36" s="6"/>
      <c r="C36" s="6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Q36" s="4"/>
    </row>
    <row r="37" spans="1:17" ht="15" customHeight="1" x14ac:dyDescent="0.3">
      <c r="A37" s="6"/>
      <c r="B37" s="6"/>
      <c r="C37" s="6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Q37" s="4"/>
    </row>
    <row r="38" spans="1:17" s="37" customFormat="1" ht="15.75" customHeight="1" x14ac:dyDescent="0.3">
      <c r="A38" s="7"/>
      <c r="B38" s="18" t="s">
        <v>293</v>
      </c>
      <c r="C38" s="18"/>
      <c r="D38" s="8">
        <f t="shared" ref="D38:O38" si="8">IFERROR(SUM(D34:D37),0)</f>
        <v>-613.36</v>
      </c>
      <c r="E38" s="8">
        <f t="shared" si="8"/>
        <v>-613.36</v>
      </c>
      <c r="F38" s="8">
        <f t="shared" si="8"/>
        <v>-673.79</v>
      </c>
      <c r="G38" s="8">
        <f t="shared" si="8"/>
        <v>-604.96</v>
      </c>
      <c r="H38" s="8">
        <f t="shared" si="8"/>
        <v>-577.36</v>
      </c>
      <c r="I38" s="8">
        <f t="shared" si="8"/>
        <v>-640.63</v>
      </c>
      <c r="J38" s="8">
        <f t="shared" si="8"/>
        <v>-577.36</v>
      </c>
      <c r="K38" s="8">
        <f t="shared" si="8"/>
        <v>-577.36</v>
      </c>
      <c r="L38" s="8">
        <f t="shared" si="8"/>
        <v>-640.63</v>
      </c>
      <c r="M38" s="8">
        <f t="shared" si="8"/>
        <v>-314.83000000000004</v>
      </c>
      <c r="N38" s="8">
        <f t="shared" si="8"/>
        <v>-577</v>
      </c>
      <c r="O38" s="8">
        <f t="shared" si="8"/>
        <v>-577</v>
      </c>
      <c r="Q38" s="8">
        <f>IFERROR(SUM(Q34:Q37),0)</f>
        <v>-6987.64</v>
      </c>
    </row>
    <row r="39" spans="1:17" ht="15.75" customHeight="1" x14ac:dyDescent="0.3">
      <c r="A39" s="6"/>
      <c r="C39" s="6"/>
      <c r="D39" s="5">
        <f t="shared" ref="D39:O39" si="9">IFERROR(D38/D10,0)</f>
        <v>0</v>
      </c>
      <c r="E39" s="5">
        <f t="shared" si="9"/>
        <v>0</v>
      </c>
      <c r="F39" s="5">
        <f t="shared" si="9"/>
        <v>0</v>
      </c>
      <c r="G39" s="5">
        <f t="shared" si="9"/>
        <v>0</v>
      </c>
      <c r="H39" s="5">
        <f t="shared" si="9"/>
        <v>0</v>
      </c>
      <c r="I39" s="5">
        <f t="shared" si="9"/>
        <v>0</v>
      </c>
      <c r="J39" s="5">
        <f t="shared" si="9"/>
        <v>0</v>
      </c>
      <c r="K39" s="5">
        <f t="shared" si="9"/>
        <v>0</v>
      </c>
      <c r="L39" s="5">
        <f t="shared" si="9"/>
        <v>0</v>
      </c>
      <c r="M39" s="5">
        <f t="shared" si="9"/>
        <v>0</v>
      </c>
      <c r="N39" s="5">
        <f t="shared" si="9"/>
        <v>0</v>
      </c>
      <c r="O39" s="5">
        <f t="shared" si="9"/>
        <v>0</v>
      </c>
      <c r="P39" s="19"/>
      <c r="Q39" s="5">
        <f>IFERROR(Q38/Q10,0)</f>
        <v>0</v>
      </c>
    </row>
    <row r="40" spans="1:17" ht="15" customHeight="1" x14ac:dyDescent="0.3">
      <c r="A40" s="6"/>
      <c r="B40" s="33">
        <v>44694.892891863426</v>
      </c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Q40" s="14"/>
    </row>
    <row r="41" spans="1:17" ht="15" customHeight="1" x14ac:dyDescent="0.3">
      <c r="A41" s="6"/>
      <c r="B41" s="31" t="s">
        <v>294</v>
      </c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Q41" s="14"/>
    </row>
    <row r="42" spans="1:17" ht="15" customHeight="1" x14ac:dyDescent="0.3">
      <c r="A42" s="6"/>
      <c r="B42" s="27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Q42" s="14"/>
    </row>
    <row r="43" spans="1:17" ht="15" customHeight="1" x14ac:dyDescent="0.3"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Q43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F5308-E6D6-F656-41D7-9B668DA3ED44}">
  <sheetPr>
    <tabColor rgb="FF92D050"/>
    <outlinePr summaryBelow="0" summaryRight="0"/>
    <pageSetUpPr fitToPage="1"/>
  </sheetPr>
  <dimension ref="A2:R39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","413"," - ","Beach Walk")</f>
        <v>Department 413 - Beach Walk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9">
        <f t="shared" ref="D14:O14" si="2">IFERROR(+D10-D12,0)</f>
        <v>0</v>
      </c>
      <c r="E14" s="9">
        <f t="shared" si="2"/>
        <v>0</v>
      </c>
      <c r="F14" s="9">
        <f t="shared" si="2"/>
        <v>0</v>
      </c>
      <c r="G14" s="9">
        <f t="shared" si="2"/>
        <v>0</v>
      </c>
      <c r="H14" s="9">
        <f t="shared" si="2"/>
        <v>0</v>
      </c>
      <c r="I14" s="9">
        <f t="shared" si="2"/>
        <v>0</v>
      </c>
      <c r="J14" s="9">
        <f t="shared" si="2"/>
        <v>0</v>
      </c>
      <c r="K14" s="9">
        <f t="shared" si="2"/>
        <v>0</v>
      </c>
      <c r="L14" s="9">
        <f t="shared" si="2"/>
        <v>0</v>
      </c>
      <c r="M14" s="9">
        <f t="shared" si="2"/>
        <v>0</v>
      </c>
      <c r="N14" s="9">
        <f t="shared" si="2"/>
        <v>0</v>
      </c>
      <c r="O14" s="9">
        <f t="shared" si="2"/>
        <v>0</v>
      </c>
      <c r="Q14" s="9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2" cm="1">
        <f t="array" ref="D17">SUM(OSRRefD20x_0)</f>
        <v>58.03</v>
      </c>
      <c r="E17" s="12" cm="1">
        <f t="array" ref="E17">SUM(OSRRefD20x_1)</f>
        <v>58.03</v>
      </c>
      <c r="F17" s="12" cm="1">
        <f t="array" ref="F17">SUM(OSRRefD20x_2)</f>
        <v>223.12</v>
      </c>
      <c r="G17" s="12" cm="1">
        <f t="array" ref="G17">SUM(OSRRefD20x_3)</f>
        <v>58.03</v>
      </c>
      <c r="H17" s="12" cm="1">
        <f t="array" ref="H17">SUM(OSRRefD20x_4)</f>
        <v>58.03</v>
      </c>
      <c r="I17" s="12" cm="1">
        <f t="array" ref="I17">SUM(OSRRefD20x_5)</f>
        <v>157.88999999999999</v>
      </c>
      <c r="J17" s="12" cm="1">
        <f t="array" ref="J17">SUM(OSRRefD20x_6)</f>
        <v>58.03</v>
      </c>
      <c r="K17" s="12" cm="1">
        <f t="array" ref="K17">SUM(OSRRefD20x_7)</f>
        <v>58.03</v>
      </c>
      <c r="L17" s="12" cm="1">
        <f t="array" ref="L17">SUM(OSRRefD20x_8)</f>
        <v>157.88999999999999</v>
      </c>
      <c r="M17" s="12" cm="1">
        <f t="array" ref="M17">SUM(OSRRefD20x_9)</f>
        <v>58.03</v>
      </c>
      <c r="N17" s="12" cm="1">
        <f t="array" ref="N17">SUM(OSRRefE20x_0)</f>
        <v>58</v>
      </c>
      <c r="O17" s="12" cm="1">
        <f t="array" ref="O17">SUM(OSRRefE20x_1)</f>
        <v>58</v>
      </c>
      <c r="Q17" s="12" cm="1">
        <f t="array" ref="Q17">SUM(OSRRefG20x)</f>
        <v>1061.1099999999999</v>
      </c>
    </row>
    <row r="18" spans="1:17" s="42" customFormat="1" ht="15" customHeight="1" collapsed="1" x14ac:dyDescent="0.3">
      <c r="A18" s="34"/>
      <c r="B18" s="15" t="str">
        <f>CONCATENATE("     ","Depreciation                                      ")</f>
        <v xml:space="preserve">     Depreciation                                      </v>
      </c>
      <c r="C18" s="15"/>
      <c r="D18" s="2">
        <f>SUM(OSRRefD21_0x_0)</f>
        <v>58.03</v>
      </c>
      <c r="E18" s="2">
        <f>SUM(OSRRefD21_0x_1)</f>
        <v>58.03</v>
      </c>
      <c r="F18" s="2">
        <f>SUM(OSRRefD21_0x_2)</f>
        <v>58.03</v>
      </c>
      <c r="G18" s="2">
        <f>SUM(OSRRefD21_0x_3)</f>
        <v>58.03</v>
      </c>
      <c r="H18" s="2">
        <f>SUM(OSRRefD21_0x_4)</f>
        <v>58.03</v>
      </c>
      <c r="I18" s="2">
        <f>SUM(OSRRefD21_0x_5)</f>
        <v>58.03</v>
      </c>
      <c r="J18" s="2">
        <f>SUM(OSRRefD21_0x_6)</f>
        <v>58.03</v>
      </c>
      <c r="K18" s="2">
        <f>SUM(OSRRefD21_0x_7)</f>
        <v>58.03</v>
      </c>
      <c r="L18" s="2">
        <f>SUM(OSRRefD21_0x_8)</f>
        <v>58.03</v>
      </c>
      <c r="M18" s="2">
        <f>SUM(OSRRefD21_0x_9)</f>
        <v>58.03</v>
      </c>
      <c r="N18" s="2">
        <f>SUM(OSRRefE21_0x_0)</f>
        <v>58</v>
      </c>
      <c r="O18" s="2">
        <f>SUM(OSRRefE21_0x_1)</f>
        <v>58</v>
      </c>
      <c r="Q18" s="3">
        <f>SUM(OSRRefD20_0x)+IFERROR(SUM(OSRRefE20_0x),0)</f>
        <v>696.29999999999984</v>
      </c>
    </row>
    <row r="19" spans="1:17" s="42" customFormat="1" ht="15" hidden="1" customHeight="1" outlineLevel="1" x14ac:dyDescent="0.3">
      <c r="A19" s="34"/>
      <c r="B19" s="11" t="str">
        <f>CONCATENATE("          ","6322"," - ","EQUIPMENT DEPRECIATION EXPENSE")</f>
        <v xml:space="preserve">          6322 - EQUIPMENT DEPRECIATION EXPENSE</v>
      </c>
      <c r="C19" s="15"/>
      <c r="D19" s="3">
        <v>58.03</v>
      </c>
      <c r="E19" s="3">
        <v>58.03</v>
      </c>
      <c r="F19" s="3">
        <v>58.03</v>
      </c>
      <c r="G19" s="3">
        <v>58.03</v>
      </c>
      <c r="H19" s="3">
        <v>58.03</v>
      </c>
      <c r="I19" s="3">
        <v>58.03</v>
      </c>
      <c r="J19" s="3">
        <v>58.03</v>
      </c>
      <c r="K19" s="3">
        <v>58.03</v>
      </c>
      <c r="L19" s="3">
        <v>58.03</v>
      </c>
      <c r="M19" s="3">
        <v>58.03</v>
      </c>
      <c r="N19" s="3">
        <v>58</v>
      </c>
      <c r="O19" s="3">
        <v>58</v>
      </c>
      <c r="P19" s="10"/>
      <c r="Q19" s="3">
        <f>SUM(OSRRefD21_0_0x)+IFERROR(SUM(OSRRefE21_0_0x),0)</f>
        <v>696.29999999999984</v>
      </c>
    </row>
    <row r="20" spans="1:17" s="42" customFormat="1" ht="15" customHeight="1" collapsed="1" x14ac:dyDescent="0.3">
      <c r="A20" s="34"/>
      <c r="B20" s="15" t="str">
        <f>CONCATENATE("     ","Repair and Maintenance                            ")</f>
        <v xml:space="preserve">     Repair and Maintenance                            </v>
      </c>
      <c r="C20" s="15"/>
      <c r="D20" s="2">
        <f>SUM(OSRRefD21_1x_0)</f>
        <v>0</v>
      </c>
      <c r="E20" s="2">
        <f>SUM(OSRRefD21_1x_1)</f>
        <v>0</v>
      </c>
      <c r="F20" s="2">
        <f>SUM(OSRRefD21_1x_2)</f>
        <v>165.09</v>
      </c>
      <c r="G20" s="2">
        <f>SUM(OSRRefD21_1x_3)</f>
        <v>0</v>
      </c>
      <c r="H20" s="2">
        <f>SUM(OSRRefD21_1x_4)</f>
        <v>0</v>
      </c>
      <c r="I20" s="2">
        <f>SUM(OSRRefD21_1x_5)</f>
        <v>99.86</v>
      </c>
      <c r="J20" s="2">
        <f>SUM(OSRRefD21_1x_6)</f>
        <v>0</v>
      </c>
      <c r="K20" s="2">
        <f>SUM(OSRRefD21_1x_7)</f>
        <v>0</v>
      </c>
      <c r="L20" s="2">
        <f>SUM(OSRRefD21_1x_8)</f>
        <v>99.86</v>
      </c>
      <c r="M20" s="2">
        <f>SUM(OSRRefD21_1x_9)</f>
        <v>0</v>
      </c>
      <c r="N20" s="2">
        <f>SUM(OSRRefE21_1x_0)</f>
        <v>0</v>
      </c>
      <c r="O20" s="2">
        <f>SUM(OSRRefE21_1x_1)</f>
        <v>0</v>
      </c>
      <c r="Q20" s="3">
        <f>SUM(OSRRefD20_1x)+IFERROR(SUM(OSRRefE20_1x),0)</f>
        <v>364.81</v>
      </c>
    </row>
    <row r="21" spans="1:17" s="42" customFormat="1" ht="15" hidden="1" customHeight="1" outlineLevel="1" x14ac:dyDescent="0.3">
      <c r="A21" s="34"/>
      <c r="B21" s="11" t="str">
        <f>CONCATENATE("          ","6373"," - ","MAINTENANCE CONTRACTS")</f>
        <v xml:space="preserve">          6373 - MAINTENANCE CONTRACTS</v>
      </c>
      <c r="C21" s="15"/>
      <c r="D21" s="3"/>
      <c r="E21" s="3"/>
      <c r="F21" s="3">
        <v>165.09</v>
      </c>
      <c r="G21" s="3"/>
      <c r="H21" s="3"/>
      <c r="I21" s="3">
        <v>99.86</v>
      </c>
      <c r="J21" s="3"/>
      <c r="K21" s="3"/>
      <c r="L21" s="3">
        <v>99.86</v>
      </c>
      <c r="M21" s="3"/>
      <c r="N21" s="3"/>
      <c r="O21" s="3"/>
      <c r="P21" s="10"/>
      <c r="Q21" s="3">
        <f>SUM(OSRRefD21_1_0x)+IFERROR(SUM(OSRRefE21_1_0x),0)</f>
        <v>364.81</v>
      </c>
    </row>
    <row r="22" spans="1:17" s="40" customFormat="1" ht="15" customHeight="1" x14ac:dyDescent="0.3">
      <c r="A22" s="22"/>
      <c r="B22" s="22"/>
      <c r="C22" s="2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Q22" s="2"/>
    </row>
    <row r="23" spans="1:17" s="39" customFormat="1" ht="15" customHeight="1" x14ac:dyDescent="0.3">
      <c r="A23" s="24"/>
      <c r="B23" s="17" t="s">
        <v>287</v>
      </c>
      <c r="C23" s="23"/>
      <c r="D23" s="4">
        <f>0</f>
        <v>0</v>
      </c>
      <c r="E23" s="4">
        <f>0</f>
        <v>0</v>
      </c>
      <c r="F23" s="4">
        <f>0</f>
        <v>0</v>
      </c>
      <c r="G23" s="4">
        <f>0</f>
        <v>0</v>
      </c>
      <c r="H23" s="4">
        <f>0</f>
        <v>0</v>
      </c>
      <c r="I23" s="4">
        <f>0</f>
        <v>0</v>
      </c>
      <c r="J23" s="4">
        <f>0</f>
        <v>0</v>
      </c>
      <c r="K23" s="4">
        <f>0</f>
        <v>0</v>
      </c>
      <c r="L23" s="4">
        <f>0</f>
        <v>0</v>
      </c>
      <c r="M23" s="4">
        <f>0</f>
        <v>0</v>
      </c>
      <c r="N23" s="4"/>
      <c r="O23" s="4"/>
      <c r="Q23" s="3">
        <f>SUM(OSRRefD23_0x)+IFERROR(SUM(OSRRefE23_0x),0)</f>
        <v>0</v>
      </c>
    </row>
    <row r="24" spans="1:17" ht="15" customHeight="1" x14ac:dyDescent="0.3">
      <c r="A24" s="6"/>
      <c r="B24" s="7"/>
      <c r="C24" s="7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Q24" s="4"/>
    </row>
    <row r="25" spans="1:17" s="37" customFormat="1" ht="15" customHeight="1" x14ac:dyDescent="0.3">
      <c r="A25" s="7"/>
      <c r="B25" s="18" t="s">
        <v>288</v>
      </c>
      <c r="C25" s="18"/>
      <c r="D25" s="9">
        <f t="shared" ref="D25:O25" si="4">IFERROR(+D14-D17+D23,0)</f>
        <v>-58.03</v>
      </c>
      <c r="E25" s="9">
        <f t="shared" si="4"/>
        <v>-58.03</v>
      </c>
      <c r="F25" s="9">
        <f t="shared" si="4"/>
        <v>-223.12</v>
      </c>
      <c r="G25" s="9">
        <f t="shared" si="4"/>
        <v>-58.03</v>
      </c>
      <c r="H25" s="9">
        <f t="shared" si="4"/>
        <v>-58.03</v>
      </c>
      <c r="I25" s="9">
        <f t="shared" si="4"/>
        <v>-157.88999999999999</v>
      </c>
      <c r="J25" s="9">
        <f t="shared" si="4"/>
        <v>-58.03</v>
      </c>
      <c r="K25" s="9">
        <f t="shared" si="4"/>
        <v>-58.03</v>
      </c>
      <c r="L25" s="9">
        <f t="shared" si="4"/>
        <v>-157.88999999999999</v>
      </c>
      <c r="M25" s="9">
        <f t="shared" si="4"/>
        <v>-58.03</v>
      </c>
      <c r="N25" s="9">
        <f t="shared" si="4"/>
        <v>-58</v>
      </c>
      <c r="O25" s="9">
        <f t="shared" si="4"/>
        <v>-58</v>
      </c>
      <c r="Q25" s="9">
        <f>IFERROR(+Q14-Q17+Q23,0)</f>
        <v>-1061.1099999999999</v>
      </c>
    </row>
    <row r="26" spans="1:17" s="38" customFormat="1" ht="15" customHeight="1" x14ac:dyDescent="0.3">
      <c r="B26" s="17"/>
      <c r="C26" s="17"/>
      <c r="D26" s="5">
        <f t="shared" ref="D26:O26" si="5">IFERROR(D25/D10,0)</f>
        <v>0</v>
      </c>
      <c r="E26" s="5">
        <f t="shared" si="5"/>
        <v>0</v>
      </c>
      <c r="F26" s="5">
        <f t="shared" si="5"/>
        <v>0</v>
      </c>
      <c r="G26" s="5">
        <f t="shared" si="5"/>
        <v>0</v>
      </c>
      <c r="H26" s="5">
        <f t="shared" si="5"/>
        <v>0</v>
      </c>
      <c r="I26" s="5">
        <f t="shared" si="5"/>
        <v>0</v>
      </c>
      <c r="J26" s="5">
        <f t="shared" si="5"/>
        <v>0</v>
      </c>
      <c r="K26" s="5">
        <f t="shared" si="5"/>
        <v>0</v>
      </c>
      <c r="L26" s="5">
        <f t="shared" si="5"/>
        <v>0</v>
      </c>
      <c r="M26" s="5">
        <f t="shared" si="5"/>
        <v>0</v>
      </c>
      <c r="N26" s="5">
        <f t="shared" si="5"/>
        <v>0</v>
      </c>
      <c r="O26" s="5">
        <f t="shared" si="5"/>
        <v>0</v>
      </c>
      <c r="P26" s="19"/>
      <c r="Q26" s="5">
        <f>IFERROR(Q25/Q10,0)</f>
        <v>0</v>
      </c>
    </row>
    <row r="27" spans="1:17" ht="15" customHeight="1" x14ac:dyDescent="0.3">
      <c r="A27" s="6"/>
      <c r="B27" s="7"/>
      <c r="C27" s="6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Q27" s="4"/>
    </row>
    <row r="28" spans="1:17" s="37" customFormat="1" ht="15" customHeight="1" x14ac:dyDescent="0.3">
      <c r="A28" s="26"/>
      <c r="B28" s="7" t="s">
        <v>289</v>
      </c>
      <c r="C28" s="7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Q28" s="3">
        <f>SUM(OSRRefD28_0x)+IFERROR(SUM(OSRRefE28_0x),0)</f>
        <v>0</v>
      </c>
    </row>
    <row r="29" spans="1:17" ht="15" customHeight="1" x14ac:dyDescent="0.3">
      <c r="A29" s="6"/>
      <c r="B29" s="7"/>
      <c r="C29" s="7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Q29" s="4"/>
    </row>
    <row r="30" spans="1:17" s="37" customFormat="1" ht="15.75" customHeight="1" x14ac:dyDescent="0.3">
      <c r="A30" s="7"/>
      <c r="B30" s="18" t="s">
        <v>290</v>
      </c>
      <c r="C30" s="18"/>
      <c r="D30" s="8">
        <f t="shared" ref="D30:O30" si="6">IFERROR(+D25-D28,0)</f>
        <v>-58.03</v>
      </c>
      <c r="E30" s="8">
        <f t="shared" si="6"/>
        <v>-58.03</v>
      </c>
      <c r="F30" s="8">
        <f t="shared" si="6"/>
        <v>-223.12</v>
      </c>
      <c r="G30" s="8">
        <f t="shared" si="6"/>
        <v>-58.03</v>
      </c>
      <c r="H30" s="8">
        <f t="shared" si="6"/>
        <v>-58.03</v>
      </c>
      <c r="I30" s="8">
        <f t="shared" si="6"/>
        <v>-157.88999999999999</v>
      </c>
      <c r="J30" s="8">
        <f t="shared" si="6"/>
        <v>-58.03</v>
      </c>
      <c r="K30" s="8">
        <f t="shared" si="6"/>
        <v>-58.03</v>
      </c>
      <c r="L30" s="8">
        <f t="shared" si="6"/>
        <v>-157.88999999999999</v>
      </c>
      <c r="M30" s="8">
        <f t="shared" si="6"/>
        <v>-58.03</v>
      </c>
      <c r="N30" s="8">
        <f t="shared" si="6"/>
        <v>-58</v>
      </c>
      <c r="O30" s="8">
        <f t="shared" si="6"/>
        <v>-58</v>
      </c>
      <c r="Q30" s="8">
        <f>IFERROR(+Q25-Q28,0)</f>
        <v>-1061.1099999999999</v>
      </c>
    </row>
    <row r="31" spans="1:17" ht="15.75" customHeight="1" x14ac:dyDescent="0.3">
      <c r="A31" s="6"/>
      <c r="B31" s="6"/>
      <c r="C31" s="6"/>
      <c r="D31" s="5">
        <f t="shared" ref="D31:O31" si="7">IFERROR(D30/D10,0)</f>
        <v>0</v>
      </c>
      <c r="E31" s="5">
        <f t="shared" si="7"/>
        <v>0</v>
      </c>
      <c r="F31" s="5">
        <f t="shared" si="7"/>
        <v>0</v>
      </c>
      <c r="G31" s="5">
        <f t="shared" si="7"/>
        <v>0</v>
      </c>
      <c r="H31" s="5">
        <f t="shared" si="7"/>
        <v>0</v>
      </c>
      <c r="I31" s="5">
        <f t="shared" si="7"/>
        <v>0</v>
      </c>
      <c r="J31" s="5">
        <f t="shared" si="7"/>
        <v>0</v>
      </c>
      <c r="K31" s="5">
        <f t="shared" si="7"/>
        <v>0</v>
      </c>
      <c r="L31" s="5">
        <f t="shared" si="7"/>
        <v>0</v>
      </c>
      <c r="M31" s="5">
        <f t="shared" si="7"/>
        <v>0</v>
      </c>
      <c r="N31" s="5">
        <f t="shared" si="7"/>
        <v>0</v>
      </c>
      <c r="O31" s="5">
        <f t="shared" si="7"/>
        <v>0</v>
      </c>
      <c r="P31" s="19"/>
      <c r="Q31" s="5">
        <f>IFERROR(Q30/Q10,0)</f>
        <v>0</v>
      </c>
    </row>
    <row r="32" spans="1:17" ht="15" customHeight="1" x14ac:dyDescent="0.3">
      <c r="A32" s="6"/>
      <c r="B32" s="6"/>
      <c r="C32" s="6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Q32" s="4"/>
    </row>
    <row r="33" spans="1:17" ht="15" customHeight="1" x14ac:dyDescent="0.3">
      <c r="A33" s="6"/>
      <c r="B33" s="6"/>
      <c r="C33" s="6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Q33" s="4"/>
    </row>
    <row r="34" spans="1:17" s="37" customFormat="1" ht="15.75" customHeight="1" x14ac:dyDescent="0.3">
      <c r="A34" s="7"/>
      <c r="B34" s="18" t="s">
        <v>293</v>
      </c>
      <c r="C34" s="18"/>
      <c r="D34" s="8">
        <f t="shared" ref="D34:O34" si="8">IFERROR(SUM(D30:D33),0)</f>
        <v>-58.03</v>
      </c>
      <c r="E34" s="8">
        <f t="shared" si="8"/>
        <v>-58.03</v>
      </c>
      <c r="F34" s="8">
        <f t="shared" si="8"/>
        <v>-223.12</v>
      </c>
      <c r="G34" s="8">
        <f t="shared" si="8"/>
        <v>-58.03</v>
      </c>
      <c r="H34" s="8">
        <f t="shared" si="8"/>
        <v>-58.03</v>
      </c>
      <c r="I34" s="8">
        <f t="shared" si="8"/>
        <v>-157.88999999999999</v>
      </c>
      <c r="J34" s="8">
        <f t="shared" si="8"/>
        <v>-58.03</v>
      </c>
      <c r="K34" s="8">
        <f t="shared" si="8"/>
        <v>-58.03</v>
      </c>
      <c r="L34" s="8">
        <f t="shared" si="8"/>
        <v>-157.88999999999999</v>
      </c>
      <c r="M34" s="8">
        <f t="shared" si="8"/>
        <v>-58.03</v>
      </c>
      <c r="N34" s="8">
        <f t="shared" si="8"/>
        <v>-58</v>
      </c>
      <c r="O34" s="8">
        <f t="shared" si="8"/>
        <v>-58</v>
      </c>
      <c r="Q34" s="8">
        <f>IFERROR(SUM(Q30:Q33),0)</f>
        <v>-1061.1099999999999</v>
      </c>
    </row>
    <row r="35" spans="1:17" ht="15.75" customHeight="1" x14ac:dyDescent="0.3">
      <c r="A35" s="6"/>
      <c r="C35" s="6"/>
      <c r="D35" s="5">
        <f t="shared" ref="D35:O35" si="9">IFERROR(D34/D10,0)</f>
        <v>0</v>
      </c>
      <c r="E35" s="5">
        <f t="shared" si="9"/>
        <v>0</v>
      </c>
      <c r="F35" s="5">
        <f t="shared" si="9"/>
        <v>0</v>
      </c>
      <c r="G35" s="5">
        <f t="shared" si="9"/>
        <v>0</v>
      </c>
      <c r="H35" s="5">
        <f t="shared" si="9"/>
        <v>0</v>
      </c>
      <c r="I35" s="5">
        <f t="shared" si="9"/>
        <v>0</v>
      </c>
      <c r="J35" s="5">
        <f t="shared" si="9"/>
        <v>0</v>
      </c>
      <c r="K35" s="5">
        <f t="shared" si="9"/>
        <v>0</v>
      </c>
      <c r="L35" s="5">
        <f t="shared" si="9"/>
        <v>0</v>
      </c>
      <c r="M35" s="5">
        <f t="shared" si="9"/>
        <v>0</v>
      </c>
      <c r="N35" s="5">
        <f t="shared" si="9"/>
        <v>0</v>
      </c>
      <c r="O35" s="5">
        <f t="shared" si="9"/>
        <v>0</v>
      </c>
      <c r="P35" s="19"/>
      <c r="Q35" s="5">
        <f>IFERROR(Q34/Q10,0)</f>
        <v>0</v>
      </c>
    </row>
    <row r="36" spans="1:17" ht="15" customHeight="1" x14ac:dyDescent="0.3">
      <c r="A36" s="6"/>
      <c r="B36" s="33">
        <v>44694.892891863426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Q36" s="14"/>
    </row>
    <row r="37" spans="1:17" ht="15" customHeight="1" x14ac:dyDescent="0.3">
      <c r="A37" s="6"/>
      <c r="B37" s="31" t="s">
        <v>294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Q37" s="14"/>
    </row>
    <row r="38" spans="1:17" ht="15" customHeight="1" x14ac:dyDescent="0.3">
      <c r="A38" s="6"/>
      <c r="B38" s="27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Q38" s="14"/>
    </row>
    <row r="39" spans="1:17" ht="15" customHeight="1" x14ac:dyDescent="0.3"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Q39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B0467-A1F2-A673-BDEA-77875479982E}">
  <sheetPr>
    <tabColor rgb="FF92D050"/>
    <outlinePr summaryBelow="0" summaryRight="0"/>
    <pageSetUpPr fitToPage="1"/>
  </sheetPr>
  <dimension ref="A2:R39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","414"," - ","Starbucks UDP")</f>
        <v>Department 414 - Starbucks UDP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9">
        <f t="shared" ref="D14:O14" si="2">IFERROR(+D10-D12,0)</f>
        <v>0</v>
      </c>
      <c r="E14" s="9">
        <f t="shared" si="2"/>
        <v>0</v>
      </c>
      <c r="F14" s="9">
        <f t="shared" si="2"/>
        <v>0</v>
      </c>
      <c r="G14" s="9">
        <f t="shared" si="2"/>
        <v>0</v>
      </c>
      <c r="H14" s="9">
        <f t="shared" si="2"/>
        <v>0</v>
      </c>
      <c r="I14" s="9">
        <f t="shared" si="2"/>
        <v>0</v>
      </c>
      <c r="J14" s="9">
        <f t="shared" si="2"/>
        <v>0</v>
      </c>
      <c r="K14" s="9">
        <f t="shared" si="2"/>
        <v>0</v>
      </c>
      <c r="L14" s="9">
        <f t="shared" si="2"/>
        <v>0</v>
      </c>
      <c r="M14" s="9">
        <f t="shared" si="2"/>
        <v>0</v>
      </c>
      <c r="N14" s="9">
        <f t="shared" si="2"/>
        <v>0</v>
      </c>
      <c r="O14" s="9">
        <f t="shared" si="2"/>
        <v>0</v>
      </c>
      <c r="Q14" s="9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2" cm="1">
        <f t="array" ref="D17">SUM(OSRRefD20x_0)</f>
        <v>0</v>
      </c>
      <c r="E17" s="12" cm="1">
        <f t="array" ref="E17">SUM(OSRRefD20x_1)</f>
        <v>0</v>
      </c>
      <c r="F17" s="12" cm="1">
        <f t="array" ref="F17">SUM(OSRRefD20x_2)</f>
        <v>129.16999999999999</v>
      </c>
      <c r="G17" s="12" cm="1">
        <f t="array" ref="G17">SUM(OSRRefD20x_3)</f>
        <v>0</v>
      </c>
      <c r="H17" s="12" cm="1">
        <f t="array" ref="H17">SUM(OSRRefD20x_4)</f>
        <v>118.91</v>
      </c>
      <c r="I17" s="12" cm="1">
        <f t="array" ref="I17">SUM(OSRRefD20x_5)</f>
        <v>62.41</v>
      </c>
      <c r="J17" s="12" cm="1">
        <f t="array" ref="J17">SUM(OSRRefD20x_6)</f>
        <v>0</v>
      </c>
      <c r="K17" s="12" cm="1">
        <f t="array" ref="K17">SUM(OSRRefD20x_7)</f>
        <v>0</v>
      </c>
      <c r="L17" s="12" cm="1">
        <f t="array" ref="L17">SUM(OSRRefD20x_8)</f>
        <v>62.41</v>
      </c>
      <c r="M17" s="12" cm="1">
        <f t="array" ref="M17">SUM(OSRRefD20x_9)</f>
        <v>0</v>
      </c>
      <c r="N17" s="12" cm="1">
        <f t="array" ref="N17">SUM(OSRRefE20x_0)</f>
        <v>0</v>
      </c>
      <c r="O17" s="12" cm="1">
        <f t="array" ref="O17">SUM(OSRRefE20x_1)</f>
        <v>0</v>
      </c>
      <c r="Q17" s="12" cm="1">
        <f t="array" ref="Q17">SUM(OSRRefG20x)</f>
        <v>372.9</v>
      </c>
    </row>
    <row r="18" spans="1:17" s="42" customFormat="1" ht="15" customHeight="1" collapsed="1" x14ac:dyDescent="0.3">
      <c r="A18" s="34"/>
      <c r="B18" s="15" t="str">
        <f>CONCATENATE("     ","Equipment Rental                                  ")</f>
        <v xml:space="preserve">     Equipment Rental                                  </v>
      </c>
      <c r="C18" s="15"/>
      <c r="D18" s="2">
        <f>SUM(OSRRefD21_0x_0)</f>
        <v>0</v>
      </c>
      <c r="E18" s="2">
        <f>SUM(OSRRefD21_0x_1)</f>
        <v>0</v>
      </c>
      <c r="F18" s="2">
        <f>SUM(OSRRefD21_0x_2)</f>
        <v>0</v>
      </c>
      <c r="G18" s="2">
        <f>SUM(OSRRefD21_0x_3)</f>
        <v>0</v>
      </c>
      <c r="H18" s="2">
        <f>SUM(OSRRefD21_0x_4)</f>
        <v>118.91</v>
      </c>
      <c r="I18" s="2">
        <f>SUM(OSRRefD21_0x_5)</f>
        <v>0</v>
      </c>
      <c r="J18" s="2">
        <f>SUM(OSRRefD21_0x_6)</f>
        <v>0</v>
      </c>
      <c r="K18" s="2">
        <f>SUM(OSRRefD21_0x_7)</f>
        <v>0</v>
      </c>
      <c r="L18" s="2">
        <f>SUM(OSRRefD21_0x_8)</f>
        <v>0</v>
      </c>
      <c r="M18" s="2">
        <f>SUM(OSRRefD21_0x_9)</f>
        <v>0</v>
      </c>
      <c r="N18" s="2">
        <f>SUM(OSRRefE21_0x_0)</f>
        <v>0</v>
      </c>
      <c r="O18" s="2">
        <f>SUM(OSRRefE21_0x_1)</f>
        <v>0</v>
      </c>
      <c r="Q18" s="3">
        <f>SUM(OSRRefD20_0x)+IFERROR(SUM(OSRRefE20_0x),0)</f>
        <v>118.91</v>
      </c>
    </row>
    <row r="19" spans="1:17" s="42" customFormat="1" ht="15" hidden="1" customHeight="1" outlineLevel="1" x14ac:dyDescent="0.3">
      <c r="A19" s="34"/>
      <c r="B19" s="11" t="str">
        <f>CONCATENATE("          ","6351"," - ","EQUIPMENT RENTAL")</f>
        <v xml:space="preserve">          6351 - EQUIPMENT RENTAL</v>
      </c>
      <c r="C19" s="15"/>
      <c r="D19" s="3"/>
      <c r="E19" s="3"/>
      <c r="F19" s="3"/>
      <c r="G19" s="3"/>
      <c r="H19" s="3">
        <v>118.91</v>
      </c>
      <c r="I19" s="3"/>
      <c r="J19" s="3"/>
      <c r="K19" s="3"/>
      <c r="L19" s="3"/>
      <c r="M19" s="3"/>
      <c r="N19" s="3"/>
      <c r="O19" s="3"/>
      <c r="P19" s="10"/>
      <c r="Q19" s="3">
        <f>SUM(OSRRefD21_0_0x)+IFERROR(SUM(OSRRefE21_0_0x),0)</f>
        <v>118.91</v>
      </c>
    </row>
    <row r="20" spans="1:17" s="42" customFormat="1" ht="15" customHeight="1" collapsed="1" x14ac:dyDescent="0.3">
      <c r="A20" s="34"/>
      <c r="B20" s="15" t="str">
        <f>CONCATENATE("     ","Repair and Maintenance                            ")</f>
        <v xml:space="preserve">     Repair and Maintenance                            </v>
      </c>
      <c r="C20" s="15"/>
      <c r="D20" s="2">
        <f>SUM(OSRRefD21_1x_0)</f>
        <v>0</v>
      </c>
      <c r="E20" s="2">
        <f>SUM(OSRRefD21_1x_1)</f>
        <v>0</v>
      </c>
      <c r="F20" s="2">
        <f>SUM(OSRRefD21_1x_2)</f>
        <v>129.16999999999999</v>
      </c>
      <c r="G20" s="2">
        <f>SUM(OSRRefD21_1x_3)</f>
        <v>0</v>
      </c>
      <c r="H20" s="2">
        <f>SUM(OSRRefD21_1x_4)</f>
        <v>0</v>
      </c>
      <c r="I20" s="2">
        <f>SUM(OSRRefD21_1x_5)</f>
        <v>62.41</v>
      </c>
      <c r="J20" s="2">
        <f>SUM(OSRRefD21_1x_6)</f>
        <v>0</v>
      </c>
      <c r="K20" s="2">
        <f>SUM(OSRRefD21_1x_7)</f>
        <v>0</v>
      </c>
      <c r="L20" s="2">
        <f>SUM(OSRRefD21_1x_8)</f>
        <v>62.41</v>
      </c>
      <c r="M20" s="2">
        <f>SUM(OSRRefD21_1x_9)</f>
        <v>0</v>
      </c>
      <c r="N20" s="2">
        <f>SUM(OSRRefE21_1x_0)</f>
        <v>0</v>
      </c>
      <c r="O20" s="2">
        <f>SUM(OSRRefE21_1x_1)</f>
        <v>0</v>
      </c>
      <c r="Q20" s="3">
        <f>SUM(OSRRefD20_1x)+IFERROR(SUM(OSRRefE20_1x),0)</f>
        <v>253.98999999999998</v>
      </c>
    </row>
    <row r="21" spans="1:17" s="42" customFormat="1" ht="15" hidden="1" customHeight="1" outlineLevel="1" x14ac:dyDescent="0.3">
      <c r="A21" s="34"/>
      <c r="B21" s="11" t="str">
        <f>CONCATENATE("          ","6373"," - ","MAINTENANCE CONTRACTS")</f>
        <v xml:space="preserve">          6373 - MAINTENANCE CONTRACTS</v>
      </c>
      <c r="C21" s="15"/>
      <c r="D21" s="3"/>
      <c r="E21" s="3"/>
      <c r="F21" s="3">
        <v>129.16999999999999</v>
      </c>
      <c r="G21" s="3"/>
      <c r="H21" s="3"/>
      <c r="I21" s="3">
        <v>62.41</v>
      </c>
      <c r="J21" s="3"/>
      <c r="K21" s="3"/>
      <c r="L21" s="3">
        <v>62.41</v>
      </c>
      <c r="M21" s="3"/>
      <c r="N21" s="3"/>
      <c r="O21" s="3"/>
      <c r="P21" s="10"/>
      <c r="Q21" s="3">
        <f>SUM(OSRRefD21_1_0x)+IFERROR(SUM(OSRRefE21_1_0x),0)</f>
        <v>253.98999999999998</v>
      </c>
    </row>
    <row r="22" spans="1:17" s="40" customFormat="1" ht="15" customHeight="1" x14ac:dyDescent="0.3">
      <c r="A22" s="22"/>
      <c r="B22" s="22"/>
      <c r="C22" s="2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Q22" s="2"/>
    </row>
    <row r="23" spans="1:17" s="39" customFormat="1" ht="15" customHeight="1" x14ac:dyDescent="0.3">
      <c r="A23" s="24"/>
      <c r="B23" s="17" t="s">
        <v>287</v>
      </c>
      <c r="C23" s="23"/>
      <c r="D23" s="4">
        <f>0</f>
        <v>0</v>
      </c>
      <c r="E23" s="4">
        <f>0</f>
        <v>0</v>
      </c>
      <c r="F23" s="4">
        <f>0</f>
        <v>0</v>
      </c>
      <c r="G23" s="4">
        <f>0</f>
        <v>0</v>
      </c>
      <c r="H23" s="4">
        <f>0</f>
        <v>0</v>
      </c>
      <c r="I23" s="4">
        <f>0</f>
        <v>0</v>
      </c>
      <c r="J23" s="4">
        <f>0</f>
        <v>0</v>
      </c>
      <c r="K23" s="4">
        <f>0</f>
        <v>0</v>
      </c>
      <c r="L23" s="4">
        <f>0</f>
        <v>0</v>
      </c>
      <c r="M23" s="4">
        <f>0</f>
        <v>0</v>
      </c>
      <c r="N23" s="4"/>
      <c r="O23" s="4"/>
      <c r="Q23" s="3">
        <f>SUM(OSRRefD23_0x)+IFERROR(SUM(OSRRefE23_0x),0)</f>
        <v>0</v>
      </c>
    </row>
    <row r="24" spans="1:17" ht="15" customHeight="1" x14ac:dyDescent="0.3">
      <c r="A24" s="6"/>
      <c r="B24" s="7"/>
      <c r="C24" s="7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Q24" s="4"/>
    </row>
    <row r="25" spans="1:17" s="37" customFormat="1" ht="15" customHeight="1" x14ac:dyDescent="0.3">
      <c r="A25" s="7"/>
      <c r="B25" s="18" t="s">
        <v>288</v>
      </c>
      <c r="C25" s="18"/>
      <c r="D25" s="9">
        <f t="shared" ref="D25:O25" si="4">IFERROR(+D14-D17+D23,0)</f>
        <v>0</v>
      </c>
      <c r="E25" s="9">
        <f t="shared" si="4"/>
        <v>0</v>
      </c>
      <c r="F25" s="9">
        <f t="shared" si="4"/>
        <v>-129.16999999999999</v>
      </c>
      <c r="G25" s="9">
        <f t="shared" si="4"/>
        <v>0</v>
      </c>
      <c r="H25" s="9">
        <f t="shared" si="4"/>
        <v>-118.91</v>
      </c>
      <c r="I25" s="9">
        <f t="shared" si="4"/>
        <v>-62.41</v>
      </c>
      <c r="J25" s="9">
        <f t="shared" si="4"/>
        <v>0</v>
      </c>
      <c r="K25" s="9">
        <f t="shared" si="4"/>
        <v>0</v>
      </c>
      <c r="L25" s="9">
        <f t="shared" si="4"/>
        <v>-62.41</v>
      </c>
      <c r="M25" s="9">
        <f t="shared" si="4"/>
        <v>0</v>
      </c>
      <c r="N25" s="9">
        <f t="shared" si="4"/>
        <v>0</v>
      </c>
      <c r="O25" s="9">
        <f t="shared" si="4"/>
        <v>0</v>
      </c>
      <c r="Q25" s="9">
        <f>IFERROR(+Q14-Q17+Q23,0)</f>
        <v>-372.9</v>
      </c>
    </row>
    <row r="26" spans="1:17" s="38" customFormat="1" ht="15" customHeight="1" x14ac:dyDescent="0.3">
      <c r="B26" s="17"/>
      <c r="C26" s="17"/>
      <c r="D26" s="5">
        <f t="shared" ref="D26:O26" si="5">IFERROR(D25/D10,0)</f>
        <v>0</v>
      </c>
      <c r="E26" s="5">
        <f t="shared" si="5"/>
        <v>0</v>
      </c>
      <c r="F26" s="5">
        <f t="shared" si="5"/>
        <v>0</v>
      </c>
      <c r="G26" s="5">
        <f t="shared" si="5"/>
        <v>0</v>
      </c>
      <c r="H26" s="5">
        <f t="shared" si="5"/>
        <v>0</v>
      </c>
      <c r="I26" s="5">
        <f t="shared" si="5"/>
        <v>0</v>
      </c>
      <c r="J26" s="5">
        <f t="shared" si="5"/>
        <v>0</v>
      </c>
      <c r="K26" s="5">
        <f t="shared" si="5"/>
        <v>0</v>
      </c>
      <c r="L26" s="5">
        <f t="shared" si="5"/>
        <v>0</v>
      </c>
      <c r="M26" s="5">
        <f t="shared" si="5"/>
        <v>0</v>
      </c>
      <c r="N26" s="5">
        <f t="shared" si="5"/>
        <v>0</v>
      </c>
      <c r="O26" s="5">
        <f t="shared" si="5"/>
        <v>0</v>
      </c>
      <c r="P26" s="19"/>
      <c r="Q26" s="5">
        <f>IFERROR(Q25/Q10,0)</f>
        <v>0</v>
      </c>
    </row>
    <row r="27" spans="1:17" ht="15" customHeight="1" x14ac:dyDescent="0.3">
      <c r="A27" s="6"/>
      <c r="B27" s="7"/>
      <c r="C27" s="6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Q27" s="4"/>
    </row>
    <row r="28" spans="1:17" s="37" customFormat="1" ht="15" customHeight="1" x14ac:dyDescent="0.3">
      <c r="A28" s="26"/>
      <c r="B28" s="7" t="s">
        <v>289</v>
      </c>
      <c r="C28" s="7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Q28" s="3">
        <f>SUM(OSRRefD28_0x)+IFERROR(SUM(OSRRefE28_0x),0)</f>
        <v>0</v>
      </c>
    </row>
    <row r="29" spans="1:17" ht="15" customHeight="1" x14ac:dyDescent="0.3">
      <c r="A29" s="6"/>
      <c r="B29" s="7"/>
      <c r="C29" s="7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Q29" s="4"/>
    </row>
    <row r="30" spans="1:17" s="37" customFormat="1" ht="15.75" customHeight="1" x14ac:dyDescent="0.3">
      <c r="A30" s="7"/>
      <c r="B30" s="18" t="s">
        <v>290</v>
      </c>
      <c r="C30" s="18"/>
      <c r="D30" s="8">
        <f t="shared" ref="D30:O30" si="6">IFERROR(+D25-D28,0)</f>
        <v>0</v>
      </c>
      <c r="E30" s="8">
        <f t="shared" si="6"/>
        <v>0</v>
      </c>
      <c r="F30" s="8">
        <f t="shared" si="6"/>
        <v>-129.16999999999999</v>
      </c>
      <c r="G30" s="8">
        <f t="shared" si="6"/>
        <v>0</v>
      </c>
      <c r="H30" s="8">
        <f t="shared" si="6"/>
        <v>-118.91</v>
      </c>
      <c r="I30" s="8">
        <f t="shared" si="6"/>
        <v>-62.41</v>
      </c>
      <c r="J30" s="8">
        <f t="shared" si="6"/>
        <v>0</v>
      </c>
      <c r="K30" s="8">
        <f t="shared" si="6"/>
        <v>0</v>
      </c>
      <c r="L30" s="8">
        <f t="shared" si="6"/>
        <v>-62.41</v>
      </c>
      <c r="M30" s="8">
        <f t="shared" si="6"/>
        <v>0</v>
      </c>
      <c r="N30" s="8">
        <f t="shared" si="6"/>
        <v>0</v>
      </c>
      <c r="O30" s="8">
        <f t="shared" si="6"/>
        <v>0</v>
      </c>
      <c r="Q30" s="8">
        <f>IFERROR(+Q25-Q28,0)</f>
        <v>-372.9</v>
      </c>
    </row>
    <row r="31" spans="1:17" ht="15.75" customHeight="1" x14ac:dyDescent="0.3">
      <c r="A31" s="6"/>
      <c r="B31" s="6"/>
      <c r="C31" s="6"/>
      <c r="D31" s="5">
        <f t="shared" ref="D31:O31" si="7">IFERROR(D30/D10,0)</f>
        <v>0</v>
      </c>
      <c r="E31" s="5">
        <f t="shared" si="7"/>
        <v>0</v>
      </c>
      <c r="F31" s="5">
        <f t="shared" si="7"/>
        <v>0</v>
      </c>
      <c r="G31" s="5">
        <f t="shared" si="7"/>
        <v>0</v>
      </c>
      <c r="H31" s="5">
        <f t="shared" si="7"/>
        <v>0</v>
      </c>
      <c r="I31" s="5">
        <f t="shared" si="7"/>
        <v>0</v>
      </c>
      <c r="J31" s="5">
        <f t="shared" si="7"/>
        <v>0</v>
      </c>
      <c r="K31" s="5">
        <f t="shared" si="7"/>
        <v>0</v>
      </c>
      <c r="L31" s="5">
        <f t="shared" si="7"/>
        <v>0</v>
      </c>
      <c r="M31" s="5">
        <f t="shared" si="7"/>
        <v>0</v>
      </c>
      <c r="N31" s="5">
        <f t="shared" si="7"/>
        <v>0</v>
      </c>
      <c r="O31" s="5">
        <f t="shared" si="7"/>
        <v>0</v>
      </c>
      <c r="P31" s="19"/>
      <c r="Q31" s="5">
        <f>IFERROR(Q30/Q10,0)</f>
        <v>0</v>
      </c>
    </row>
    <row r="32" spans="1:17" ht="15" customHeight="1" x14ac:dyDescent="0.3">
      <c r="A32" s="6"/>
      <c r="B32" s="6"/>
      <c r="C32" s="6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Q32" s="4"/>
    </row>
    <row r="33" spans="1:17" ht="15" customHeight="1" x14ac:dyDescent="0.3">
      <c r="A33" s="6"/>
      <c r="B33" s="6"/>
      <c r="C33" s="6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Q33" s="4"/>
    </row>
    <row r="34" spans="1:17" s="37" customFormat="1" ht="15.75" customHeight="1" x14ac:dyDescent="0.3">
      <c r="A34" s="7"/>
      <c r="B34" s="18" t="s">
        <v>293</v>
      </c>
      <c r="C34" s="18"/>
      <c r="D34" s="8">
        <f t="shared" ref="D34:O34" si="8">IFERROR(SUM(D30:D33),0)</f>
        <v>0</v>
      </c>
      <c r="E34" s="8">
        <f t="shared" si="8"/>
        <v>0</v>
      </c>
      <c r="F34" s="8">
        <f t="shared" si="8"/>
        <v>-129.16999999999999</v>
      </c>
      <c r="G34" s="8">
        <f t="shared" si="8"/>
        <v>0</v>
      </c>
      <c r="H34" s="8">
        <f t="shared" si="8"/>
        <v>-118.91</v>
      </c>
      <c r="I34" s="8">
        <f t="shared" si="8"/>
        <v>-62.41</v>
      </c>
      <c r="J34" s="8">
        <f t="shared" si="8"/>
        <v>0</v>
      </c>
      <c r="K34" s="8">
        <f t="shared" si="8"/>
        <v>0</v>
      </c>
      <c r="L34" s="8">
        <f t="shared" si="8"/>
        <v>-62.41</v>
      </c>
      <c r="M34" s="8">
        <f t="shared" si="8"/>
        <v>0</v>
      </c>
      <c r="N34" s="8">
        <f t="shared" si="8"/>
        <v>0</v>
      </c>
      <c r="O34" s="8">
        <f t="shared" si="8"/>
        <v>0</v>
      </c>
      <c r="Q34" s="8">
        <f>IFERROR(SUM(Q30:Q33),0)</f>
        <v>-372.9</v>
      </c>
    </row>
    <row r="35" spans="1:17" ht="15.75" customHeight="1" x14ac:dyDescent="0.3">
      <c r="A35" s="6"/>
      <c r="C35" s="6"/>
      <c r="D35" s="5">
        <f t="shared" ref="D35:O35" si="9">IFERROR(D34/D10,0)</f>
        <v>0</v>
      </c>
      <c r="E35" s="5">
        <f t="shared" si="9"/>
        <v>0</v>
      </c>
      <c r="F35" s="5">
        <f t="shared" si="9"/>
        <v>0</v>
      </c>
      <c r="G35" s="5">
        <f t="shared" si="9"/>
        <v>0</v>
      </c>
      <c r="H35" s="5">
        <f t="shared" si="9"/>
        <v>0</v>
      </c>
      <c r="I35" s="5">
        <f t="shared" si="9"/>
        <v>0</v>
      </c>
      <c r="J35" s="5">
        <f t="shared" si="9"/>
        <v>0</v>
      </c>
      <c r="K35" s="5">
        <f t="shared" si="9"/>
        <v>0</v>
      </c>
      <c r="L35" s="5">
        <f t="shared" si="9"/>
        <v>0</v>
      </c>
      <c r="M35" s="5">
        <f t="shared" si="9"/>
        <v>0</v>
      </c>
      <c r="N35" s="5">
        <f t="shared" si="9"/>
        <v>0</v>
      </c>
      <c r="O35" s="5">
        <f t="shared" si="9"/>
        <v>0</v>
      </c>
      <c r="P35" s="19"/>
      <c r="Q35" s="5">
        <f>IFERROR(Q34/Q10,0)</f>
        <v>0</v>
      </c>
    </row>
    <row r="36" spans="1:17" ht="15" customHeight="1" x14ac:dyDescent="0.3">
      <c r="A36" s="6"/>
      <c r="B36" s="33">
        <v>44694.892891863426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Q36" s="14"/>
    </row>
    <row r="37" spans="1:17" ht="15" customHeight="1" x14ac:dyDescent="0.3">
      <c r="A37" s="6"/>
      <c r="B37" s="31" t="s">
        <v>294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Q37" s="14"/>
    </row>
    <row r="38" spans="1:17" ht="15" customHeight="1" x14ac:dyDescent="0.3">
      <c r="A38" s="6"/>
      <c r="B38" s="27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Q38" s="14"/>
    </row>
    <row r="39" spans="1:17" ht="15" customHeight="1" x14ac:dyDescent="0.3"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Q39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3CF8B4-CC2E-C1B6-9D7E-17B673B0F226}">
  <sheetPr>
    <tabColor rgb="FFFFC0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295</v>
      </c>
    </row>
    <row r="5" spans="1:8" ht="15" customHeight="1" x14ac:dyDescent="0.3">
      <c r="A5" s="16"/>
      <c r="B5" s="16" t="s">
        <v>298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296</v>
      </c>
    </row>
    <row r="8" spans="1:8" ht="15" customHeight="1" x14ac:dyDescent="0.3">
      <c r="A8" s="7"/>
      <c r="B8" s="28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5"/>
      <c r="E18" s="5"/>
      <c r="F18" s="19"/>
      <c r="G18" s="5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s="38" customFormat="1" ht="15.75" customHeight="1" x14ac:dyDescent="0.3">
      <c r="B31" s="17"/>
      <c r="C31" s="17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08EAA-2AAB-74AD-DB72-30974D890AF2}">
  <sheetPr>
    <tabColor rgb="FF92D050"/>
    <outlinePr summaryBelow="0" summaryRight="0"/>
    <pageSetUpPr fitToPage="1"/>
  </sheetPr>
  <dimension ref="A2:R107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","415"," - ","Outpost")</f>
        <v>Department 415 - Outpost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19702.309999999998</v>
      </c>
      <c r="E10" s="4">
        <f>SUM(OSRRefD11x_1)</f>
        <v>36916.019999999997</v>
      </c>
      <c r="F10" s="4">
        <f>SUM(OSRRefD11x_2)</f>
        <v>64314.19</v>
      </c>
      <c r="G10" s="4">
        <f>SUM(OSRRefD11x_3)</f>
        <v>88464.95</v>
      </c>
      <c r="H10" s="4">
        <f>SUM(OSRRefD11x_4)</f>
        <v>54563.040000000001</v>
      </c>
      <c r="I10" s="4">
        <f>SUM(OSRRefD11x_5)</f>
        <v>50708.15</v>
      </c>
      <c r="J10" s="4">
        <f>SUM(OSRRefD11x_6)</f>
        <v>4827.0599999999995</v>
      </c>
      <c r="K10" s="4">
        <f>SUM(OSRRefD11x_7)</f>
        <v>122000.78</v>
      </c>
      <c r="L10" s="4">
        <f>SUM(OSRRefD11x_8)</f>
        <v>149080.13</v>
      </c>
      <c r="M10" s="4">
        <f>SUM(OSRRefD11x_9)</f>
        <v>174866.5</v>
      </c>
      <c r="N10" s="4">
        <f>SUM(OSRRefE11x_0)</f>
        <v>74055</v>
      </c>
      <c r="O10" s="4">
        <f>SUM(OSRRefE11x_1)</f>
        <v>26526</v>
      </c>
      <c r="P10" s="25"/>
      <c r="Q10" s="4">
        <f>SUM(OSRRefG11x)</f>
        <v>866024.13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0</f>
        <v>0</v>
      </c>
      <c r="E11" s="3">
        <f>0</f>
        <v>0</v>
      </c>
      <c r="F11" s="3">
        <f>0</f>
        <v>0</v>
      </c>
      <c r="G11" s="3">
        <f>0</f>
        <v>0</v>
      </c>
      <c r="H11" s="3">
        <f>0</f>
        <v>0</v>
      </c>
      <c r="I11" s="3">
        <f>0</f>
        <v>0</v>
      </c>
      <c r="J11" s="3">
        <f>0</f>
        <v>0</v>
      </c>
      <c r="K11" s="3">
        <f>0</f>
        <v>0</v>
      </c>
      <c r="L11" s="3">
        <f>0</f>
        <v>0</v>
      </c>
      <c r="M11" s="3">
        <f>0</f>
        <v>0</v>
      </c>
      <c r="N11" s="3">
        <v>23033</v>
      </c>
      <c r="O11" s="3">
        <v>8250</v>
      </c>
      <c r="Q11" s="3">
        <f>SUM(OSRRefD11_0x)+IFERROR(SUM(OSRRefE11_0x),0)</f>
        <v>31283</v>
      </c>
    </row>
    <row r="12" spans="1:18" s="39" customFormat="1" ht="15" hidden="1" customHeight="1" outlineLevel="1" x14ac:dyDescent="0.3">
      <c r="A12" s="24"/>
      <c r="B12" s="11" t="str">
        <f>CONCATENATE("          ","4051"," - ","TAXABLE SALES-FOOD")</f>
        <v xml:space="preserve">          4051 - TAXABLE SALES-FOOD</v>
      </c>
      <c r="C12" s="23"/>
      <c r="D12" s="3">
        <f>--10630.93</f>
        <v>10630.93</v>
      </c>
      <c r="E12" s="3">
        <f>--18369.85</f>
        <v>18369.849999999999</v>
      </c>
      <c r="F12" s="3">
        <f>--24705.18</f>
        <v>24705.18</v>
      </c>
      <c r="G12" s="3">
        <f>--32696.1</f>
        <v>32696.1</v>
      </c>
      <c r="H12" s="3">
        <f>--20449.96</f>
        <v>20449.96</v>
      </c>
      <c r="I12" s="3">
        <f>--16704.78</f>
        <v>16704.78</v>
      </c>
      <c r="J12" s="3">
        <f>--2099.4</f>
        <v>2099.4</v>
      </c>
      <c r="K12" s="3">
        <f>--36524.87</f>
        <v>36524.870000000003</v>
      </c>
      <c r="L12" s="3">
        <f>--51011.12</f>
        <v>51011.12</v>
      </c>
      <c r="M12" s="3">
        <f>--48352.68</f>
        <v>48352.68</v>
      </c>
      <c r="N12" s="3"/>
      <c r="O12" s="3"/>
      <c r="Q12" s="3">
        <f>SUM(OSRRefD11_1x)+IFERROR(SUM(OSRRefE11_1x),0)</f>
        <v>261544.86999999997</v>
      </c>
    </row>
    <row r="13" spans="1:18" s="39" customFormat="1" ht="15" hidden="1" customHeight="1" outlineLevel="1" x14ac:dyDescent="0.3">
      <c r="A13" s="24"/>
      <c r="B13" s="11" t="str">
        <f>CONCATENATE("          ","4100"," - ","NON-TAXABLE SALES")</f>
        <v xml:space="preserve">          4100 - NON-TAXABLE SALES</v>
      </c>
      <c r="C13" s="23"/>
      <c r="D13" s="3">
        <f>0</f>
        <v>0</v>
      </c>
      <c r="E13" s="3">
        <f>0</f>
        <v>0</v>
      </c>
      <c r="F13" s="3">
        <f>0</f>
        <v>0</v>
      </c>
      <c r="G13" s="3">
        <f>0</f>
        <v>0</v>
      </c>
      <c r="H13" s="3">
        <f>0</f>
        <v>0</v>
      </c>
      <c r="I13" s="3">
        <f>0</f>
        <v>0</v>
      </c>
      <c r="J13" s="3">
        <f>0</f>
        <v>0</v>
      </c>
      <c r="K13" s="3">
        <f>0</f>
        <v>0</v>
      </c>
      <c r="L13" s="3">
        <f>0</f>
        <v>0</v>
      </c>
      <c r="M13" s="3">
        <f>0</f>
        <v>0</v>
      </c>
      <c r="N13" s="3">
        <v>51022</v>
      </c>
      <c r="O13" s="3">
        <v>18276</v>
      </c>
      <c r="Q13" s="3">
        <f>SUM(OSRRefD11_2x)+IFERROR(SUM(OSRRefE11_2x),0)</f>
        <v>69298</v>
      </c>
    </row>
    <row r="14" spans="1:18" s="39" customFormat="1" ht="15" hidden="1" customHeight="1" outlineLevel="1" x14ac:dyDescent="0.3">
      <c r="A14" s="24"/>
      <c r="B14" s="11" t="str">
        <f>CONCATENATE("          ","4151"," - ","NON-TAXABLE SALES-FOOD")</f>
        <v xml:space="preserve">          4151 - NON-TAXABLE SALES-FOOD</v>
      </c>
      <c r="C14" s="23"/>
      <c r="D14" s="3">
        <f>--9071.38</f>
        <v>9071.3799999999992</v>
      </c>
      <c r="E14" s="3">
        <f>--18546.17</f>
        <v>18546.169999999998</v>
      </c>
      <c r="F14" s="3">
        <f>--39609.01</f>
        <v>39609.01</v>
      </c>
      <c r="G14" s="3">
        <f>--55768.85</f>
        <v>55768.85</v>
      </c>
      <c r="H14" s="3">
        <f>--34113.08</f>
        <v>34113.08</v>
      </c>
      <c r="I14" s="3">
        <f>--34003.37</f>
        <v>34003.370000000003</v>
      </c>
      <c r="J14" s="3">
        <f>--2727.66</f>
        <v>2727.66</v>
      </c>
      <c r="K14" s="3">
        <f>--85475.91</f>
        <v>85475.91</v>
      </c>
      <c r="L14" s="3">
        <f>--98069.01</f>
        <v>98069.01</v>
      </c>
      <c r="M14" s="3">
        <f>--126513.82</f>
        <v>126513.82</v>
      </c>
      <c r="N14" s="3"/>
      <c r="O14" s="3"/>
      <c r="Q14" s="3">
        <f>SUM(OSRRefD11_3x)+IFERROR(SUM(OSRRefE11_3x),0)</f>
        <v>503898.26</v>
      </c>
    </row>
    <row r="15" spans="1:18" ht="15" customHeight="1" x14ac:dyDescent="0.3">
      <c r="A15" s="6"/>
      <c r="B15" s="7"/>
      <c r="C15" s="6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Q15" s="4"/>
    </row>
    <row r="16" spans="1:18" s="39" customFormat="1" ht="15" customHeight="1" collapsed="1" x14ac:dyDescent="0.3">
      <c r="A16" s="24"/>
      <c r="B16" s="17" t="s">
        <v>284</v>
      </c>
      <c r="C16" s="23"/>
      <c r="D16" s="4">
        <f>SUM(OSRRefD14x_0)</f>
        <v>6094.1100000000006</v>
      </c>
      <c r="E16" s="4">
        <f>SUM(OSRRefD14x_1)</f>
        <v>9009.66</v>
      </c>
      <c r="F16" s="4">
        <f>SUM(OSRRefD14x_2)</f>
        <v>26130.34</v>
      </c>
      <c r="G16" s="4">
        <f>SUM(OSRRefD14x_3)</f>
        <v>30709.83</v>
      </c>
      <c r="H16" s="4">
        <f>SUM(OSRRefD14x_4)</f>
        <v>21749.71</v>
      </c>
      <c r="I16" s="4">
        <f>SUM(OSRRefD14x_5)</f>
        <v>19341.5</v>
      </c>
      <c r="J16" s="4">
        <f>SUM(OSRRefD14x_6)</f>
        <v>1817.6399999999999</v>
      </c>
      <c r="K16" s="4">
        <f>SUM(OSRRefD14x_7)</f>
        <v>38737.11</v>
      </c>
      <c r="L16" s="4">
        <f>SUM(OSRRefD14x_8)</f>
        <v>47773.96</v>
      </c>
      <c r="M16" s="4">
        <f>SUM(OSRRefD14x_9)</f>
        <v>42986.32</v>
      </c>
      <c r="N16" s="4">
        <f>SUM(OSRRefE14x_0)</f>
        <v>24438</v>
      </c>
      <c r="O16" s="4">
        <f>SUM(OSRRefE14x_1)</f>
        <v>7162</v>
      </c>
      <c r="Q16" s="4">
        <f>SUM(OSRRefG14x)</f>
        <v>275950.18000000005</v>
      </c>
    </row>
    <row r="17" spans="1:17" s="39" customFormat="1" ht="15" hidden="1" customHeight="1" outlineLevel="1" x14ac:dyDescent="0.3">
      <c r="A17" s="24"/>
      <c r="B17" s="11" t="str">
        <f>CONCATENATE("          ","5000"," - ","PURCHASES @ COST")</f>
        <v xml:space="preserve">          5000 - PURCHASES @ COST</v>
      </c>
      <c r="C17" s="23"/>
      <c r="D17" s="3"/>
      <c r="E17" s="3"/>
      <c r="F17" s="3"/>
      <c r="G17" s="3"/>
      <c r="H17" s="3"/>
      <c r="I17" s="3"/>
      <c r="J17" s="3"/>
      <c r="K17" s="3"/>
      <c r="L17" s="3"/>
      <c r="M17" s="3"/>
      <c r="N17" s="3">
        <v>24438</v>
      </c>
      <c r="O17" s="3">
        <v>7162</v>
      </c>
      <c r="Q17" s="3">
        <f>SUM(OSRRefD14_0x)+IFERROR(SUM(OSRRefE14_0x),0)</f>
        <v>31600</v>
      </c>
    </row>
    <row r="18" spans="1:17" s="39" customFormat="1" ht="15" hidden="1" customHeight="1" outlineLevel="1" x14ac:dyDescent="0.3">
      <c r="A18" s="24"/>
      <c r="B18" s="11" t="str">
        <f>CONCATENATE("          ","5053"," - ","PURCHASES @ COST-FOOD")</f>
        <v xml:space="preserve">          5053 - PURCHASES @ COST-FOOD</v>
      </c>
      <c r="C18" s="23"/>
      <c r="D18" s="3">
        <v>9259.11</v>
      </c>
      <c r="E18" s="3">
        <v>18296.66</v>
      </c>
      <c r="F18" s="3">
        <v>21939.34</v>
      </c>
      <c r="G18" s="3">
        <v>30709.83</v>
      </c>
      <c r="H18" s="3">
        <v>20379.34</v>
      </c>
      <c r="I18" s="3">
        <v>13948.38</v>
      </c>
      <c r="J18" s="3">
        <v>4521.12</v>
      </c>
      <c r="K18" s="3">
        <v>41817.35</v>
      </c>
      <c r="L18" s="3">
        <v>45949.5</v>
      </c>
      <c r="M18" s="3">
        <v>46534.52</v>
      </c>
      <c r="N18" s="3"/>
      <c r="O18" s="3"/>
      <c r="Q18" s="3">
        <f>SUM(OSRRefD14_1x)+IFERROR(SUM(OSRRefE14_1x),0)</f>
        <v>253355.15</v>
      </c>
    </row>
    <row r="19" spans="1:17" s="39" customFormat="1" ht="15" hidden="1" customHeight="1" outlineLevel="1" x14ac:dyDescent="0.3">
      <c r="A19" s="24"/>
      <c r="B19" s="11" t="str">
        <f>CONCATENATE("          ","5059"," - ","PURCHASES @ COST-FOOD")</f>
        <v xml:space="preserve">          5059 - PURCHASES @ COST-FOOD</v>
      </c>
      <c r="C19" s="23"/>
      <c r="D19" s="3">
        <v>-3165</v>
      </c>
      <c r="E19" s="3">
        <v>-9287</v>
      </c>
      <c r="F19" s="3">
        <v>4191</v>
      </c>
      <c r="G19" s="3"/>
      <c r="H19" s="3">
        <v>1370.37</v>
      </c>
      <c r="I19" s="3">
        <v>5393.12</v>
      </c>
      <c r="J19" s="3">
        <v>-2703.48</v>
      </c>
      <c r="K19" s="3">
        <v>-3080.24</v>
      </c>
      <c r="L19" s="3">
        <v>1824.46</v>
      </c>
      <c r="M19" s="3">
        <v>-3548.2</v>
      </c>
      <c r="N19" s="3"/>
      <c r="O19" s="3"/>
      <c r="Q19" s="3">
        <f>SUM(OSRRefD14_2x)+IFERROR(SUM(OSRRefE14_2x),0)</f>
        <v>-9004.9699999999993</v>
      </c>
    </row>
    <row r="20" spans="1:17" ht="15" customHeight="1" x14ac:dyDescent="0.3">
      <c r="A20" s="6"/>
      <c r="B20" s="7"/>
      <c r="C20" s="7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Q20" s="4"/>
    </row>
    <row r="21" spans="1:17" s="37" customFormat="1" ht="15" customHeight="1" x14ac:dyDescent="0.3">
      <c r="A21" s="7"/>
      <c r="B21" s="18" t="s">
        <v>285</v>
      </c>
      <c r="C21" s="18"/>
      <c r="D21" s="9">
        <f t="shared" ref="D21:O21" si="0">IFERROR(+D10-D16,0)</f>
        <v>13608.199999999997</v>
      </c>
      <c r="E21" s="9">
        <f t="shared" si="0"/>
        <v>27906.359999999997</v>
      </c>
      <c r="F21" s="9">
        <f t="shared" si="0"/>
        <v>38183.850000000006</v>
      </c>
      <c r="G21" s="9">
        <f t="shared" si="0"/>
        <v>57755.119999999995</v>
      </c>
      <c r="H21" s="9">
        <f t="shared" si="0"/>
        <v>32813.33</v>
      </c>
      <c r="I21" s="9">
        <f t="shared" si="0"/>
        <v>31366.65</v>
      </c>
      <c r="J21" s="9">
        <f t="shared" si="0"/>
        <v>3009.4199999999996</v>
      </c>
      <c r="K21" s="9">
        <f t="shared" si="0"/>
        <v>83263.67</v>
      </c>
      <c r="L21" s="9">
        <f t="shared" si="0"/>
        <v>101306.17000000001</v>
      </c>
      <c r="M21" s="9">
        <f t="shared" si="0"/>
        <v>131880.18</v>
      </c>
      <c r="N21" s="9">
        <f t="shared" si="0"/>
        <v>49617</v>
      </c>
      <c r="O21" s="9">
        <f t="shared" si="0"/>
        <v>19364</v>
      </c>
      <c r="Q21" s="9">
        <f>IFERROR(+Q10-Q16,0)</f>
        <v>590073.94999999995</v>
      </c>
    </row>
    <row r="22" spans="1:17" s="38" customFormat="1" ht="15" customHeight="1" x14ac:dyDescent="0.3">
      <c r="B22" s="17"/>
      <c r="C22" s="17"/>
      <c r="D22" s="5">
        <f t="shared" ref="D22:O22" si="1">IFERROR(D21/D10,0)</f>
        <v>0.69069058399751093</v>
      </c>
      <c r="E22" s="5">
        <f t="shared" si="1"/>
        <v>0.75594172936302451</v>
      </c>
      <c r="F22" s="5">
        <f t="shared" si="1"/>
        <v>0.59370801373693749</v>
      </c>
      <c r="G22" s="5">
        <f t="shared" si="1"/>
        <v>0.65285878757632254</v>
      </c>
      <c r="H22" s="5">
        <f t="shared" si="1"/>
        <v>0.60138383051970712</v>
      </c>
      <c r="I22" s="5">
        <f t="shared" si="1"/>
        <v>0.61857216246303603</v>
      </c>
      <c r="J22" s="5">
        <f t="shared" si="1"/>
        <v>0.62344781295446916</v>
      </c>
      <c r="K22" s="5">
        <f t="shared" si="1"/>
        <v>0.68248473493366191</v>
      </c>
      <c r="L22" s="5">
        <f t="shared" si="1"/>
        <v>0.67954173369717352</v>
      </c>
      <c r="M22" s="5">
        <f t="shared" si="1"/>
        <v>0.75417635739263944</v>
      </c>
      <c r="N22" s="5">
        <f t="shared" si="1"/>
        <v>0.67000202552157184</v>
      </c>
      <c r="O22" s="5">
        <f t="shared" si="1"/>
        <v>0.73000075397722985</v>
      </c>
      <c r="P22" s="19"/>
      <c r="Q22" s="5">
        <f>IFERROR(Q21/Q10,0)</f>
        <v>0.68135970991939909</v>
      </c>
    </row>
    <row r="23" spans="1:17" ht="15" customHeight="1" x14ac:dyDescent="0.3">
      <c r="A23" s="6"/>
      <c r="B23" s="7"/>
      <c r="C23" s="6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Q23" s="2"/>
    </row>
    <row r="24" spans="1:17" s="37" customFormat="1" ht="15" customHeight="1" x14ac:dyDescent="0.3">
      <c r="A24" s="7"/>
      <c r="B24" s="17" t="s">
        <v>286</v>
      </c>
      <c r="C24" s="7"/>
      <c r="D24" s="12" cm="1">
        <f t="array" ref="D24">SUM(OSRRefD20x_0)</f>
        <v>60021.139999999992</v>
      </c>
      <c r="E24" s="12" cm="1">
        <f t="array" ref="E24">SUM(OSRRefD20x_1)</f>
        <v>79206.289999999994</v>
      </c>
      <c r="F24" s="12" cm="1">
        <f t="array" ref="F24">SUM(OSRRefD20x_2)</f>
        <v>76556.819999999992</v>
      </c>
      <c r="G24" s="12" cm="1">
        <f t="array" ref="G24">SUM(OSRRefD20x_3)</f>
        <v>89762.05</v>
      </c>
      <c r="H24" s="12" cm="1">
        <f t="array" ref="H24">SUM(OSRRefD20x_4)</f>
        <v>72254.13</v>
      </c>
      <c r="I24" s="12" cm="1">
        <f t="array" ref="I24">SUM(OSRRefD20x_5)</f>
        <v>77305.16</v>
      </c>
      <c r="J24" s="12" cm="1">
        <f t="array" ref="J24">SUM(OSRRefD20x_6)</f>
        <v>60009.42</v>
      </c>
      <c r="K24" s="12" cm="1">
        <f t="array" ref="K24">SUM(OSRRefD20x_7)</f>
        <v>87688.010000000009</v>
      </c>
      <c r="L24" s="12" cm="1">
        <f t="array" ref="L24">SUM(OSRRefD20x_8)</f>
        <v>94112.510000000009</v>
      </c>
      <c r="M24" s="12" cm="1">
        <f t="array" ref="M24">SUM(OSRRefD20x_9)</f>
        <v>104849.37</v>
      </c>
      <c r="N24" s="12" cm="1">
        <f t="array" ref="N24">SUM(OSRRefE20x_0)</f>
        <v>60264.390849212621</v>
      </c>
      <c r="O24" s="12" cm="1">
        <f t="array" ref="O24">SUM(OSRRefE20x_1)</f>
        <v>48265.147065272919</v>
      </c>
      <c r="Q24" s="12" cm="1">
        <f t="array" ref="Q24">SUM(OSRRefG20x)</f>
        <v>910294.43791448534</v>
      </c>
    </row>
    <row r="25" spans="1:17" s="42" customFormat="1" ht="15" customHeight="1" collapsed="1" x14ac:dyDescent="0.3">
      <c r="A25" s="34"/>
      <c r="B25" s="15" t="str">
        <f>CONCATENATE("     ","*Benefits                                         ")</f>
        <v xml:space="preserve">     *Benefits                                         </v>
      </c>
      <c r="C25" s="15"/>
      <c r="D25" s="2">
        <f>SUM(OSRRefD21_0x_0)</f>
        <v>10097.829999999998</v>
      </c>
      <c r="E25" s="2">
        <f>SUM(OSRRefD21_0x_1)</f>
        <v>10432.23</v>
      </c>
      <c r="F25" s="2">
        <f>SUM(OSRRefD21_0x_2)</f>
        <v>11611.039999999999</v>
      </c>
      <c r="G25" s="2">
        <f>SUM(OSRRefD21_0x_3)</f>
        <v>16720.509999999998</v>
      </c>
      <c r="H25" s="2">
        <f>SUM(OSRRefD21_0x_4)</f>
        <v>13538.03</v>
      </c>
      <c r="I25" s="2">
        <f>SUM(OSRRefD21_0x_5)</f>
        <v>14366.4</v>
      </c>
      <c r="J25" s="2">
        <f>SUM(OSRRefD21_0x_6)</f>
        <v>12905.89</v>
      </c>
      <c r="K25" s="2">
        <f>SUM(OSRRefD21_0x_7)</f>
        <v>12170.800000000001</v>
      </c>
      <c r="L25" s="2">
        <f>SUM(OSRRefD21_0x_8)</f>
        <v>13271</v>
      </c>
      <c r="M25" s="2">
        <f>SUM(OSRRefD21_0x_9)</f>
        <v>12163.599999999999</v>
      </c>
      <c r="N25" s="2">
        <f>SUM(OSRRefE21_0x_0)</f>
        <v>6469.8901292126211</v>
      </c>
      <c r="O25" s="2">
        <f>SUM(OSRRefE21_0x_1)</f>
        <v>5943.7745252729201</v>
      </c>
      <c r="Q25" s="3">
        <f>SUM(OSRRefD20_0x)+IFERROR(SUM(OSRRefE20_0x),0)</f>
        <v>139690.99465448552</v>
      </c>
    </row>
    <row r="26" spans="1:17" s="42" customFormat="1" ht="15" hidden="1" customHeight="1" outlineLevel="1" x14ac:dyDescent="0.3">
      <c r="A26" s="34"/>
      <c r="B26" s="11" t="str">
        <f>CONCATENATE("          ","6111"," - ","F.I.C.A.")</f>
        <v xml:space="preserve">          6111 - F.I.C.A.</v>
      </c>
      <c r="C26" s="15"/>
      <c r="D26" s="3">
        <v>1121.3499999999999</v>
      </c>
      <c r="E26" s="3">
        <v>1344.16</v>
      </c>
      <c r="F26" s="3">
        <v>1671.6</v>
      </c>
      <c r="G26" s="3">
        <v>2687.05</v>
      </c>
      <c r="H26" s="3">
        <v>1676.45</v>
      </c>
      <c r="I26" s="3">
        <v>2058.66</v>
      </c>
      <c r="J26" s="3">
        <v>1244.26</v>
      </c>
      <c r="K26" s="3">
        <v>1803.29</v>
      </c>
      <c r="L26" s="3">
        <v>2264.04</v>
      </c>
      <c r="M26" s="3">
        <v>3339.89</v>
      </c>
      <c r="N26" s="3">
        <v>920.00138482800003</v>
      </c>
      <c r="O26" s="3">
        <v>631.587794196</v>
      </c>
      <c r="P26" s="10"/>
      <c r="Q26" s="3">
        <f>SUM(OSRRefD21_0_0x)+IFERROR(SUM(OSRRefE21_0_0x),0)</f>
        <v>20762.339179023998</v>
      </c>
    </row>
    <row r="27" spans="1:17" s="42" customFormat="1" ht="15" hidden="1" customHeight="1" outlineLevel="1" x14ac:dyDescent="0.3">
      <c r="A27" s="34"/>
      <c r="B27" s="11" t="str">
        <f>CONCATENATE("          ","6112"," - ","COMPENSATION INSURANCE")</f>
        <v xml:space="preserve">          6112 - COMPENSATION INSURANCE</v>
      </c>
      <c r="C27" s="15"/>
      <c r="D27" s="3">
        <v>527.62</v>
      </c>
      <c r="E27" s="3">
        <v>632.17999999999995</v>
      </c>
      <c r="F27" s="3">
        <v>1046.57</v>
      </c>
      <c r="G27" s="3">
        <v>1584.55</v>
      </c>
      <c r="H27" s="3">
        <v>987.61</v>
      </c>
      <c r="I27" s="3">
        <v>1119.93</v>
      </c>
      <c r="J27" s="3">
        <v>591.66</v>
      </c>
      <c r="K27" s="3">
        <v>1138.8699999999999</v>
      </c>
      <c r="L27" s="3">
        <v>1554.81</v>
      </c>
      <c r="M27" s="3">
        <v>1487.34</v>
      </c>
      <c r="N27" s="3">
        <v>755.28939578999996</v>
      </c>
      <c r="O27" s="3">
        <v>408.48670027999998</v>
      </c>
      <c r="P27" s="10"/>
      <c r="Q27" s="3">
        <f>SUM(OSRRefD21_0_1x)+IFERROR(SUM(OSRRefE21_0_1x),0)</f>
        <v>11834.916096069999</v>
      </c>
    </row>
    <row r="28" spans="1:17" s="42" customFormat="1" ht="15" hidden="1" customHeight="1" outlineLevel="1" x14ac:dyDescent="0.3">
      <c r="A28" s="34"/>
      <c r="B28" s="11" t="str">
        <f>CONCATENATE("          ","6113"," - ","GROUP INSURANCE")</f>
        <v xml:space="preserve">          6113 - GROUP INSURANCE</v>
      </c>
      <c r="C28" s="15"/>
      <c r="D28" s="3">
        <v>5217.82</v>
      </c>
      <c r="E28" s="3">
        <v>5217.82</v>
      </c>
      <c r="F28" s="3">
        <v>5277.63</v>
      </c>
      <c r="G28" s="3">
        <v>7197.43</v>
      </c>
      <c r="H28" s="3">
        <v>7197.43</v>
      </c>
      <c r="I28" s="3">
        <v>7197.43</v>
      </c>
      <c r="J28" s="3">
        <v>6152.38</v>
      </c>
      <c r="K28" s="3">
        <v>6152.38</v>
      </c>
      <c r="L28" s="3">
        <v>6152.38</v>
      </c>
      <c r="M28" s="3">
        <v>4330.21</v>
      </c>
      <c r="N28" s="3">
        <v>3528.18461538462</v>
      </c>
      <c r="O28" s="3">
        <v>3710.67692307692</v>
      </c>
      <c r="P28" s="10"/>
      <c r="Q28" s="3">
        <f>SUM(OSRRefD21_0_2x)+IFERROR(SUM(OSRRefE21_0_2x),0)</f>
        <v>67331.771538461529</v>
      </c>
    </row>
    <row r="29" spans="1:17" s="42" customFormat="1" ht="15" hidden="1" customHeight="1" outlineLevel="1" x14ac:dyDescent="0.3">
      <c r="A29" s="34"/>
      <c r="B29" s="11" t="str">
        <f>CONCATENATE("          ","6114"," - ","STATE UNEMPLOYMENT INSURANCE")</f>
        <v xml:space="preserve">          6114 - STATE UNEMPLOYMENT INSURANCE</v>
      </c>
      <c r="C29" s="15"/>
      <c r="D29" s="3">
        <v>38.11</v>
      </c>
      <c r="E29" s="3">
        <v>45.66</v>
      </c>
      <c r="F29" s="3">
        <v>75.59</v>
      </c>
      <c r="G29" s="3">
        <v>114.44</v>
      </c>
      <c r="H29" s="3">
        <v>71.33</v>
      </c>
      <c r="I29" s="3">
        <v>80.88</v>
      </c>
      <c r="J29" s="3">
        <v>42.73</v>
      </c>
      <c r="K29" s="3">
        <v>82.25</v>
      </c>
      <c r="L29" s="3">
        <v>112.29</v>
      </c>
      <c r="M29" s="3">
        <v>107.42</v>
      </c>
      <c r="N29" s="3">
        <v>41.849808209999999</v>
      </c>
      <c r="O29" s="3">
        <v>22.633827719999999</v>
      </c>
      <c r="P29" s="10"/>
      <c r="Q29" s="3">
        <f>SUM(OSRRefD21_0_3x)+IFERROR(SUM(OSRRefE21_0_3x),0)</f>
        <v>835.18363592999992</v>
      </c>
    </row>
    <row r="30" spans="1:17" s="42" customFormat="1" ht="15" hidden="1" customHeight="1" outlineLevel="1" x14ac:dyDescent="0.3">
      <c r="A30" s="34"/>
      <c r="B30" s="11" t="str">
        <f>CONCATENATE("          ","6115"," - ","P.E.R.S.")</f>
        <v xml:space="preserve">          6115 - P.E.R.S.</v>
      </c>
      <c r="C30" s="15"/>
      <c r="D30" s="3">
        <v>870.61</v>
      </c>
      <c r="E30" s="3">
        <v>870.61</v>
      </c>
      <c r="F30" s="3">
        <v>870.61</v>
      </c>
      <c r="G30" s="3">
        <v>1305.92</v>
      </c>
      <c r="H30" s="3">
        <v>905.43</v>
      </c>
      <c r="I30" s="3">
        <v>905.43</v>
      </c>
      <c r="J30" s="3">
        <v>398.51</v>
      </c>
      <c r="K30" s="3">
        <v>398.51</v>
      </c>
      <c r="L30" s="3">
        <v>386.06</v>
      </c>
      <c r="M30" s="3">
        <v>418.42</v>
      </c>
      <c r="N30" s="3">
        <v>437.49662000000001</v>
      </c>
      <c r="O30" s="3">
        <v>437.49662000000001</v>
      </c>
      <c r="P30" s="10"/>
      <c r="Q30" s="3">
        <f>SUM(OSRRefD21_0_4x)+IFERROR(SUM(OSRRefE21_0_4x),0)</f>
        <v>8205.1032400000022</v>
      </c>
    </row>
    <row r="31" spans="1:17" s="42" customFormat="1" ht="15" hidden="1" customHeight="1" outlineLevel="1" x14ac:dyDescent="0.3">
      <c r="A31" s="34"/>
      <c r="B31" s="11" t="str">
        <f>CONCATENATE("          ","6116"," - ","EDUCATIONAL BENEFITS")</f>
        <v xml:space="preserve">          6116 - EDUCATIONAL BENEFITS</v>
      </c>
      <c r="C31" s="15"/>
      <c r="D31" s="3"/>
      <c r="E31" s="3"/>
      <c r="F31" s="3"/>
      <c r="G31" s="3"/>
      <c r="H31" s="3"/>
      <c r="I31" s="3"/>
      <c r="J31" s="3"/>
      <c r="K31" s="3"/>
      <c r="L31" s="3"/>
      <c r="M31" s="3"/>
      <c r="N31" s="3">
        <v>0</v>
      </c>
      <c r="O31" s="3">
        <v>0</v>
      </c>
      <c r="P31" s="10"/>
      <c r="Q31" s="3">
        <f>SUM(OSRRefD21_0_5x)+IFERROR(SUM(OSRRefE21_0_5x),0)</f>
        <v>0</v>
      </c>
    </row>
    <row r="32" spans="1:17" s="42" customFormat="1" ht="15" hidden="1" customHeight="1" outlineLevel="1" x14ac:dyDescent="0.3">
      <c r="A32" s="34"/>
      <c r="B32" s="11" t="str">
        <f>CONCATENATE("          ","6117"," - ","RETIREMENT STAFF HOURLY")</f>
        <v xml:space="preserve">          6117 - RETIREMENT STAFF HOURLY</v>
      </c>
      <c r="C32" s="15"/>
      <c r="D32" s="3"/>
      <c r="E32" s="3"/>
      <c r="F32" s="3"/>
      <c r="G32" s="3"/>
      <c r="H32" s="3"/>
      <c r="I32" s="3"/>
      <c r="J32" s="3"/>
      <c r="K32" s="3"/>
      <c r="L32" s="3">
        <v>136.52000000000001</v>
      </c>
      <c r="M32" s="3">
        <v>56.4</v>
      </c>
      <c r="N32" s="3"/>
      <c r="O32" s="3"/>
      <c r="P32" s="10"/>
      <c r="Q32" s="3">
        <f>SUM(OSRRefD21_0_6x)+IFERROR(SUM(OSRRefE21_0_6x),0)</f>
        <v>192.92000000000002</v>
      </c>
    </row>
    <row r="33" spans="1:17" s="42" customFormat="1" ht="15" hidden="1" customHeight="1" outlineLevel="1" x14ac:dyDescent="0.3">
      <c r="A33" s="34"/>
      <c r="B33" s="11" t="str">
        <f>CONCATENATE("          ","6118"," - ","VACATION")</f>
        <v xml:space="preserve">          6118 - VACATION</v>
      </c>
      <c r="C33" s="15"/>
      <c r="D33" s="3">
        <v>951.06</v>
      </c>
      <c r="E33" s="3">
        <v>958.14</v>
      </c>
      <c r="F33" s="3">
        <v>1050.3399999999999</v>
      </c>
      <c r="G33" s="3">
        <v>1713.81</v>
      </c>
      <c r="H33" s="3">
        <v>1188.24</v>
      </c>
      <c r="I33" s="3">
        <v>1265.98</v>
      </c>
      <c r="J33" s="3">
        <v>1798.35</v>
      </c>
      <c r="K33" s="3">
        <v>1009.06</v>
      </c>
      <c r="L33" s="3">
        <v>1009.06</v>
      </c>
      <c r="M33" s="3">
        <v>947.34</v>
      </c>
      <c r="N33" s="3">
        <v>237.587628</v>
      </c>
      <c r="O33" s="3">
        <v>247.584396</v>
      </c>
      <c r="P33" s="10"/>
      <c r="Q33" s="3">
        <f>SUM(OSRRefD21_0_7x)+IFERROR(SUM(OSRRefE21_0_7x),0)</f>
        <v>12376.552023999999</v>
      </c>
    </row>
    <row r="34" spans="1:17" s="42" customFormat="1" ht="15" hidden="1" customHeight="1" outlineLevel="1" x14ac:dyDescent="0.3">
      <c r="A34" s="34"/>
      <c r="B34" s="11" t="str">
        <f>CONCATENATE("          ","6119"," - ","SICK LEAVE")</f>
        <v xml:space="preserve">          6119 - SICK LEAVE</v>
      </c>
      <c r="C34" s="15"/>
      <c r="D34" s="3">
        <v>875.97</v>
      </c>
      <c r="E34" s="3">
        <v>879.66</v>
      </c>
      <c r="F34" s="3">
        <v>953.56</v>
      </c>
      <c r="G34" s="3">
        <v>1115.55</v>
      </c>
      <c r="H34" s="3">
        <v>773.44</v>
      </c>
      <c r="I34" s="3">
        <v>850.19</v>
      </c>
      <c r="J34" s="3">
        <v>2023.24</v>
      </c>
      <c r="K34" s="3">
        <v>735.66</v>
      </c>
      <c r="L34" s="3">
        <v>735.66</v>
      </c>
      <c r="M34" s="3">
        <v>843.29</v>
      </c>
      <c r="N34" s="3">
        <v>278.48067700000001</v>
      </c>
      <c r="O34" s="3">
        <v>190.30826400000001</v>
      </c>
      <c r="P34" s="10"/>
      <c r="Q34" s="3">
        <f>SUM(OSRRefD21_0_8x)+IFERROR(SUM(OSRRefE21_0_8x),0)</f>
        <v>10255.008941000002</v>
      </c>
    </row>
    <row r="35" spans="1:17" s="42" customFormat="1" ht="15" hidden="1" customHeight="1" outlineLevel="1" x14ac:dyDescent="0.3">
      <c r="A35" s="34"/>
      <c r="B35" s="11" t="str">
        <f>CONCATENATE("          ","6156"," - ","EMPLOYEE MEALS")</f>
        <v xml:space="preserve">          6156 - EMPLOYEE MEALS</v>
      </c>
      <c r="C35" s="15"/>
      <c r="D35" s="3">
        <v>495.29</v>
      </c>
      <c r="E35" s="3">
        <v>484</v>
      </c>
      <c r="F35" s="3">
        <v>665.14</v>
      </c>
      <c r="G35" s="3">
        <v>1001.76</v>
      </c>
      <c r="H35" s="3">
        <v>738.1</v>
      </c>
      <c r="I35" s="3">
        <v>887.9</v>
      </c>
      <c r="J35" s="3">
        <v>654.76</v>
      </c>
      <c r="K35" s="3">
        <v>850.78</v>
      </c>
      <c r="L35" s="3">
        <v>920.18</v>
      </c>
      <c r="M35" s="3">
        <v>633.29</v>
      </c>
      <c r="N35" s="3">
        <v>271</v>
      </c>
      <c r="O35" s="3">
        <v>295</v>
      </c>
      <c r="P35" s="10"/>
      <c r="Q35" s="3">
        <f>SUM(OSRRefD21_0_9x)+IFERROR(SUM(OSRRefE21_0_9x),0)</f>
        <v>7897.2</v>
      </c>
    </row>
    <row r="36" spans="1:17" s="42" customFormat="1" ht="15" customHeight="1" collapsed="1" x14ac:dyDescent="0.3">
      <c r="A36" s="34"/>
      <c r="B36" s="15" t="str">
        <f>CONCATENATE("     ","*Payroll                                          ")</f>
        <v xml:space="preserve">     *Payroll                                          </v>
      </c>
      <c r="C36" s="15"/>
      <c r="D36" s="2">
        <f>SUM(OSRRefD21_1x_0)</f>
        <v>17651.629999999997</v>
      </c>
      <c r="E36" s="2">
        <f>SUM(OSRRefD21_1x_1)</f>
        <v>20004.48</v>
      </c>
      <c r="F36" s="2">
        <f>SUM(OSRRefD21_1x_2)</f>
        <v>29287.149999999998</v>
      </c>
      <c r="G36" s="2">
        <f>SUM(OSRRefD21_1x_3)</f>
        <v>34206.479999999996</v>
      </c>
      <c r="H36" s="2">
        <f>SUM(OSRRefD21_1x_4)</f>
        <v>25176.67</v>
      </c>
      <c r="I36" s="2">
        <f>SUM(OSRRefD21_1x_5)</f>
        <v>28212.579999999994</v>
      </c>
      <c r="J36" s="2">
        <f>SUM(OSRRefD21_1x_6)</f>
        <v>16728.059999999998</v>
      </c>
      <c r="K36" s="2">
        <f>SUM(OSRRefD21_1x_7)</f>
        <v>35242.61</v>
      </c>
      <c r="L36" s="2">
        <f>SUM(OSRRefD21_1x_8)</f>
        <v>42721.439999999995</v>
      </c>
      <c r="M36" s="2">
        <f>SUM(OSRRefD21_1x_9)</f>
        <v>50875.67</v>
      </c>
      <c r="N36" s="2">
        <f>SUM(OSRRefE21_1x_0)</f>
        <v>19532.50072</v>
      </c>
      <c r="O36" s="2">
        <f>SUM(OSRRefE21_1x_1)</f>
        <v>10365.37254</v>
      </c>
      <c r="Q36" s="3">
        <f>SUM(OSRRefD20_1x)+IFERROR(SUM(OSRRefE20_1x),0)</f>
        <v>330004.64325999998</v>
      </c>
    </row>
    <row r="37" spans="1:17" s="42" customFormat="1" ht="15" hidden="1" customHeight="1" outlineLevel="1" x14ac:dyDescent="0.3">
      <c r="A37" s="34"/>
      <c r="B37" s="11" t="str">
        <f>CONCATENATE("          ","6001"," - ","ADMINISTRATIVE SALARIES")</f>
        <v xml:space="preserve">          6001 - ADMINISTRATIVE SALARIES</v>
      </c>
      <c r="C37" s="15"/>
      <c r="D37" s="3"/>
      <c r="E37" s="3"/>
      <c r="F37" s="3"/>
      <c r="G37" s="3"/>
      <c r="H37" s="3"/>
      <c r="I37" s="3"/>
      <c r="J37" s="3"/>
      <c r="K37" s="3"/>
      <c r="L37" s="3"/>
      <c r="M37" s="3"/>
      <c r="N37" s="3">
        <v>0</v>
      </c>
      <c r="O37" s="3">
        <v>0</v>
      </c>
      <c r="P37" s="10"/>
      <c r="Q37" s="3">
        <f>SUM(OSRRefD21_1_0x)+IFERROR(SUM(OSRRefE21_1_0x),0)</f>
        <v>0</v>
      </c>
    </row>
    <row r="38" spans="1:17" s="42" customFormat="1" ht="15" hidden="1" customHeight="1" outlineLevel="1" x14ac:dyDescent="0.3">
      <c r="A38" s="34"/>
      <c r="B38" s="11" t="str">
        <f>CONCATENATE("          ","6002"," - ","STAFF SALARIES")</f>
        <v xml:space="preserve">          6002 - STAFF SALARIES</v>
      </c>
      <c r="C38" s="15"/>
      <c r="D38" s="3">
        <v>11462.58</v>
      </c>
      <c r="E38" s="3">
        <v>9276.15</v>
      </c>
      <c r="F38" s="3">
        <v>9304.58</v>
      </c>
      <c r="G38" s="3">
        <v>10929.58</v>
      </c>
      <c r="H38" s="3">
        <v>9443.7999999999993</v>
      </c>
      <c r="I38" s="3">
        <v>9151.7099999999991</v>
      </c>
      <c r="J38" s="3">
        <v>4561.76</v>
      </c>
      <c r="K38" s="3">
        <v>4987.99</v>
      </c>
      <c r="L38" s="3">
        <v>5086.4399999999996</v>
      </c>
      <c r="M38" s="3">
        <v>4725.1000000000004</v>
      </c>
      <c r="N38" s="3">
        <v>4832.8114999999998</v>
      </c>
      <c r="O38" s="3">
        <v>4832.8114999999998</v>
      </c>
      <c r="P38" s="10"/>
      <c r="Q38" s="3">
        <f>SUM(OSRRefD21_1_1x)+IFERROR(SUM(OSRRefE21_1_1x),0)</f>
        <v>88595.313000000024</v>
      </c>
    </row>
    <row r="39" spans="1:17" s="42" customFormat="1" ht="15" hidden="1" customHeight="1" outlineLevel="1" x14ac:dyDescent="0.3">
      <c r="A39" s="34"/>
      <c r="B39" s="11" t="str">
        <f>CONCATENATE("          ","6003"," - ","STAFF HOURLY-9 MONTH")</f>
        <v xml:space="preserve">          6003 - STAFF HOURLY-9 MONTH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/>
      <c r="N39" s="3">
        <v>0</v>
      </c>
      <c r="O39" s="3">
        <v>0</v>
      </c>
      <c r="P39" s="10"/>
      <c r="Q39" s="3">
        <f>SUM(OSRRefD21_1_2x)+IFERROR(SUM(OSRRefE21_1_2x),0)</f>
        <v>0</v>
      </c>
    </row>
    <row r="40" spans="1:17" s="42" customFormat="1" ht="15" hidden="1" customHeight="1" outlineLevel="1" x14ac:dyDescent="0.3">
      <c r="A40" s="34"/>
      <c r="B40" s="11" t="str">
        <f>CONCATENATE("          ","6004"," - ","STAFF HOURLY")</f>
        <v xml:space="preserve">          6004 - STAFF HOURLY</v>
      </c>
      <c r="C40" s="15"/>
      <c r="D40" s="3">
        <v>2994.99</v>
      </c>
      <c r="E40" s="3">
        <v>3255.04</v>
      </c>
      <c r="F40" s="3">
        <v>5113.5600000000004</v>
      </c>
      <c r="G40" s="3">
        <v>6406.54</v>
      </c>
      <c r="H40" s="3">
        <v>4795.76</v>
      </c>
      <c r="I40" s="3">
        <v>6190.28</v>
      </c>
      <c r="J40" s="3">
        <v>7843.79</v>
      </c>
      <c r="K40" s="3">
        <v>12187.4</v>
      </c>
      <c r="L40" s="3">
        <v>6854.31</v>
      </c>
      <c r="M40" s="3">
        <v>15133.77</v>
      </c>
      <c r="N40" s="3">
        <v>6313.2967200000003</v>
      </c>
      <c r="O40" s="3">
        <v>3007.3610399999998</v>
      </c>
      <c r="P40" s="10"/>
      <c r="Q40" s="3">
        <f>SUM(OSRRefD21_1_3x)+IFERROR(SUM(OSRRefE21_1_3x),0)</f>
        <v>80096.097760000004</v>
      </c>
    </row>
    <row r="41" spans="1:17" s="42" customFormat="1" ht="15" hidden="1" customHeight="1" outlineLevel="1" x14ac:dyDescent="0.3">
      <c r="A41" s="34"/>
      <c r="B41" s="11" t="str">
        <f>CONCATENATE("          ","6005"," - ","TEMPORARY WAGES-HOURLY")</f>
        <v xml:space="preserve">          6005 - TEMPORARY WAGES-HOURLY</v>
      </c>
      <c r="C41" s="15"/>
      <c r="D41" s="3">
        <v>1811.06</v>
      </c>
      <c r="E41" s="3">
        <v>3277.99</v>
      </c>
      <c r="F41" s="3">
        <v>7058.85</v>
      </c>
      <c r="G41" s="3">
        <v>13475.55</v>
      </c>
      <c r="H41" s="3">
        <v>6463.01</v>
      </c>
      <c r="I41" s="3">
        <v>8552.3799999999992</v>
      </c>
      <c r="J41" s="3">
        <v>878.51</v>
      </c>
      <c r="K41" s="3">
        <v>10745.48</v>
      </c>
      <c r="L41" s="3">
        <v>10883.17</v>
      </c>
      <c r="M41" s="3">
        <v>20499.03</v>
      </c>
      <c r="N41" s="3">
        <v>0</v>
      </c>
      <c r="O41" s="3">
        <v>0</v>
      </c>
      <c r="P41" s="10"/>
      <c r="Q41" s="3">
        <f>SUM(OSRRefD21_1_4x)+IFERROR(SUM(OSRRefE21_1_4x),0)</f>
        <v>83645.03</v>
      </c>
    </row>
    <row r="42" spans="1:17" s="42" customFormat="1" ht="15" hidden="1" customHeight="1" outlineLevel="1" x14ac:dyDescent="0.3">
      <c r="A42" s="34"/>
      <c r="B42" s="11" t="str">
        <f>CONCATENATE("          ","6006"," - ","TEMPORARY PART TIME")</f>
        <v xml:space="preserve">          6006 - TEMPORARY PART TIME</v>
      </c>
      <c r="C42" s="15"/>
      <c r="D42" s="3"/>
      <c r="E42" s="3"/>
      <c r="F42" s="3"/>
      <c r="G42" s="3"/>
      <c r="H42" s="3"/>
      <c r="I42" s="3"/>
      <c r="J42" s="3"/>
      <c r="K42" s="3"/>
      <c r="L42" s="3"/>
      <c r="M42" s="3"/>
      <c r="N42" s="3">
        <v>0</v>
      </c>
      <c r="O42" s="3">
        <v>0</v>
      </c>
      <c r="P42" s="10"/>
      <c r="Q42" s="3">
        <f>SUM(OSRRefD21_1_5x)+IFERROR(SUM(OSRRefE21_1_5x),0)</f>
        <v>0</v>
      </c>
    </row>
    <row r="43" spans="1:17" s="42" customFormat="1" ht="15" hidden="1" customHeight="1" outlineLevel="1" x14ac:dyDescent="0.3">
      <c r="A43" s="34"/>
      <c r="B43" s="11" t="str">
        <f>CONCATENATE("          ","6007"," - ","STUDENT HOURLY")</f>
        <v xml:space="preserve">          6007 - STUDENT HOURLY</v>
      </c>
      <c r="C43" s="15"/>
      <c r="D43" s="3">
        <v>1383</v>
      </c>
      <c r="E43" s="3">
        <v>4195.3</v>
      </c>
      <c r="F43" s="3">
        <v>7810.16</v>
      </c>
      <c r="G43" s="3">
        <v>3394.81</v>
      </c>
      <c r="H43" s="3">
        <v>4474.1000000000004</v>
      </c>
      <c r="I43" s="3">
        <v>4318.21</v>
      </c>
      <c r="J43" s="3">
        <v>3444</v>
      </c>
      <c r="K43" s="3">
        <v>6180.14</v>
      </c>
      <c r="L43" s="3">
        <v>17804</v>
      </c>
      <c r="M43" s="3">
        <v>6695.96</v>
      </c>
      <c r="N43" s="3">
        <v>479.36</v>
      </c>
      <c r="O43" s="3">
        <v>0</v>
      </c>
      <c r="P43" s="10"/>
      <c r="Q43" s="3">
        <f>SUM(OSRRefD21_1_6x)+IFERROR(SUM(OSRRefE21_1_6x),0)</f>
        <v>60179.040000000001</v>
      </c>
    </row>
    <row r="44" spans="1:17" s="42" customFormat="1" ht="15" hidden="1" customHeight="1" outlineLevel="1" x14ac:dyDescent="0.3">
      <c r="A44" s="34"/>
      <c r="B44" s="11" t="str">
        <f>CONCATENATE("          ","6008"," - ","STUDENT HOURLY-FICA EXEMPT")</f>
        <v xml:space="preserve">          6008 - STUDENT HOURLY-FICA EXEMPT</v>
      </c>
      <c r="C44" s="15"/>
      <c r="D44" s="3"/>
      <c r="E44" s="3"/>
      <c r="F44" s="3"/>
      <c r="G44" s="3"/>
      <c r="H44" s="3"/>
      <c r="I44" s="3"/>
      <c r="J44" s="3"/>
      <c r="K44" s="3">
        <v>1141.5999999999999</v>
      </c>
      <c r="L44" s="3">
        <v>2093.52</v>
      </c>
      <c r="M44" s="3">
        <v>3821.81</v>
      </c>
      <c r="N44" s="3">
        <v>7907.0325000000003</v>
      </c>
      <c r="O44" s="3">
        <v>2525.1999999999998</v>
      </c>
      <c r="P44" s="10"/>
      <c r="Q44" s="3">
        <f>SUM(OSRRefD21_1_7x)+IFERROR(SUM(OSRRefE21_1_7x),0)</f>
        <v>17489.162499999999</v>
      </c>
    </row>
    <row r="45" spans="1:17" s="42" customFormat="1" ht="15" hidden="1" customHeight="1" outlineLevel="1" x14ac:dyDescent="0.3">
      <c r="A45" s="34"/>
      <c r="B45" s="11" t="str">
        <f>CONCATENATE("          ","6009"," - ","TEMPORARY-SEASONAL")</f>
        <v xml:space="preserve">          6009 - TEMPORARY-SEASONAL</v>
      </c>
      <c r="C45" s="15"/>
      <c r="D45" s="3"/>
      <c r="E45" s="3"/>
      <c r="F45" s="3"/>
      <c r="G45" s="3"/>
      <c r="H45" s="3"/>
      <c r="I45" s="3"/>
      <c r="J45" s="3"/>
      <c r="K45" s="3"/>
      <c r="L45" s="3"/>
      <c r="M45" s="3"/>
      <c r="N45" s="3">
        <v>0</v>
      </c>
      <c r="O45" s="3">
        <v>0</v>
      </c>
      <c r="P45" s="10"/>
      <c r="Q45" s="3">
        <f>SUM(OSRRefD21_1_8x)+IFERROR(SUM(OSRRefE21_1_8x),0)</f>
        <v>0</v>
      </c>
    </row>
    <row r="46" spans="1:17" s="42" customFormat="1" ht="15" hidden="1" customHeight="1" outlineLevel="1" x14ac:dyDescent="0.3">
      <c r="A46" s="34"/>
      <c r="B46" s="11" t="str">
        <f>CONCATENATE("          ","6010"," - ","GRATUITY")</f>
        <v xml:space="preserve">          6010 - GRATUITY</v>
      </c>
      <c r="C46" s="15"/>
      <c r="D46" s="3"/>
      <c r="E46" s="3"/>
      <c r="F46" s="3"/>
      <c r="G46" s="3"/>
      <c r="H46" s="3"/>
      <c r="I46" s="3"/>
      <c r="J46" s="3"/>
      <c r="K46" s="3"/>
      <c r="L46" s="3"/>
      <c r="M46" s="3"/>
      <c r="N46" s="3">
        <v>0</v>
      </c>
      <c r="O46" s="3">
        <v>0</v>
      </c>
      <c r="P46" s="10"/>
      <c r="Q46" s="3">
        <f>SUM(OSRRefD21_1_9x)+IFERROR(SUM(OSRRefE21_1_9x),0)</f>
        <v>0</v>
      </c>
    </row>
    <row r="47" spans="1:17" s="42" customFormat="1" ht="15" customHeight="1" collapsed="1" x14ac:dyDescent="0.3">
      <c r="A47" s="34"/>
      <c r="B47" s="15" t="str">
        <f>CONCATENATE("     ","Advertising/Promo                                 ")</f>
        <v xml:space="preserve">     Advertising/Promo                                 </v>
      </c>
      <c r="C47" s="15"/>
      <c r="D47" s="2">
        <f>SUM(OSRRefD21_2x_0)</f>
        <v>127.33</v>
      </c>
      <c r="E47" s="2">
        <f>SUM(OSRRefD21_2x_1)</f>
        <v>16</v>
      </c>
      <c r="F47" s="2">
        <f>SUM(OSRRefD21_2x_2)</f>
        <v>66.12</v>
      </c>
      <c r="G47" s="2">
        <f>SUM(OSRRefD21_2x_3)</f>
        <v>50.23</v>
      </c>
      <c r="H47" s="2">
        <f>SUM(OSRRefD21_2x_4)</f>
        <v>128.31</v>
      </c>
      <c r="I47" s="2">
        <f>SUM(OSRRefD21_2x_5)</f>
        <v>43.53</v>
      </c>
      <c r="J47" s="2">
        <f>SUM(OSRRefD21_2x_6)</f>
        <v>239.22</v>
      </c>
      <c r="K47" s="2">
        <f>SUM(OSRRefD21_2x_7)</f>
        <v>135.91</v>
      </c>
      <c r="L47" s="2">
        <f>SUM(OSRRefD21_2x_8)</f>
        <v>213.04</v>
      </c>
      <c r="M47" s="2">
        <f>SUM(OSRRefD21_2x_9)</f>
        <v>552.12</v>
      </c>
      <c r="N47" s="2">
        <f>SUM(OSRRefE21_2x_0)</f>
        <v>0</v>
      </c>
      <c r="O47" s="2">
        <f>SUM(OSRRefE21_2x_1)</f>
        <v>0</v>
      </c>
      <c r="Q47" s="3">
        <f>SUM(OSRRefD20_2x)+IFERROR(SUM(OSRRefE20_2x),0)</f>
        <v>1571.81</v>
      </c>
    </row>
    <row r="48" spans="1:17" s="42" customFormat="1" ht="15" hidden="1" customHeight="1" outlineLevel="1" x14ac:dyDescent="0.3">
      <c r="A48" s="34"/>
      <c r="B48" s="11" t="str">
        <f>CONCATENATE("          ","6362"," - ","ADVERTISING EXPENSE")</f>
        <v xml:space="preserve">          6362 - ADVERTISING EXPENSE</v>
      </c>
      <c r="C48" s="15"/>
      <c r="D48" s="3">
        <v>127.33</v>
      </c>
      <c r="E48" s="3">
        <v>16</v>
      </c>
      <c r="F48" s="3">
        <v>66.12</v>
      </c>
      <c r="G48" s="3">
        <v>50.23</v>
      </c>
      <c r="H48" s="3">
        <v>128.31</v>
      </c>
      <c r="I48" s="3">
        <v>43.53</v>
      </c>
      <c r="J48" s="3">
        <v>239.22</v>
      </c>
      <c r="K48" s="3">
        <v>135.91</v>
      </c>
      <c r="L48" s="3">
        <v>213.04</v>
      </c>
      <c r="M48" s="3">
        <v>552.12</v>
      </c>
      <c r="N48" s="3"/>
      <c r="O48" s="3"/>
      <c r="P48" s="10"/>
      <c r="Q48" s="3">
        <f>SUM(OSRRefD21_2_0x)+IFERROR(SUM(OSRRefE21_2_0x),0)</f>
        <v>1571.81</v>
      </c>
    </row>
    <row r="49" spans="1:17" s="42" customFormat="1" ht="15" customHeight="1" collapsed="1" x14ac:dyDescent="0.3">
      <c r="A49" s="34"/>
      <c r="B49" s="15" t="str">
        <f>CONCATENATE("     ","Bad Debts/Over/Short                              ")</f>
        <v xml:space="preserve">     Bad Debts/Over/Short                              </v>
      </c>
      <c r="C49" s="15"/>
      <c r="D49" s="2">
        <f>SUM(OSRRefD21_3x_0)</f>
        <v>-19.02</v>
      </c>
      <c r="E49" s="2">
        <f>SUM(OSRRefD21_3x_1)</f>
        <v>13.78</v>
      </c>
      <c r="F49" s="2">
        <f>SUM(OSRRefD21_3x_2)</f>
        <v>-15.54</v>
      </c>
      <c r="G49" s="2">
        <f>SUM(OSRRefD21_3x_3)</f>
        <v>-1.28</v>
      </c>
      <c r="H49" s="2">
        <f>SUM(OSRRefD21_3x_4)</f>
        <v>-6.09</v>
      </c>
      <c r="I49" s="2">
        <f>SUM(OSRRefD21_3x_5)</f>
        <v>29.9</v>
      </c>
      <c r="J49" s="2">
        <f>SUM(OSRRefD21_3x_6)</f>
        <v>-0.49</v>
      </c>
      <c r="K49" s="2">
        <f>SUM(OSRRefD21_3x_7)</f>
        <v>-18.28</v>
      </c>
      <c r="L49" s="2">
        <f>SUM(OSRRefD21_3x_8)</f>
        <v>3.29</v>
      </c>
      <c r="M49" s="2">
        <f>SUM(OSRRefD21_3x_9)</f>
        <v>10.18</v>
      </c>
      <c r="N49" s="2">
        <f>SUM(OSRRefE21_3x_0)</f>
        <v>0</v>
      </c>
      <c r="O49" s="2">
        <f>SUM(OSRRefE21_3x_1)</f>
        <v>10</v>
      </c>
      <c r="Q49" s="3">
        <f>SUM(OSRRefD20_3x)+IFERROR(SUM(OSRRefE20_3x),0)</f>
        <v>6.4499999999999957</v>
      </c>
    </row>
    <row r="50" spans="1:17" s="42" customFormat="1" ht="15" hidden="1" customHeight="1" outlineLevel="1" x14ac:dyDescent="0.3">
      <c r="A50" s="34"/>
      <c r="B50" s="11" t="str">
        <f>CONCATENATE("          ","6272"," - ","CASH (OVER/SHORT)")</f>
        <v xml:space="preserve">          6272 - CASH (OVER/SHORT)</v>
      </c>
      <c r="C50" s="15"/>
      <c r="D50" s="3">
        <v>-19.02</v>
      </c>
      <c r="E50" s="3">
        <v>13.78</v>
      </c>
      <c r="F50" s="3">
        <v>-15.54</v>
      </c>
      <c r="G50" s="3">
        <v>-1.28</v>
      </c>
      <c r="H50" s="3">
        <v>-6.09</v>
      </c>
      <c r="I50" s="3">
        <v>29.9</v>
      </c>
      <c r="J50" s="3">
        <v>-0.49</v>
      </c>
      <c r="K50" s="3">
        <v>-18.28</v>
      </c>
      <c r="L50" s="3">
        <v>3.29</v>
      </c>
      <c r="M50" s="3">
        <v>10.18</v>
      </c>
      <c r="N50" s="3"/>
      <c r="O50" s="3">
        <v>10</v>
      </c>
      <c r="P50" s="10"/>
      <c r="Q50" s="3">
        <f>SUM(OSRRefD21_3_0x)+IFERROR(SUM(OSRRefE21_3_0x),0)</f>
        <v>6.4499999999999957</v>
      </c>
    </row>
    <row r="51" spans="1:17" s="42" customFormat="1" ht="15" customHeight="1" collapsed="1" x14ac:dyDescent="0.3">
      <c r="A51" s="34"/>
      <c r="B51" s="15" t="str">
        <f>CONCATENATE("     ","Bank/card Fees                                    ")</f>
        <v xml:space="preserve">     Bank/card Fees                                    </v>
      </c>
      <c r="C51" s="15"/>
      <c r="D51" s="2">
        <f>SUM(OSRRefD21_4x_0)</f>
        <v>690.24</v>
      </c>
      <c r="E51" s="2">
        <f>SUM(OSRRefD21_4x_1)</f>
        <v>1376.48</v>
      </c>
      <c r="F51" s="2">
        <f>SUM(OSRRefD21_4x_2)</f>
        <v>1941.37</v>
      </c>
      <c r="G51" s="2">
        <f>SUM(OSRRefD21_4x_3)</f>
        <v>3141.89</v>
      </c>
      <c r="H51" s="2">
        <f>SUM(OSRRefD21_4x_4)</f>
        <v>2243.3200000000002</v>
      </c>
      <c r="I51" s="2">
        <f>SUM(OSRRefD21_4x_5)</f>
        <v>1901.7</v>
      </c>
      <c r="J51" s="2">
        <f>SUM(OSRRefD21_4x_6)</f>
        <v>152.91</v>
      </c>
      <c r="K51" s="2">
        <f>SUM(OSRRefD21_4x_7)</f>
        <v>2976.4</v>
      </c>
      <c r="L51" s="2">
        <f>SUM(OSRRefD21_4x_8)</f>
        <v>5051.8599999999997</v>
      </c>
      <c r="M51" s="2">
        <f>SUM(OSRRefD21_4x_9)</f>
        <v>2972.14</v>
      </c>
      <c r="N51" s="2">
        <f>SUM(OSRRefE21_4x_0)</f>
        <v>3714</v>
      </c>
      <c r="O51" s="2">
        <f>SUM(OSRRefE21_4x_1)</f>
        <v>1330</v>
      </c>
      <c r="Q51" s="3">
        <f>SUM(OSRRefD20_4x)+IFERROR(SUM(OSRRefE20_4x),0)</f>
        <v>27492.309999999998</v>
      </c>
    </row>
    <row r="52" spans="1:17" s="42" customFormat="1" ht="15" hidden="1" customHeight="1" outlineLevel="1" x14ac:dyDescent="0.3">
      <c r="A52" s="34"/>
      <c r="B52" s="11" t="str">
        <f>CONCATENATE("          ","6381"," - ","BANK/CREDIT CARD FEES")</f>
        <v xml:space="preserve">          6381 - BANK/CREDIT CARD FEES</v>
      </c>
      <c r="C52" s="15"/>
      <c r="D52" s="3">
        <v>690.24</v>
      </c>
      <c r="E52" s="3">
        <v>1376.48</v>
      </c>
      <c r="F52" s="3">
        <v>1941.37</v>
      </c>
      <c r="G52" s="3">
        <v>3141.89</v>
      </c>
      <c r="H52" s="3">
        <v>2243.3200000000002</v>
      </c>
      <c r="I52" s="3">
        <v>1901.7</v>
      </c>
      <c r="J52" s="3">
        <v>152.91</v>
      </c>
      <c r="K52" s="3">
        <v>2976.4</v>
      </c>
      <c r="L52" s="3">
        <v>5051.8599999999997</v>
      </c>
      <c r="M52" s="3">
        <v>2972.14</v>
      </c>
      <c r="N52" s="3">
        <v>3714</v>
      </c>
      <c r="O52" s="3">
        <v>1330</v>
      </c>
      <c r="P52" s="10"/>
      <c r="Q52" s="3">
        <f>SUM(OSRRefD21_4_0x)+IFERROR(SUM(OSRRefE21_4_0x),0)</f>
        <v>27492.309999999998</v>
      </c>
    </row>
    <row r="53" spans="1:17" s="42" customFormat="1" ht="15" customHeight="1" collapsed="1" x14ac:dyDescent="0.3">
      <c r="A53" s="34"/>
      <c r="B53" s="15" t="str">
        <f>CONCATENATE("     ","Depreciation                                      ")</f>
        <v xml:space="preserve">     Depreciation                                      </v>
      </c>
      <c r="C53" s="15"/>
      <c r="D53" s="2">
        <f>SUM(OSRRefD21_5x_0)</f>
        <v>14007.34</v>
      </c>
      <c r="E53" s="2">
        <f>SUM(OSRRefD21_5x_1)</f>
        <v>14007.34</v>
      </c>
      <c r="F53" s="2">
        <f>SUM(OSRRefD21_5x_2)</f>
        <v>14007.34</v>
      </c>
      <c r="G53" s="2">
        <f>SUM(OSRRefD21_5x_3)</f>
        <v>14007.34</v>
      </c>
      <c r="H53" s="2">
        <f>SUM(OSRRefD21_5x_4)</f>
        <v>14007.34</v>
      </c>
      <c r="I53" s="2">
        <f>SUM(OSRRefD21_5x_5)</f>
        <v>14007.34</v>
      </c>
      <c r="J53" s="2">
        <f>SUM(OSRRefD21_5x_6)</f>
        <v>14007.34</v>
      </c>
      <c r="K53" s="2">
        <f>SUM(OSRRefD21_5x_7)</f>
        <v>14007.34</v>
      </c>
      <c r="L53" s="2">
        <f>SUM(OSRRefD21_5x_8)</f>
        <v>14007.34</v>
      </c>
      <c r="M53" s="2">
        <f>SUM(OSRRefD21_5x_9)</f>
        <v>14236.8</v>
      </c>
      <c r="N53" s="2">
        <f>SUM(OSRRefE21_5x_0)</f>
        <v>13902</v>
      </c>
      <c r="O53" s="2">
        <f>SUM(OSRRefE21_5x_1)</f>
        <v>13902</v>
      </c>
      <c r="Q53" s="3">
        <f>SUM(OSRRefD20_5x)+IFERROR(SUM(OSRRefE20_5x),0)</f>
        <v>168106.86</v>
      </c>
    </row>
    <row r="54" spans="1:17" s="42" customFormat="1" ht="15" hidden="1" customHeight="1" outlineLevel="1" x14ac:dyDescent="0.3">
      <c r="A54" s="34"/>
      <c r="B54" s="11" t="str">
        <f>CONCATENATE("          ","6321"," - ","BUILDING DEPRECIATION")</f>
        <v xml:space="preserve">          6321 - BUILDING DEPRECIATION</v>
      </c>
      <c r="C54" s="15"/>
      <c r="D54" s="3">
        <v>10597.26</v>
      </c>
      <c r="E54" s="3">
        <v>10597.26</v>
      </c>
      <c r="F54" s="3">
        <v>10597.26</v>
      </c>
      <c r="G54" s="3">
        <v>10597.26</v>
      </c>
      <c r="H54" s="3">
        <v>10597.26</v>
      </c>
      <c r="I54" s="3">
        <v>10597.26</v>
      </c>
      <c r="J54" s="3">
        <v>10597.26</v>
      </c>
      <c r="K54" s="3">
        <v>10597.26</v>
      </c>
      <c r="L54" s="3">
        <v>10597.26</v>
      </c>
      <c r="M54" s="3">
        <v>10597.26</v>
      </c>
      <c r="N54" s="3"/>
      <c r="O54" s="3"/>
      <c r="P54" s="10"/>
      <c r="Q54" s="3">
        <f>SUM(OSRRefD21_5_0x)+IFERROR(SUM(OSRRefE21_5_0x),0)</f>
        <v>105972.59999999999</v>
      </c>
    </row>
    <row r="55" spans="1:17" s="42" customFormat="1" ht="15" hidden="1" customHeight="1" outlineLevel="1" x14ac:dyDescent="0.3">
      <c r="A55" s="34"/>
      <c r="B55" s="11" t="str">
        <f>CONCATENATE("          ","6322"," - ","EQUIPMENT DEPRECIATION EXPENSE")</f>
        <v xml:space="preserve">          6322 - EQUIPMENT DEPRECIATION EXPENSE</v>
      </c>
      <c r="C55" s="15"/>
      <c r="D55" s="3">
        <v>3410.08</v>
      </c>
      <c r="E55" s="3">
        <v>3410.08</v>
      </c>
      <c r="F55" s="3">
        <v>3410.08</v>
      </c>
      <c r="G55" s="3">
        <v>3410.08</v>
      </c>
      <c r="H55" s="3">
        <v>3410.08</v>
      </c>
      <c r="I55" s="3">
        <v>3410.08</v>
      </c>
      <c r="J55" s="3">
        <v>3410.08</v>
      </c>
      <c r="K55" s="3">
        <v>3410.08</v>
      </c>
      <c r="L55" s="3">
        <v>3410.08</v>
      </c>
      <c r="M55" s="3">
        <v>3639.54</v>
      </c>
      <c r="N55" s="3">
        <v>13902</v>
      </c>
      <c r="O55" s="3">
        <v>13902</v>
      </c>
      <c r="P55" s="10"/>
      <c r="Q55" s="3">
        <f>SUM(OSRRefD21_5_1x)+IFERROR(SUM(OSRRefE21_5_1x),0)</f>
        <v>62134.260000000009</v>
      </c>
    </row>
    <row r="56" spans="1:17" s="42" customFormat="1" ht="15" customHeight="1" collapsed="1" x14ac:dyDescent="0.3">
      <c r="A56" s="34"/>
      <c r="B56" s="15" t="str">
        <f>CONCATENATE("     ","Employees' Appreciation                           ")</f>
        <v xml:space="preserve">     Employees' Appreciation                           </v>
      </c>
      <c r="C56" s="15"/>
      <c r="D56" s="2">
        <f>SUM(OSRRefD21_6x_0)</f>
        <v>0</v>
      </c>
      <c r="E56" s="2">
        <f>SUM(OSRRefD21_6x_1)</f>
        <v>0</v>
      </c>
      <c r="F56" s="2">
        <f>SUM(OSRRefD21_6x_2)</f>
        <v>0</v>
      </c>
      <c r="G56" s="2">
        <f>SUM(OSRRefD21_6x_3)</f>
        <v>0</v>
      </c>
      <c r="H56" s="2">
        <f>SUM(OSRRefD21_6x_4)</f>
        <v>0</v>
      </c>
      <c r="I56" s="2">
        <f>SUM(OSRRefD21_6x_5)</f>
        <v>0</v>
      </c>
      <c r="J56" s="2">
        <f>SUM(OSRRefD21_6x_6)</f>
        <v>0</v>
      </c>
      <c r="K56" s="2">
        <f>SUM(OSRRefD21_6x_7)</f>
        <v>0</v>
      </c>
      <c r="L56" s="2">
        <f>SUM(OSRRefD21_6x_8)</f>
        <v>0</v>
      </c>
      <c r="M56" s="2">
        <f>SUM(OSRRefD21_6x_9)</f>
        <v>61.45</v>
      </c>
      <c r="N56" s="2">
        <f>SUM(OSRRefE21_6x_0)</f>
        <v>50</v>
      </c>
      <c r="O56" s="2">
        <f>SUM(OSRRefE21_6x_1)</f>
        <v>0</v>
      </c>
      <c r="Q56" s="3">
        <f>SUM(OSRRefD20_6x)+IFERROR(SUM(OSRRefE20_6x),0)</f>
        <v>111.45</v>
      </c>
    </row>
    <row r="57" spans="1:17" s="42" customFormat="1" ht="15" hidden="1" customHeight="1" outlineLevel="1" x14ac:dyDescent="0.3">
      <c r="A57" s="34"/>
      <c r="B57" s="11" t="str">
        <f>CONCATENATE("          ","6277"," - ","EMPLOYEE APPRECIATION")</f>
        <v xml:space="preserve">          6277 - EMPLOYEE APPRECIATION</v>
      </c>
      <c r="C57" s="15"/>
      <c r="D57" s="3"/>
      <c r="E57" s="3"/>
      <c r="F57" s="3"/>
      <c r="G57" s="3"/>
      <c r="H57" s="3"/>
      <c r="I57" s="3"/>
      <c r="J57" s="3"/>
      <c r="K57" s="3"/>
      <c r="L57" s="3"/>
      <c r="M57" s="3">
        <v>61.45</v>
      </c>
      <c r="N57" s="3">
        <v>50</v>
      </c>
      <c r="O57" s="3"/>
      <c r="P57" s="10"/>
      <c r="Q57" s="3">
        <f>SUM(OSRRefD21_6_0x)+IFERROR(SUM(OSRRefE21_6_0x),0)</f>
        <v>111.45</v>
      </c>
    </row>
    <row r="58" spans="1:17" s="42" customFormat="1" ht="15" customHeight="1" collapsed="1" x14ac:dyDescent="0.3">
      <c r="A58" s="34"/>
      <c r="B58" s="15" t="str">
        <f>CONCATENATE("     ","Equipment Rental                                  ")</f>
        <v xml:space="preserve">     Equipment Rental                                  </v>
      </c>
      <c r="C58" s="15"/>
      <c r="D58" s="2">
        <f>SUM(OSRRefD21_7x_0)</f>
        <v>161.19999999999999</v>
      </c>
      <c r="E58" s="2">
        <f>SUM(OSRRefD21_7x_1)</f>
        <v>328.87</v>
      </c>
      <c r="F58" s="2">
        <f>SUM(OSRRefD21_7x_2)</f>
        <v>0</v>
      </c>
      <c r="G58" s="2">
        <f>SUM(OSRRefD21_7x_3)</f>
        <v>368.72</v>
      </c>
      <c r="H58" s="2">
        <f>SUM(OSRRefD21_7x_4)</f>
        <v>0</v>
      </c>
      <c r="I58" s="2">
        <f>SUM(OSRRefD21_7x_5)</f>
        <v>925.97</v>
      </c>
      <c r="J58" s="2">
        <f>SUM(OSRRefD21_7x_6)</f>
        <v>225.29</v>
      </c>
      <c r="K58" s="2">
        <f>SUM(OSRRefD21_7x_7)</f>
        <v>456.12</v>
      </c>
      <c r="L58" s="2">
        <f>SUM(OSRRefD21_7x_8)</f>
        <v>250.92</v>
      </c>
      <c r="M58" s="2">
        <f>SUM(OSRRefD21_7x_9)</f>
        <v>611.70000000000005</v>
      </c>
      <c r="N58" s="2">
        <f>SUM(OSRRefE21_7x_0)</f>
        <v>275</v>
      </c>
      <c r="O58" s="2">
        <f>SUM(OSRRefE21_7x_1)</f>
        <v>275</v>
      </c>
      <c r="Q58" s="3">
        <f>SUM(OSRRefD20_7x)+IFERROR(SUM(OSRRefE20_7x),0)</f>
        <v>3878.79</v>
      </c>
    </row>
    <row r="59" spans="1:17" s="42" customFormat="1" ht="15" hidden="1" customHeight="1" outlineLevel="1" x14ac:dyDescent="0.3">
      <c r="A59" s="34"/>
      <c r="B59" s="11" t="str">
        <f>CONCATENATE("          ","6351"," - ","EQUIPMENT RENTAL")</f>
        <v xml:space="preserve">          6351 - EQUIPMENT RENTAL</v>
      </c>
      <c r="C59" s="15"/>
      <c r="D59" s="3">
        <v>161.19999999999999</v>
      </c>
      <c r="E59" s="3">
        <v>328.87</v>
      </c>
      <c r="F59" s="3"/>
      <c r="G59" s="3">
        <v>368.72</v>
      </c>
      <c r="H59" s="3"/>
      <c r="I59" s="3">
        <v>925.97</v>
      </c>
      <c r="J59" s="3">
        <v>225.29</v>
      </c>
      <c r="K59" s="3">
        <v>456.12</v>
      </c>
      <c r="L59" s="3">
        <v>250.92</v>
      </c>
      <c r="M59" s="3">
        <v>611.70000000000005</v>
      </c>
      <c r="N59" s="3">
        <v>275</v>
      </c>
      <c r="O59" s="3">
        <v>275</v>
      </c>
      <c r="P59" s="10"/>
      <c r="Q59" s="3">
        <f>SUM(OSRRefD21_7_0x)+IFERROR(SUM(OSRRefE21_7_0x),0)</f>
        <v>3878.79</v>
      </c>
    </row>
    <row r="60" spans="1:17" s="42" customFormat="1" ht="15" customHeight="1" collapsed="1" x14ac:dyDescent="0.3">
      <c r="A60" s="34"/>
      <c r="B60" s="15" t="str">
        <f>CONCATENATE("     ","General                                           ")</f>
        <v xml:space="preserve">     General                                           </v>
      </c>
      <c r="C60" s="15"/>
      <c r="D60" s="2">
        <f>SUM(OSRRefD21_8x_0)</f>
        <v>42.77</v>
      </c>
      <c r="E60" s="2">
        <f>SUM(OSRRefD21_8x_1)</f>
        <v>1465.15</v>
      </c>
      <c r="F60" s="2">
        <f>SUM(OSRRefD21_8x_2)</f>
        <v>0</v>
      </c>
      <c r="G60" s="2">
        <f>SUM(OSRRefD21_8x_3)</f>
        <v>13.05</v>
      </c>
      <c r="H60" s="2">
        <f>SUM(OSRRefD21_8x_4)</f>
        <v>0</v>
      </c>
      <c r="I60" s="2">
        <f>SUM(OSRRefD21_8x_5)</f>
        <v>0</v>
      </c>
      <c r="J60" s="2">
        <f>SUM(OSRRefD21_8x_6)</f>
        <v>0</v>
      </c>
      <c r="K60" s="2">
        <f>SUM(OSRRefD21_8x_7)</f>
        <v>0</v>
      </c>
      <c r="L60" s="2">
        <f>SUM(OSRRefD21_8x_8)</f>
        <v>54.6</v>
      </c>
      <c r="M60" s="2">
        <f>SUM(OSRRefD21_8x_9)</f>
        <v>0</v>
      </c>
      <c r="N60" s="2">
        <f>SUM(OSRRefE21_8x_0)</f>
        <v>0</v>
      </c>
      <c r="O60" s="2">
        <f>SUM(OSRRefE21_8x_1)</f>
        <v>0</v>
      </c>
      <c r="Q60" s="3">
        <f>SUM(OSRRefD20_8x)+IFERROR(SUM(OSRRefE20_8x),0)</f>
        <v>1575.57</v>
      </c>
    </row>
    <row r="61" spans="1:17" s="42" customFormat="1" ht="15" hidden="1" customHeight="1" outlineLevel="1" x14ac:dyDescent="0.3">
      <c r="A61" s="34"/>
      <c r="B61" s="11" t="str">
        <f>CONCATENATE("          ","6279"," - ","GENERAL EXPENSE")</f>
        <v xml:space="preserve">          6279 - GENERAL EXPENSE</v>
      </c>
      <c r="C61" s="15"/>
      <c r="D61" s="3">
        <v>42.77</v>
      </c>
      <c r="E61" s="3">
        <v>1465.15</v>
      </c>
      <c r="F61" s="3"/>
      <c r="G61" s="3">
        <v>13.05</v>
      </c>
      <c r="H61" s="3"/>
      <c r="I61" s="3"/>
      <c r="J61" s="3"/>
      <c r="K61" s="3"/>
      <c r="L61" s="3">
        <v>54.6</v>
      </c>
      <c r="M61" s="3">
        <v>0</v>
      </c>
      <c r="N61" s="3"/>
      <c r="O61" s="3"/>
      <c r="P61" s="10"/>
      <c r="Q61" s="3">
        <f>SUM(OSRRefD21_8_0x)+IFERROR(SUM(OSRRefE21_8_0x),0)</f>
        <v>1575.57</v>
      </c>
    </row>
    <row r="62" spans="1:17" s="42" customFormat="1" ht="15" customHeight="1" collapsed="1" x14ac:dyDescent="0.3">
      <c r="A62" s="34"/>
      <c r="B62" s="15" t="str">
        <f>CONCATENATE("     ","Insurance                                         ")</f>
        <v xml:space="preserve">     Insurance                                         </v>
      </c>
      <c r="C62" s="15"/>
      <c r="D62" s="2">
        <f>SUM(OSRRefD21_9x_0)</f>
        <v>871.61</v>
      </c>
      <c r="E62" s="2">
        <f>SUM(OSRRefD21_9x_1)</f>
        <v>871.61</v>
      </c>
      <c r="F62" s="2">
        <f>SUM(OSRRefD21_9x_2)</f>
        <v>871.61</v>
      </c>
      <c r="G62" s="2">
        <f>SUM(OSRRefD21_9x_3)</f>
        <v>871.61</v>
      </c>
      <c r="H62" s="2">
        <f>SUM(OSRRefD21_9x_4)</f>
        <v>871.61</v>
      </c>
      <c r="I62" s="2">
        <f>SUM(OSRRefD21_9x_5)</f>
        <v>871.61</v>
      </c>
      <c r="J62" s="2">
        <f>SUM(OSRRefD21_9x_6)</f>
        <v>871.61</v>
      </c>
      <c r="K62" s="2">
        <f>SUM(OSRRefD21_9x_7)</f>
        <v>871.61</v>
      </c>
      <c r="L62" s="2">
        <f>SUM(OSRRefD21_9x_8)</f>
        <v>871.61</v>
      </c>
      <c r="M62" s="2">
        <f>SUM(OSRRefD21_9x_9)</f>
        <v>871.61</v>
      </c>
      <c r="N62" s="2">
        <f>SUM(OSRRefE21_9x_0)</f>
        <v>850</v>
      </c>
      <c r="O62" s="2">
        <f>SUM(OSRRefE21_9x_1)</f>
        <v>850</v>
      </c>
      <c r="Q62" s="3">
        <f>SUM(OSRRefD20_9x)+IFERROR(SUM(OSRRefE20_9x),0)</f>
        <v>10416.099999999999</v>
      </c>
    </row>
    <row r="63" spans="1:17" s="42" customFormat="1" ht="15" hidden="1" customHeight="1" outlineLevel="1" x14ac:dyDescent="0.3">
      <c r="A63" s="34"/>
      <c r="B63" s="11" t="str">
        <f>CONCATENATE("          ","6314"," - ","LIABILITY INSURANCE")</f>
        <v xml:space="preserve">          6314 - LIABILITY INSURANCE</v>
      </c>
      <c r="C63" s="15"/>
      <c r="D63" s="3">
        <v>871.61</v>
      </c>
      <c r="E63" s="3">
        <v>871.61</v>
      </c>
      <c r="F63" s="3">
        <v>871.61</v>
      </c>
      <c r="G63" s="3">
        <v>871.61</v>
      </c>
      <c r="H63" s="3">
        <v>871.61</v>
      </c>
      <c r="I63" s="3">
        <v>871.61</v>
      </c>
      <c r="J63" s="3">
        <v>871.61</v>
      </c>
      <c r="K63" s="3">
        <v>871.61</v>
      </c>
      <c r="L63" s="3">
        <v>871.61</v>
      </c>
      <c r="M63" s="3">
        <v>871.61</v>
      </c>
      <c r="N63" s="3">
        <v>850</v>
      </c>
      <c r="O63" s="3">
        <v>850</v>
      </c>
      <c r="P63" s="10"/>
      <c r="Q63" s="3">
        <f>SUM(OSRRefD21_9_0x)+IFERROR(SUM(OSRRefE21_9_0x),0)</f>
        <v>10416.099999999999</v>
      </c>
    </row>
    <row r="64" spans="1:17" s="42" customFormat="1" ht="15" customHeight="1" collapsed="1" x14ac:dyDescent="0.3">
      <c r="A64" s="34"/>
      <c r="B64" s="15" t="str">
        <f>CONCATENATE("     ","Interest                                          ")</f>
        <v xml:space="preserve">     Interest                                          </v>
      </c>
      <c r="C64" s="15"/>
      <c r="D64" s="2">
        <f>SUM(OSRRefD21_10x_0)</f>
        <v>7253</v>
      </c>
      <c r="E64" s="2">
        <f>SUM(OSRRefD21_10x_1)</f>
        <v>7253</v>
      </c>
      <c r="F64" s="2">
        <f>SUM(OSRRefD21_10x_2)</f>
        <v>7253</v>
      </c>
      <c r="G64" s="2">
        <f>SUM(OSRRefD21_10x_3)</f>
        <v>6739</v>
      </c>
      <c r="H64" s="2">
        <f>SUM(OSRRefD21_10x_4)</f>
        <v>7253</v>
      </c>
      <c r="I64" s="2">
        <f>SUM(OSRRefD21_10x_5)</f>
        <v>7253</v>
      </c>
      <c r="J64" s="2">
        <f>SUM(OSRRefD21_10x_6)</f>
        <v>7253</v>
      </c>
      <c r="K64" s="2">
        <f>SUM(OSRRefD21_10x_7)</f>
        <v>7253</v>
      </c>
      <c r="L64" s="2">
        <f>SUM(OSRRefD21_10x_8)</f>
        <v>7253</v>
      </c>
      <c r="M64" s="2">
        <f>SUM(OSRRefD21_10x_9)</f>
        <v>5629</v>
      </c>
      <c r="N64" s="2">
        <f>SUM(OSRRefE21_10x_0)</f>
        <v>6982</v>
      </c>
      <c r="O64" s="2">
        <f>SUM(OSRRefE21_10x_1)</f>
        <v>6982</v>
      </c>
      <c r="Q64" s="3">
        <f>SUM(OSRRefD20_10x)+IFERROR(SUM(OSRRefE20_10x),0)</f>
        <v>84356</v>
      </c>
    </row>
    <row r="65" spans="1:17" s="42" customFormat="1" ht="15" hidden="1" customHeight="1" outlineLevel="1" x14ac:dyDescent="0.3">
      <c r="A65" s="34"/>
      <c r="B65" s="11" t="str">
        <f>CONCATENATE("          ","6401"," - ","INTEREST EXPENSE")</f>
        <v xml:space="preserve">          6401 - INTEREST EXPENSE</v>
      </c>
      <c r="C65" s="15"/>
      <c r="D65" s="3">
        <v>7253</v>
      </c>
      <c r="E65" s="3">
        <v>7253</v>
      </c>
      <c r="F65" s="3">
        <v>7253</v>
      </c>
      <c r="G65" s="3">
        <v>6739</v>
      </c>
      <c r="H65" s="3">
        <v>7253</v>
      </c>
      <c r="I65" s="3">
        <v>7253</v>
      </c>
      <c r="J65" s="3">
        <v>7253</v>
      </c>
      <c r="K65" s="3">
        <v>7253</v>
      </c>
      <c r="L65" s="3">
        <v>7253</v>
      </c>
      <c r="M65" s="3">
        <v>5629</v>
      </c>
      <c r="N65" s="3">
        <v>6982</v>
      </c>
      <c r="O65" s="3">
        <v>6982</v>
      </c>
      <c r="P65" s="10"/>
      <c r="Q65" s="3">
        <f>SUM(OSRRefD21_10_0x)+IFERROR(SUM(OSRRefE21_10_0x),0)</f>
        <v>84356</v>
      </c>
    </row>
    <row r="66" spans="1:17" s="42" customFormat="1" ht="15" customHeight="1" collapsed="1" x14ac:dyDescent="0.3">
      <c r="A66" s="34"/>
      <c r="B66" s="15" t="str">
        <f>CONCATENATE("     ","Repair and Maintenance                            ")</f>
        <v xml:space="preserve">     Repair and Maintenance                            </v>
      </c>
      <c r="C66" s="15"/>
      <c r="D66" s="2">
        <f>SUM(OSRRefD21_11x_0)</f>
        <v>1171.83</v>
      </c>
      <c r="E66" s="2">
        <f>SUM(OSRRefD21_11x_1)</f>
        <v>7690.26</v>
      </c>
      <c r="F66" s="2">
        <f>SUM(OSRRefD21_11x_2)</f>
        <v>2333.0600000000004</v>
      </c>
      <c r="G66" s="2">
        <f>SUM(OSRRefD21_11x_3)</f>
        <v>4090.19</v>
      </c>
      <c r="H66" s="2">
        <f>SUM(OSRRefD21_11x_4)</f>
        <v>1153.32</v>
      </c>
      <c r="I66" s="2">
        <f>SUM(OSRRefD21_11x_5)</f>
        <v>4801</v>
      </c>
      <c r="J66" s="2">
        <f>SUM(OSRRefD21_11x_6)</f>
        <v>838.05</v>
      </c>
      <c r="K66" s="2">
        <f>SUM(OSRRefD21_11x_7)</f>
        <v>1803.3799999999999</v>
      </c>
      <c r="L66" s="2">
        <f>SUM(OSRRefD21_11x_8)</f>
        <v>1235.1399999999999</v>
      </c>
      <c r="M66" s="2">
        <f>SUM(OSRRefD21_11x_9)</f>
        <v>5230.8900000000003</v>
      </c>
      <c r="N66" s="2">
        <f>SUM(OSRRefE21_11x_0)</f>
        <v>500</v>
      </c>
      <c r="O66" s="2">
        <f>SUM(OSRRefE21_11x_1)</f>
        <v>500</v>
      </c>
      <c r="Q66" s="3">
        <f>SUM(OSRRefD20_11x)+IFERROR(SUM(OSRRefE20_11x),0)</f>
        <v>31347.120000000003</v>
      </c>
    </row>
    <row r="67" spans="1:17" s="42" customFormat="1" ht="15" hidden="1" customHeight="1" outlineLevel="1" x14ac:dyDescent="0.3">
      <c r="A67" s="34"/>
      <c r="B67" s="11" t="str">
        <f>CONCATENATE("          ","6373"," - ","MAINTENANCE CONTRACTS")</f>
        <v xml:space="preserve">          6373 - MAINTENANCE CONTRACTS</v>
      </c>
      <c r="C67" s="15"/>
      <c r="D67" s="3"/>
      <c r="E67" s="3"/>
      <c r="F67" s="3">
        <v>107.78</v>
      </c>
      <c r="G67" s="3">
        <v>439.36</v>
      </c>
      <c r="H67" s="3">
        <v>992</v>
      </c>
      <c r="I67" s="3">
        <v>1109.3399999999999</v>
      </c>
      <c r="J67" s="3">
        <v>441</v>
      </c>
      <c r="K67" s="3">
        <v>364.08</v>
      </c>
      <c r="L67" s="3">
        <v>700.03</v>
      </c>
      <c r="M67" s="3">
        <v>-5.08</v>
      </c>
      <c r="N67" s="3"/>
      <c r="O67" s="3"/>
      <c r="P67" s="10"/>
      <c r="Q67" s="3">
        <f>SUM(OSRRefD21_11_0x)+IFERROR(SUM(OSRRefE21_11_0x),0)</f>
        <v>4148.5099999999993</v>
      </c>
    </row>
    <row r="68" spans="1:17" s="42" customFormat="1" ht="15" hidden="1" customHeight="1" outlineLevel="1" x14ac:dyDescent="0.3">
      <c r="A68" s="34"/>
      <c r="B68" s="11" t="str">
        <f>CONCATENATE("          ","6375"," - ","OUTSIDE REPAIRS &amp; MAINTENANCE")</f>
        <v xml:space="preserve">          6375 - OUTSIDE REPAIRS &amp; MAINTENANCE</v>
      </c>
      <c r="C68" s="15"/>
      <c r="D68" s="3">
        <v>1171.83</v>
      </c>
      <c r="E68" s="3">
        <v>7690.26</v>
      </c>
      <c r="F68" s="3">
        <v>2225.2800000000002</v>
      </c>
      <c r="G68" s="3">
        <v>3650.83</v>
      </c>
      <c r="H68" s="3">
        <v>161.32</v>
      </c>
      <c r="I68" s="3">
        <v>3691.66</v>
      </c>
      <c r="J68" s="3">
        <v>397.05</v>
      </c>
      <c r="K68" s="3">
        <v>1439.3</v>
      </c>
      <c r="L68" s="3">
        <v>535.11</v>
      </c>
      <c r="M68" s="3">
        <v>5235.97</v>
      </c>
      <c r="N68" s="3">
        <v>500</v>
      </c>
      <c r="O68" s="3">
        <v>500</v>
      </c>
      <c r="P68" s="10"/>
      <c r="Q68" s="3">
        <f>SUM(OSRRefD21_11_1x)+IFERROR(SUM(OSRRefE21_11_1x),0)</f>
        <v>27198.61</v>
      </c>
    </row>
    <row r="69" spans="1:17" s="42" customFormat="1" ht="15" customHeight="1" collapsed="1" x14ac:dyDescent="0.3">
      <c r="A69" s="34"/>
      <c r="B69" s="15" t="str">
        <f>CONCATENATE("     ","Services                                          ")</f>
        <v xml:space="preserve">     Services                                          </v>
      </c>
      <c r="C69" s="15"/>
      <c r="D69" s="2">
        <f>SUM(OSRRefD21_12x_0)</f>
        <v>3919.13</v>
      </c>
      <c r="E69" s="2">
        <f>SUM(OSRRefD21_12x_1)</f>
        <v>11409.349999999999</v>
      </c>
      <c r="F69" s="2">
        <f>SUM(OSRRefD21_12x_2)</f>
        <v>3991.59</v>
      </c>
      <c r="G69" s="2">
        <f>SUM(OSRRefD21_12x_3)</f>
        <v>5101.8300000000008</v>
      </c>
      <c r="H69" s="2">
        <f>SUM(OSRRefD21_12x_4)</f>
        <v>4018.19</v>
      </c>
      <c r="I69" s="2">
        <f>SUM(OSRRefD21_12x_5)</f>
        <v>670.75</v>
      </c>
      <c r="J69" s="2">
        <f>SUM(OSRRefD21_12x_6)</f>
        <v>3545.12</v>
      </c>
      <c r="K69" s="2">
        <f>SUM(OSRRefD21_12x_7)</f>
        <v>8085.54</v>
      </c>
      <c r="L69" s="2">
        <f>SUM(OSRRefD21_12x_8)</f>
        <v>4799.03</v>
      </c>
      <c r="M69" s="2">
        <f>SUM(OSRRefD21_12x_9)</f>
        <v>5529.98</v>
      </c>
      <c r="N69" s="2">
        <f>SUM(OSRRefE21_12x_0)</f>
        <v>4857</v>
      </c>
      <c r="O69" s="2">
        <f>SUM(OSRRefE21_12x_1)</f>
        <v>4979</v>
      </c>
      <c r="Q69" s="3">
        <f>SUM(OSRRefD20_12x)+IFERROR(SUM(OSRRefE20_12x),0)</f>
        <v>60906.509999999995</v>
      </c>
    </row>
    <row r="70" spans="1:17" s="42" customFormat="1" ht="15" hidden="1" customHeight="1" outlineLevel="1" x14ac:dyDescent="0.3">
      <c r="A70" s="34"/>
      <c r="B70" s="11" t="str">
        <f>CONCATENATE("          ","6282"," - ","JANITORIAL/EXTERMINATOR EXPENS")</f>
        <v xml:space="preserve">          6282 - JANITORIAL/EXTERMINATOR EXPENS</v>
      </c>
      <c r="C70" s="15"/>
      <c r="D70" s="3"/>
      <c r="E70" s="3">
        <v>351.55</v>
      </c>
      <c r="F70" s="3">
        <v>351.55</v>
      </c>
      <c r="G70" s="3">
        <v>703.1</v>
      </c>
      <c r="H70" s="3">
        <v>351.55</v>
      </c>
      <c r="I70" s="3">
        <v>351.55</v>
      </c>
      <c r="J70" s="3"/>
      <c r="K70" s="3">
        <v>351.55</v>
      </c>
      <c r="L70" s="3">
        <v>351.55</v>
      </c>
      <c r="M70" s="3">
        <v>773.5</v>
      </c>
      <c r="N70" s="3">
        <v>328</v>
      </c>
      <c r="O70" s="3">
        <v>328</v>
      </c>
      <c r="P70" s="10"/>
      <c r="Q70" s="3">
        <f>SUM(OSRRefD21_12_0x)+IFERROR(SUM(OSRRefE21_12_0x),0)</f>
        <v>4241.9000000000005</v>
      </c>
    </row>
    <row r="71" spans="1:17" s="42" customFormat="1" ht="15" hidden="1" customHeight="1" outlineLevel="1" x14ac:dyDescent="0.3">
      <c r="A71" s="34"/>
      <c r="B71" s="11" t="str">
        <f>CONCATENATE("          ","6284"," - ","TRASH REMOVAL EXPENSE")</f>
        <v xml:space="preserve">          6284 - TRASH REMOVAL EXPENSE</v>
      </c>
      <c r="C71" s="15"/>
      <c r="D71" s="3"/>
      <c r="E71" s="3"/>
      <c r="F71" s="3"/>
      <c r="G71" s="3"/>
      <c r="H71" s="3"/>
      <c r="I71" s="3"/>
      <c r="J71" s="3"/>
      <c r="K71" s="3"/>
      <c r="L71" s="3"/>
      <c r="M71" s="3"/>
      <c r="N71" s="3">
        <v>1000</v>
      </c>
      <c r="O71" s="3">
        <v>1000</v>
      </c>
      <c r="P71" s="10"/>
      <c r="Q71" s="3">
        <f>SUM(OSRRefD21_12_1x)+IFERROR(SUM(OSRRefE21_12_1x),0)</f>
        <v>2000</v>
      </c>
    </row>
    <row r="72" spans="1:17" s="42" customFormat="1" ht="15" hidden="1" customHeight="1" outlineLevel="1" x14ac:dyDescent="0.3">
      <c r="A72" s="34"/>
      <c r="B72" s="11" t="str">
        <f>CONCATENATE("          ","6285"," - ","JANITORIAL SERVICES")</f>
        <v xml:space="preserve">          6285 - JANITORIAL SERVICES</v>
      </c>
      <c r="C72" s="15"/>
      <c r="D72" s="3">
        <v>3759.39</v>
      </c>
      <c r="E72" s="3">
        <v>10898.06</v>
      </c>
      <c r="F72" s="3">
        <v>3506.13</v>
      </c>
      <c r="G72" s="3">
        <v>3804.38</v>
      </c>
      <c r="H72" s="3">
        <v>3385.52</v>
      </c>
      <c r="I72" s="3"/>
      <c r="J72" s="3">
        <v>3385.52</v>
      </c>
      <c r="K72" s="3">
        <v>7414.79</v>
      </c>
      <c r="L72" s="3">
        <v>4060.07</v>
      </c>
      <c r="M72" s="3">
        <v>4101.2</v>
      </c>
      <c r="N72" s="3">
        <v>3041</v>
      </c>
      <c r="O72" s="3">
        <v>3041</v>
      </c>
      <c r="P72" s="10"/>
      <c r="Q72" s="3">
        <f>SUM(OSRRefD21_12_2x)+IFERROR(SUM(OSRRefE21_12_2x),0)</f>
        <v>50397.06</v>
      </c>
    </row>
    <row r="73" spans="1:17" s="42" customFormat="1" ht="15" hidden="1" customHeight="1" outlineLevel="1" x14ac:dyDescent="0.3">
      <c r="A73" s="34"/>
      <c r="B73" s="11" t="str">
        <f>CONCATENATE("          ","6286"," - ","LAUNDRY EXPENSE")</f>
        <v xml:space="preserve">          6286 - LAUNDRY EXPENSE</v>
      </c>
      <c r="C73" s="15"/>
      <c r="D73" s="3">
        <v>159.74</v>
      </c>
      <c r="E73" s="3">
        <v>159.74</v>
      </c>
      <c r="F73" s="3">
        <v>133.91</v>
      </c>
      <c r="G73" s="3">
        <v>594.35</v>
      </c>
      <c r="H73" s="3">
        <v>281.12</v>
      </c>
      <c r="I73" s="3">
        <v>319.2</v>
      </c>
      <c r="J73" s="3">
        <v>159.6</v>
      </c>
      <c r="K73" s="3">
        <v>319.2</v>
      </c>
      <c r="L73" s="3">
        <v>387.41</v>
      </c>
      <c r="M73" s="3">
        <v>655.28</v>
      </c>
      <c r="N73" s="3">
        <v>488</v>
      </c>
      <c r="O73" s="3">
        <v>610</v>
      </c>
      <c r="P73" s="10"/>
      <c r="Q73" s="3">
        <f>SUM(OSRRefD21_12_3x)+IFERROR(SUM(OSRRefE21_12_3x),0)</f>
        <v>4267.55</v>
      </c>
    </row>
    <row r="74" spans="1:17" s="42" customFormat="1" ht="15" customHeight="1" collapsed="1" x14ac:dyDescent="0.3">
      <c r="A74" s="34"/>
      <c r="B74" s="15" t="str">
        <f>CONCATENATE("     ","Subscriptions &amp; Dues                              ")</f>
        <v xml:space="preserve">     Subscriptions &amp; Dues                              </v>
      </c>
      <c r="C74" s="15"/>
      <c r="D74" s="2">
        <f>SUM(OSRRefD21_13x_0)</f>
        <v>130.66999999999999</v>
      </c>
      <c r="E74" s="2">
        <f>SUM(OSRRefD21_13x_1)</f>
        <v>593.59</v>
      </c>
      <c r="F74" s="2">
        <f>SUM(OSRRefD21_13x_2)</f>
        <v>204.93</v>
      </c>
      <c r="G74" s="2">
        <f>SUM(OSRRefD21_13x_3)</f>
        <v>451.06</v>
      </c>
      <c r="H74" s="2">
        <f>SUM(OSRRefD21_13x_4)</f>
        <v>327.64</v>
      </c>
      <c r="I74" s="2">
        <f>SUM(OSRRefD21_13x_5)</f>
        <v>802.63</v>
      </c>
      <c r="J74" s="2">
        <f>SUM(OSRRefD21_13x_6)</f>
        <v>327.63</v>
      </c>
      <c r="K74" s="2">
        <f>SUM(OSRRefD21_13x_7)</f>
        <v>389.38</v>
      </c>
      <c r="L74" s="2">
        <f>SUM(OSRRefD21_13x_8)</f>
        <v>339.47</v>
      </c>
      <c r="M74" s="2">
        <f>SUM(OSRRefD21_13x_9)</f>
        <v>327.64</v>
      </c>
      <c r="N74" s="2">
        <f>SUM(OSRRefE21_13x_0)</f>
        <v>380</v>
      </c>
      <c r="O74" s="2">
        <f>SUM(OSRRefE21_13x_1)</f>
        <v>380</v>
      </c>
      <c r="Q74" s="3">
        <f>SUM(OSRRefD20_13x)+IFERROR(SUM(OSRRefE20_13x),0)</f>
        <v>4654.6399999999994</v>
      </c>
    </row>
    <row r="75" spans="1:17" s="42" customFormat="1" ht="15" hidden="1" customHeight="1" outlineLevel="1" x14ac:dyDescent="0.3">
      <c r="A75" s="34"/>
      <c r="B75" s="11" t="str">
        <f>CONCATENATE("          ","6275"," - ","SUBSCRIPTIONS")</f>
        <v xml:space="preserve">          6275 - SUBSCRIPTIONS</v>
      </c>
      <c r="C75" s="15"/>
      <c r="D75" s="3">
        <v>130.66999999999999</v>
      </c>
      <c r="E75" s="3">
        <v>593.59</v>
      </c>
      <c r="F75" s="3">
        <v>204.93</v>
      </c>
      <c r="G75" s="3">
        <v>451.06</v>
      </c>
      <c r="H75" s="3">
        <v>327.64</v>
      </c>
      <c r="I75" s="3">
        <v>802.63</v>
      </c>
      <c r="J75" s="3">
        <v>327.63</v>
      </c>
      <c r="K75" s="3">
        <v>389.38</v>
      </c>
      <c r="L75" s="3">
        <v>339.47</v>
      </c>
      <c r="M75" s="3">
        <v>327.64</v>
      </c>
      <c r="N75" s="3">
        <v>380</v>
      </c>
      <c r="O75" s="3">
        <v>380</v>
      </c>
      <c r="P75" s="10"/>
      <c r="Q75" s="3">
        <f>SUM(OSRRefD21_13_0x)+IFERROR(SUM(OSRRefE21_13_0x),0)</f>
        <v>4654.6399999999994</v>
      </c>
    </row>
    <row r="76" spans="1:17" s="42" customFormat="1" ht="15" customHeight="1" collapsed="1" x14ac:dyDescent="0.3">
      <c r="A76" s="34"/>
      <c r="B76" s="15" t="str">
        <f>CONCATENATE("     ","Supplies                                          ")</f>
        <v xml:space="preserve">     Supplies                                          </v>
      </c>
      <c r="C76" s="15"/>
      <c r="D76" s="2">
        <f>SUM(OSRRefD21_14x_0)</f>
        <v>1208.58</v>
      </c>
      <c r="E76" s="2">
        <f>SUM(OSRRefD21_14x_1)</f>
        <v>1112.1500000000001</v>
      </c>
      <c r="F76" s="2">
        <f>SUM(OSRRefD21_14x_2)</f>
        <v>2359.3200000000002</v>
      </c>
      <c r="G76" s="2">
        <f>SUM(OSRRefD21_14x_3)</f>
        <v>3589.7700000000004</v>
      </c>
      <c r="H76" s="2">
        <f>SUM(OSRRefD21_14x_4)</f>
        <v>887.49</v>
      </c>
      <c r="I76" s="2">
        <f>SUM(OSRRefD21_14x_5)</f>
        <v>913.6</v>
      </c>
      <c r="J76" s="2">
        <f>SUM(OSRRefD21_14x_6)</f>
        <v>334.53999999999996</v>
      </c>
      <c r="K76" s="2">
        <f>SUM(OSRRefD21_14x_7)</f>
        <v>1572.1999999999998</v>
      </c>
      <c r="L76" s="2">
        <f>SUM(OSRRefD21_14x_8)</f>
        <v>1460.22</v>
      </c>
      <c r="M76" s="2">
        <f>SUM(OSRRefD21_14x_9)</f>
        <v>3105.34</v>
      </c>
      <c r="N76" s="2">
        <f>SUM(OSRRefE21_14x_0)</f>
        <v>200</v>
      </c>
      <c r="O76" s="2">
        <f>SUM(OSRRefE21_14x_1)</f>
        <v>200</v>
      </c>
      <c r="Q76" s="3">
        <f>SUM(OSRRefD20_14x)+IFERROR(SUM(OSRRefE20_14x),0)</f>
        <v>16943.21</v>
      </c>
    </row>
    <row r="77" spans="1:17" s="42" customFormat="1" ht="15" hidden="1" customHeight="1" outlineLevel="1" x14ac:dyDescent="0.3">
      <c r="A77" s="34"/>
      <c r="B77" s="11" t="str">
        <f>CONCATENATE("          ","6234"," - ","EXPENDABLE SUPPLIES &amp; EQUIPMEN")</f>
        <v xml:space="preserve">          6234 - EXPENDABLE SUPPLIES &amp; EQUIPMEN</v>
      </c>
      <c r="C77" s="15"/>
      <c r="D77" s="3"/>
      <c r="E77" s="3"/>
      <c r="F77" s="3"/>
      <c r="G77" s="3"/>
      <c r="H77" s="3"/>
      <c r="I77" s="3"/>
      <c r="J77" s="3">
        <v>57.77</v>
      </c>
      <c r="K77" s="3"/>
      <c r="L77" s="3"/>
      <c r="M77" s="3"/>
      <c r="N77" s="3"/>
      <c r="O77" s="3"/>
      <c r="P77" s="10"/>
      <c r="Q77" s="3">
        <f>SUM(OSRRefD21_14_0x)+IFERROR(SUM(OSRRefE21_14_0x),0)</f>
        <v>57.77</v>
      </c>
    </row>
    <row r="78" spans="1:17" s="42" customFormat="1" ht="15" hidden="1" customHeight="1" outlineLevel="1" x14ac:dyDescent="0.3">
      <c r="A78" s="34"/>
      <c r="B78" s="11" t="str">
        <f>CONCATENATE("          ","6235"," - ","COVID-19 EXPENSES")</f>
        <v xml:space="preserve">          6235 - COVID-19 EXPENSES</v>
      </c>
      <c r="C78" s="15"/>
      <c r="D78" s="3"/>
      <c r="E78" s="3"/>
      <c r="F78" s="3"/>
      <c r="G78" s="3"/>
      <c r="H78" s="3"/>
      <c r="I78" s="3"/>
      <c r="J78" s="3"/>
      <c r="K78" s="3"/>
      <c r="L78" s="3">
        <v>35.72</v>
      </c>
      <c r="M78" s="3"/>
      <c r="N78" s="3"/>
      <c r="O78" s="3"/>
      <c r="P78" s="10"/>
      <c r="Q78" s="3">
        <f>SUM(OSRRefD21_14_1x)+IFERROR(SUM(OSRRefE21_14_1x),0)</f>
        <v>35.72</v>
      </c>
    </row>
    <row r="79" spans="1:17" s="42" customFormat="1" ht="15" hidden="1" customHeight="1" outlineLevel="1" x14ac:dyDescent="0.3">
      <c r="A79" s="34"/>
      <c r="B79" s="11" t="str">
        <f>CONCATENATE("          ","6237"," - ","JANITORIAL SUPPLIES")</f>
        <v xml:space="preserve">          6237 - JANITORIAL SUPPLIES</v>
      </c>
      <c r="C79" s="15"/>
      <c r="D79" s="3">
        <v>1002.17</v>
      </c>
      <c r="E79" s="3">
        <v>200.36</v>
      </c>
      <c r="F79" s="3">
        <v>1597.32</v>
      </c>
      <c r="G79" s="3">
        <v>804.12</v>
      </c>
      <c r="H79" s="3">
        <v>583.25</v>
      </c>
      <c r="I79" s="3">
        <v>815.51</v>
      </c>
      <c r="J79" s="3"/>
      <c r="K79" s="3">
        <v>612.49</v>
      </c>
      <c r="L79" s="3">
        <v>414.52</v>
      </c>
      <c r="M79" s="3">
        <v>953.14</v>
      </c>
      <c r="N79" s="3"/>
      <c r="O79" s="3"/>
      <c r="P79" s="10"/>
      <c r="Q79" s="3">
        <f>SUM(OSRRefD21_14_2x)+IFERROR(SUM(OSRRefE21_14_2x),0)</f>
        <v>6982.88</v>
      </c>
    </row>
    <row r="80" spans="1:17" s="42" customFormat="1" ht="15" hidden="1" customHeight="1" outlineLevel="1" x14ac:dyDescent="0.3">
      <c r="A80" s="34"/>
      <c r="B80" s="11" t="str">
        <f>CONCATENATE("          ","6239"," - ","KITCHEN SUPPLIES")</f>
        <v xml:space="preserve">          6239 - KITCHEN SUPPLIES</v>
      </c>
      <c r="C80" s="15"/>
      <c r="D80" s="3">
        <v>32.03</v>
      </c>
      <c r="E80" s="3">
        <v>148.97999999999999</v>
      </c>
      <c r="F80" s="3">
        <v>737.2</v>
      </c>
      <c r="G80" s="3">
        <v>235.06</v>
      </c>
      <c r="H80" s="3">
        <v>186.11</v>
      </c>
      <c r="I80" s="3"/>
      <c r="J80" s="3">
        <v>31.95</v>
      </c>
      <c r="K80" s="3">
        <v>238.27</v>
      </c>
      <c r="L80" s="3">
        <v>877.18</v>
      </c>
      <c r="M80" s="3">
        <v>693.87</v>
      </c>
      <c r="N80" s="3"/>
      <c r="O80" s="3"/>
      <c r="P80" s="10"/>
      <c r="Q80" s="3">
        <f>SUM(OSRRefD21_14_3x)+IFERROR(SUM(OSRRefE21_14_3x),0)</f>
        <v>3180.65</v>
      </c>
    </row>
    <row r="81" spans="1:17" s="42" customFormat="1" ht="15" hidden="1" customHeight="1" outlineLevel="1" x14ac:dyDescent="0.3">
      <c r="A81" s="34"/>
      <c r="B81" s="11" t="str">
        <f>CONCATENATE("          ","6241"," - ","OFFICE EXPENSE")</f>
        <v xml:space="preserve">          6241 - OFFICE EXPENSE</v>
      </c>
      <c r="C81" s="15"/>
      <c r="D81" s="3">
        <v>9</v>
      </c>
      <c r="E81" s="3">
        <v>441.96</v>
      </c>
      <c r="F81" s="3">
        <v>24.8</v>
      </c>
      <c r="G81" s="3">
        <v>2550.59</v>
      </c>
      <c r="H81" s="3">
        <v>118.13</v>
      </c>
      <c r="I81" s="3">
        <v>98.09</v>
      </c>
      <c r="J81" s="3">
        <v>244.82</v>
      </c>
      <c r="K81" s="3">
        <v>151.79</v>
      </c>
      <c r="L81" s="3">
        <v>132.80000000000001</v>
      </c>
      <c r="M81" s="3">
        <v>8.81</v>
      </c>
      <c r="N81" s="3"/>
      <c r="O81" s="3"/>
      <c r="P81" s="10"/>
      <c r="Q81" s="3">
        <f>SUM(OSRRefD21_14_4x)+IFERROR(SUM(OSRRefE21_14_4x),0)</f>
        <v>3780.7900000000009</v>
      </c>
    </row>
    <row r="82" spans="1:17" s="42" customFormat="1" ht="15" hidden="1" customHeight="1" outlineLevel="1" x14ac:dyDescent="0.3">
      <c r="A82" s="34"/>
      <c r="B82" s="11" t="str">
        <f>CONCATENATE("          ","6243"," - ","PAPER SUPPLIES")</f>
        <v xml:space="preserve">          6243 - PAPER SUPPLIES</v>
      </c>
      <c r="C82" s="15"/>
      <c r="D82" s="3">
        <v>165.38</v>
      </c>
      <c r="E82" s="3">
        <v>320.85000000000002</v>
      </c>
      <c r="F82" s="3"/>
      <c r="G82" s="3"/>
      <c r="H82" s="3"/>
      <c r="I82" s="3"/>
      <c r="J82" s="3"/>
      <c r="K82" s="3">
        <v>569.65</v>
      </c>
      <c r="L82" s="3"/>
      <c r="M82" s="3">
        <v>1449.52</v>
      </c>
      <c r="N82" s="3">
        <v>200</v>
      </c>
      <c r="O82" s="3">
        <v>200</v>
      </c>
      <c r="P82" s="10"/>
      <c r="Q82" s="3">
        <f>SUM(OSRRefD21_14_5x)+IFERROR(SUM(OSRRefE21_14_5x),0)</f>
        <v>2905.4</v>
      </c>
    </row>
    <row r="83" spans="1:17" s="42" customFormat="1" ht="15" customHeight="1" collapsed="1" x14ac:dyDescent="0.3">
      <c r="A83" s="34"/>
      <c r="B83" s="15" t="str">
        <f>CONCATENATE("     ","Telephone/Data Lines                              ")</f>
        <v xml:space="preserve">     Telephone/Data Lines                              </v>
      </c>
      <c r="C83" s="15"/>
      <c r="D83" s="2">
        <f>SUM(OSRRefD21_15x_0)</f>
        <v>307</v>
      </c>
      <c r="E83" s="2">
        <f>SUM(OSRRefD21_15x_1)</f>
        <v>232</v>
      </c>
      <c r="F83" s="2">
        <f>SUM(OSRRefD21_15x_2)</f>
        <v>245.83</v>
      </c>
      <c r="G83" s="2">
        <f>SUM(OSRRefD21_15x_3)</f>
        <v>411.65</v>
      </c>
      <c r="H83" s="2">
        <f>SUM(OSRRefD21_15x_4)</f>
        <v>255.3</v>
      </c>
      <c r="I83" s="2">
        <f>SUM(OSRRefD21_15x_5)</f>
        <v>105.15</v>
      </c>
      <c r="J83" s="2">
        <f>SUM(OSRRefD21_15x_6)</f>
        <v>181.25</v>
      </c>
      <c r="K83" s="2">
        <f>SUM(OSRRefD21_15x_7)</f>
        <v>182</v>
      </c>
      <c r="L83" s="2">
        <f>SUM(OSRRefD21_15x_8)</f>
        <v>180.55</v>
      </c>
      <c r="M83" s="2">
        <f>SUM(OSRRefD21_15x_9)</f>
        <v>255.3</v>
      </c>
      <c r="N83" s="2">
        <f>SUM(OSRRefE21_15x_0)</f>
        <v>135</v>
      </c>
      <c r="O83" s="2">
        <f>SUM(OSRRefE21_15x_1)</f>
        <v>135</v>
      </c>
      <c r="Q83" s="3">
        <f>SUM(OSRRefD20_15x)+IFERROR(SUM(OSRRefE20_15x),0)</f>
        <v>2626.03</v>
      </c>
    </row>
    <row r="84" spans="1:17" s="42" customFormat="1" ht="15" hidden="1" customHeight="1" outlineLevel="1" x14ac:dyDescent="0.3">
      <c r="A84" s="34"/>
      <c r="B84" s="11" t="str">
        <f>CONCATENATE("          ","6303"," - ","DATA PHONE LINES")</f>
        <v xml:space="preserve">          6303 - DATA PHONE LINES</v>
      </c>
      <c r="C84" s="15"/>
      <c r="D84" s="3"/>
      <c r="E84" s="3"/>
      <c r="F84" s="3"/>
      <c r="G84" s="3"/>
      <c r="H84" s="3"/>
      <c r="I84" s="3"/>
      <c r="J84" s="3"/>
      <c r="K84" s="3"/>
      <c r="L84" s="3"/>
      <c r="M84" s="3"/>
      <c r="N84" s="3">
        <v>60</v>
      </c>
      <c r="O84" s="3">
        <v>60</v>
      </c>
      <c r="P84" s="10"/>
      <c r="Q84" s="3">
        <f>SUM(OSRRefD21_15_0x)+IFERROR(SUM(OSRRefE21_15_0x),0)</f>
        <v>120</v>
      </c>
    </row>
    <row r="85" spans="1:17" s="42" customFormat="1" ht="15" hidden="1" customHeight="1" outlineLevel="1" x14ac:dyDescent="0.3">
      <c r="A85" s="34"/>
      <c r="B85" s="11" t="str">
        <f>CONCATENATE("          ","6309"," - ","TELEPHONE")</f>
        <v xml:space="preserve">          6309 - TELEPHONE</v>
      </c>
      <c r="C85" s="15"/>
      <c r="D85" s="3">
        <v>307</v>
      </c>
      <c r="E85" s="3">
        <v>232</v>
      </c>
      <c r="F85" s="3">
        <v>245.83</v>
      </c>
      <c r="G85" s="3">
        <v>411.65</v>
      </c>
      <c r="H85" s="3">
        <v>255.3</v>
      </c>
      <c r="I85" s="3">
        <v>105.15</v>
      </c>
      <c r="J85" s="3">
        <v>181.25</v>
      </c>
      <c r="K85" s="3">
        <v>182</v>
      </c>
      <c r="L85" s="3">
        <v>180.55</v>
      </c>
      <c r="M85" s="3">
        <v>255.3</v>
      </c>
      <c r="N85" s="3">
        <v>75</v>
      </c>
      <c r="O85" s="3">
        <v>75</v>
      </c>
      <c r="P85" s="10"/>
      <c r="Q85" s="3">
        <f>SUM(OSRRefD21_15_1x)+IFERROR(SUM(OSRRefE21_15_1x),0)</f>
        <v>2506.0300000000002</v>
      </c>
    </row>
    <row r="86" spans="1:17" s="42" customFormat="1" ht="15" customHeight="1" collapsed="1" x14ac:dyDescent="0.3">
      <c r="A86" s="34"/>
      <c r="B86" s="15" t="str">
        <f>CONCATENATE("     ","Training                                          ")</f>
        <v xml:space="preserve">     Training                                          </v>
      </c>
      <c r="C86" s="15"/>
      <c r="D86" s="2">
        <f>SUM(OSRRefD21_16x_0)</f>
        <v>0</v>
      </c>
      <c r="E86" s="2">
        <f>SUM(OSRRefD21_16x_1)</f>
        <v>0</v>
      </c>
      <c r="F86" s="2">
        <f>SUM(OSRRefD21_16x_2)</f>
        <v>0</v>
      </c>
      <c r="G86" s="2">
        <f>SUM(OSRRefD21_16x_3)</f>
        <v>0</v>
      </c>
      <c r="H86" s="2">
        <f>SUM(OSRRefD21_16x_4)</f>
        <v>0</v>
      </c>
      <c r="I86" s="2">
        <f>SUM(OSRRefD21_16x_5)</f>
        <v>0</v>
      </c>
      <c r="J86" s="2">
        <f>SUM(OSRRefD21_16x_6)</f>
        <v>0</v>
      </c>
      <c r="K86" s="2">
        <f>SUM(OSRRefD21_16x_7)</f>
        <v>160</v>
      </c>
      <c r="L86" s="2">
        <f>SUM(OSRRefD21_16x_8)</f>
        <v>0</v>
      </c>
      <c r="M86" s="2">
        <f>SUM(OSRRefD21_16x_9)</f>
        <v>15.95</v>
      </c>
      <c r="N86" s="2">
        <f>SUM(OSRRefE21_16x_0)</f>
        <v>0</v>
      </c>
      <c r="O86" s="2">
        <f>SUM(OSRRefE21_16x_1)</f>
        <v>0</v>
      </c>
      <c r="Q86" s="3">
        <f>SUM(OSRRefD20_16x)+IFERROR(SUM(OSRRefE20_16x),0)</f>
        <v>175.95</v>
      </c>
    </row>
    <row r="87" spans="1:17" s="42" customFormat="1" ht="15" hidden="1" customHeight="1" outlineLevel="1" x14ac:dyDescent="0.3">
      <c r="A87" s="34"/>
      <c r="B87" s="11" t="str">
        <f>CONCATENATE("          ","6376"," - ","TRAINING")</f>
        <v xml:space="preserve">          6376 - TRAINING</v>
      </c>
      <c r="C87" s="15"/>
      <c r="D87" s="3"/>
      <c r="E87" s="3"/>
      <c r="F87" s="3"/>
      <c r="G87" s="3"/>
      <c r="H87" s="3"/>
      <c r="I87" s="3"/>
      <c r="J87" s="3"/>
      <c r="K87" s="3">
        <v>160</v>
      </c>
      <c r="L87" s="3"/>
      <c r="M87" s="3">
        <v>15.95</v>
      </c>
      <c r="N87" s="3"/>
      <c r="O87" s="3"/>
      <c r="P87" s="10"/>
      <c r="Q87" s="3">
        <f>SUM(OSRRefD21_16_0x)+IFERROR(SUM(OSRRefE21_16_0x),0)</f>
        <v>175.95</v>
      </c>
    </row>
    <row r="88" spans="1:17" s="42" customFormat="1" ht="15" customHeight="1" collapsed="1" x14ac:dyDescent="0.3">
      <c r="A88" s="34"/>
      <c r="B88" s="15" t="str">
        <f>CONCATENATE("     ","Utilities                                         ")</f>
        <v xml:space="preserve">     Utilities                                         </v>
      </c>
      <c r="C88" s="15"/>
      <c r="D88" s="2">
        <f>SUM(OSRRefD21_17x_0)</f>
        <v>2400</v>
      </c>
      <c r="E88" s="2">
        <f>SUM(OSRRefD21_17x_1)</f>
        <v>2400</v>
      </c>
      <c r="F88" s="2">
        <f>SUM(OSRRefD21_17x_2)</f>
        <v>2400</v>
      </c>
      <c r="G88" s="2">
        <f>SUM(OSRRefD21_17x_3)</f>
        <v>0</v>
      </c>
      <c r="H88" s="2">
        <f>SUM(OSRRefD21_17x_4)</f>
        <v>2400</v>
      </c>
      <c r="I88" s="2">
        <f>SUM(OSRRefD21_17x_5)</f>
        <v>2400</v>
      </c>
      <c r="J88" s="2">
        <f>SUM(OSRRefD21_17x_6)</f>
        <v>2400</v>
      </c>
      <c r="K88" s="2">
        <f>SUM(OSRRefD21_17x_7)</f>
        <v>2400</v>
      </c>
      <c r="L88" s="2">
        <f>SUM(OSRRefD21_17x_8)</f>
        <v>2400</v>
      </c>
      <c r="M88" s="2">
        <f>SUM(OSRRefD21_17x_9)</f>
        <v>2400</v>
      </c>
      <c r="N88" s="2">
        <f>SUM(OSRRefE21_17x_0)</f>
        <v>2417</v>
      </c>
      <c r="O88" s="2">
        <f>SUM(OSRRefE21_17x_1)</f>
        <v>2413</v>
      </c>
      <c r="Q88" s="3">
        <f>SUM(OSRRefD20_17x)+IFERROR(SUM(OSRRefE20_17x),0)</f>
        <v>26430</v>
      </c>
    </row>
    <row r="89" spans="1:17" s="42" customFormat="1" ht="15" hidden="1" customHeight="1" outlineLevel="1" x14ac:dyDescent="0.3">
      <c r="A89" s="34"/>
      <c r="B89" s="11" t="str">
        <f>CONCATENATE("          ","6274"," - ","UTILITIES")</f>
        <v xml:space="preserve">          6274 - UTILITIES</v>
      </c>
      <c r="C89" s="15"/>
      <c r="D89" s="3">
        <v>2400</v>
      </c>
      <c r="E89" s="3">
        <v>2400</v>
      </c>
      <c r="F89" s="3">
        <v>2400</v>
      </c>
      <c r="G89" s="3"/>
      <c r="H89" s="3">
        <v>2400</v>
      </c>
      <c r="I89" s="3">
        <v>2400</v>
      </c>
      <c r="J89" s="3">
        <v>2400</v>
      </c>
      <c r="K89" s="3">
        <v>2400</v>
      </c>
      <c r="L89" s="3">
        <v>2400</v>
      </c>
      <c r="M89" s="3">
        <v>2400</v>
      </c>
      <c r="N89" s="3">
        <v>2417</v>
      </c>
      <c r="O89" s="3">
        <v>2413</v>
      </c>
      <c r="P89" s="10"/>
      <c r="Q89" s="3">
        <f>SUM(OSRRefD21_17_0x)+IFERROR(SUM(OSRRefE21_17_0x),0)</f>
        <v>26430</v>
      </c>
    </row>
    <row r="90" spans="1:17" s="40" customFormat="1" ht="15" customHeight="1" x14ac:dyDescent="0.3">
      <c r="A90" s="22"/>
      <c r="B90" s="22"/>
      <c r="C90" s="2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Q90" s="2"/>
    </row>
    <row r="91" spans="1:17" s="39" customFormat="1" ht="15" customHeight="1" x14ac:dyDescent="0.3">
      <c r="A91" s="24"/>
      <c r="B91" s="17" t="s">
        <v>287</v>
      </c>
      <c r="C91" s="23"/>
      <c r="D91" s="4">
        <f>--2.33</f>
        <v>2.33</v>
      </c>
      <c r="E91" s="4">
        <f>0</f>
        <v>0</v>
      </c>
      <c r="F91" s="4">
        <f>0</f>
        <v>0</v>
      </c>
      <c r="G91" s="4">
        <f>0</f>
        <v>0</v>
      </c>
      <c r="H91" s="4">
        <f>0</f>
        <v>0</v>
      </c>
      <c r="I91" s="4">
        <f>0</f>
        <v>0</v>
      </c>
      <c r="J91" s="4">
        <f>0</f>
        <v>0</v>
      </c>
      <c r="K91" s="4">
        <f>--3.7</f>
        <v>3.7</v>
      </c>
      <c r="L91" s="4">
        <f>0</f>
        <v>0</v>
      </c>
      <c r="M91" s="4">
        <f>0</f>
        <v>0</v>
      </c>
      <c r="N91" s="4"/>
      <c r="O91" s="4"/>
      <c r="Q91" s="3">
        <f>SUM(OSRRefD23_0x)+IFERROR(SUM(OSRRefE23_0x),0)</f>
        <v>6.03</v>
      </c>
    </row>
    <row r="92" spans="1:17" ht="15" customHeight="1" x14ac:dyDescent="0.3">
      <c r="A92" s="6"/>
      <c r="B92" s="7"/>
      <c r="C92" s="7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Q92" s="4"/>
    </row>
    <row r="93" spans="1:17" s="37" customFormat="1" ht="15" customHeight="1" x14ac:dyDescent="0.3">
      <c r="A93" s="7"/>
      <c r="B93" s="18" t="s">
        <v>288</v>
      </c>
      <c r="C93" s="18"/>
      <c r="D93" s="9">
        <f t="shared" ref="D93:O93" si="2">IFERROR(+D21-D24+D91,0)</f>
        <v>-46410.609999999993</v>
      </c>
      <c r="E93" s="9">
        <f t="shared" si="2"/>
        <v>-51299.929999999993</v>
      </c>
      <c r="F93" s="9">
        <f t="shared" si="2"/>
        <v>-38372.969999999987</v>
      </c>
      <c r="G93" s="9">
        <f t="shared" si="2"/>
        <v>-32006.930000000008</v>
      </c>
      <c r="H93" s="9">
        <f t="shared" si="2"/>
        <v>-39440.800000000003</v>
      </c>
      <c r="I93" s="9">
        <f t="shared" si="2"/>
        <v>-45938.51</v>
      </c>
      <c r="J93" s="9">
        <f t="shared" si="2"/>
        <v>-57000</v>
      </c>
      <c r="K93" s="9">
        <f t="shared" si="2"/>
        <v>-4420.6400000000112</v>
      </c>
      <c r="L93" s="9">
        <f t="shared" si="2"/>
        <v>7193.6600000000035</v>
      </c>
      <c r="M93" s="9">
        <f t="shared" si="2"/>
        <v>27030.809999999998</v>
      </c>
      <c r="N93" s="9">
        <f t="shared" si="2"/>
        <v>-10647.390849212621</v>
      </c>
      <c r="O93" s="9">
        <f t="shared" si="2"/>
        <v>-28901.147065272919</v>
      </c>
      <c r="Q93" s="9">
        <f>IFERROR(+Q21-Q24+Q91,0)</f>
        <v>-320214.45791448536</v>
      </c>
    </row>
    <row r="94" spans="1:17" s="38" customFormat="1" ht="15" customHeight="1" x14ac:dyDescent="0.3">
      <c r="B94" s="17"/>
      <c r="C94" s="17"/>
      <c r="D94" s="5">
        <f t="shared" ref="D94:O94" si="3">IFERROR(D93/D10,0)</f>
        <v>-2.3555923137946766</v>
      </c>
      <c r="E94" s="5">
        <f t="shared" si="3"/>
        <v>-1.3896386988629867</v>
      </c>
      <c r="F94" s="5">
        <f t="shared" si="3"/>
        <v>-0.59664857786438708</v>
      </c>
      <c r="G94" s="5">
        <f t="shared" si="3"/>
        <v>-0.36180351653394943</v>
      </c>
      <c r="H94" s="5">
        <f t="shared" si="3"/>
        <v>-0.7228482870455899</v>
      </c>
      <c r="I94" s="5">
        <f t="shared" si="3"/>
        <v>-0.90593938055322465</v>
      </c>
      <c r="J94" s="5">
        <f t="shared" si="3"/>
        <v>-11.808429976010244</v>
      </c>
      <c r="K94" s="5">
        <f t="shared" si="3"/>
        <v>-3.6234522435020587E-2</v>
      </c>
      <c r="L94" s="5">
        <f t="shared" si="3"/>
        <v>4.8253647216433222E-2</v>
      </c>
      <c r="M94" s="5">
        <f t="shared" si="3"/>
        <v>0.15457969365201452</v>
      </c>
      <c r="N94" s="5">
        <f t="shared" si="3"/>
        <v>-0.14377679899011034</v>
      </c>
      <c r="O94" s="5">
        <f t="shared" si="3"/>
        <v>-1.0895403402425137</v>
      </c>
      <c r="P94" s="19"/>
      <c r="Q94" s="5">
        <f>IFERROR(Q93/Q10,0)</f>
        <v>-0.3697523507970677</v>
      </c>
    </row>
    <row r="95" spans="1:17" ht="15" customHeight="1" x14ac:dyDescent="0.3">
      <c r="A95" s="6"/>
      <c r="B95" s="7"/>
      <c r="C95" s="6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Q95" s="4"/>
    </row>
    <row r="96" spans="1:17" s="37" customFormat="1" ht="15" customHeight="1" x14ac:dyDescent="0.3">
      <c r="A96" s="26"/>
      <c r="B96" s="7" t="s">
        <v>289</v>
      </c>
      <c r="C96" s="7"/>
      <c r="D96" s="4">
        <v>9102.39</v>
      </c>
      <c r="E96" s="4">
        <v>-641.74</v>
      </c>
      <c r="F96" s="4">
        <v>6507.85</v>
      </c>
      <c r="G96" s="4">
        <v>9236.1200000000008</v>
      </c>
      <c r="H96" s="4">
        <v>7236.18</v>
      </c>
      <c r="I96" s="4">
        <v>6436.12</v>
      </c>
      <c r="J96" s="4">
        <v>4413.8900000000003</v>
      </c>
      <c r="K96" s="4">
        <v>12817.98</v>
      </c>
      <c r="L96" s="4">
        <v>15375.08</v>
      </c>
      <c r="M96" s="4">
        <v>16228.5</v>
      </c>
      <c r="N96" s="4">
        <v>9723</v>
      </c>
      <c r="O96" s="4">
        <v>-3834</v>
      </c>
      <c r="Q96" s="3">
        <f>SUM(OSRRefD28_0x)+IFERROR(SUM(OSRRefE28_0x),0)</f>
        <v>92601.37000000001</v>
      </c>
    </row>
    <row r="97" spans="1:17" ht="15" customHeight="1" x14ac:dyDescent="0.3">
      <c r="A97" s="6"/>
      <c r="B97" s="7"/>
      <c r="C97" s="7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Q97" s="4"/>
    </row>
    <row r="98" spans="1:17" s="37" customFormat="1" ht="15.75" customHeight="1" x14ac:dyDescent="0.3">
      <c r="A98" s="7"/>
      <c r="B98" s="18" t="s">
        <v>290</v>
      </c>
      <c r="C98" s="18"/>
      <c r="D98" s="8">
        <f t="shared" ref="D98:O98" si="4">IFERROR(+D93-D96,0)</f>
        <v>-55512.999999999993</v>
      </c>
      <c r="E98" s="8">
        <f t="shared" si="4"/>
        <v>-50658.189999999995</v>
      </c>
      <c r="F98" s="8">
        <f t="shared" si="4"/>
        <v>-44880.819999999985</v>
      </c>
      <c r="G98" s="8">
        <f t="shared" si="4"/>
        <v>-41243.05000000001</v>
      </c>
      <c r="H98" s="8">
        <f t="shared" si="4"/>
        <v>-46676.98</v>
      </c>
      <c r="I98" s="8">
        <f t="shared" si="4"/>
        <v>-52374.630000000005</v>
      </c>
      <c r="J98" s="8">
        <f t="shared" si="4"/>
        <v>-61413.89</v>
      </c>
      <c r="K98" s="8">
        <f t="shared" si="4"/>
        <v>-17238.62000000001</v>
      </c>
      <c r="L98" s="8">
        <f t="shared" si="4"/>
        <v>-8181.4199999999964</v>
      </c>
      <c r="M98" s="8">
        <f t="shared" si="4"/>
        <v>10802.309999999998</v>
      </c>
      <c r="N98" s="8">
        <f t="shared" si="4"/>
        <v>-20370.390849212621</v>
      </c>
      <c r="O98" s="8">
        <f t="shared" si="4"/>
        <v>-25067.147065272919</v>
      </c>
      <c r="Q98" s="8">
        <f>IFERROR(+Q93-Q96,0)</f>
        <v>-412815.82791448536</v>
      </c>
    </row>
    <row r="99" spans="1:17" ht="15.75" customHeight="1" x14ac:dyDescent="0.3">
      <c r="A99" s="6"/>
      <c r="B99" s="6"/>
      <c r="C99" s="6"/>
      <c r="D99" s="5">
        <f t="shared" ref="D99:O99" si="5">IFERROR(D98/D10,0)</f>
        <v>-2.8175883944572995</v>
      </c>
      <c r="E99" s="5">
        <f t="shared" si="5"/>
        <v>-1.3722549180545465</v>
      </c>
      <c r="F99" s="5">
        <f t="shared" si="5"/>
        <v>-0.69783697812255718</v>
      </c>
      <c r="G99" s="5">
        <f t="shared" si="5"/>
        <v>-0.4662078032034157</v>
      </c>
      <c r="H99" s="5">
        <f t="shared" si="5"/>
        <v>-0.85546883018248254</v>
      </c>
      <c r="I99" s="5">
        <f t="shared" si="5"/>
        <v>-1.032864145112768</v>
      </c>
      <c r="J99" s="5">
        <f t="shared" si="5"/>
        <v>-12.722835431919224</v>
      </c>
      <c r="K99" s="5">
        <f t="shared" si="5"/>
        <v>-0.14129926054571135</v>
      </c>
      <c r="L99" s="5">
        <f t="shared" si="5"/>
        <v>-5.4879345758552772E-2</v>
      </c>
      <c r="M99" s="5">
        <f t="shared" si="5"/>
        <v>6.1774610917471315E-2</v>
      </c>
      <c r="N99" s="5">
        <f t="shared" si="5"/>
        <v>-0.27507110727449358</v>
      </c>
      <c r="O99" s="5">
        <f t="shared" si="5"/>
        <v>-0.94500290527304975</v>
      </c>
      <c r="P99" s="19"/>
      <c r="Q99" s="5">
        <f>IFERROR(Q98/Q10,0)</f>
        <v>-0.47667935986320076</v>
      </c>
    </row>
    <row r="100" spans="1:17" ht="15" customHeight="1" x14ac:dyDescent="0.3">
      <c r="A100" s="6"/>
      <c r="B100" s="6"/>
      <c r="C100" s="6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Q100" s="4"/>
    </row>
    <row r="101" spans="1:17" ht="15" customHeight="1" x14ac:dyDescent="0.3">
      <c r="A101" s="6"/>
      <c r="B101" s="6"/>
      <c r="C101" s="6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Q101" s="4"/>
    </row>
    <row r="102" spans="1:17" s="37" customFormat="1" ht="15.75" customHeight="1" x14ac:dyDescent="0.3">
      <c r="A102" s="7"/>
      <c r="B102" s="18" t="s">
        <v>293</v>
      </c>
      <c r="C102" s="18"/>
      <c r="D102" s="8">
        <f t="shared" ref="D102:O102" si="6">IFERROR(SUM(D98:D101),0)</f>
        <v>-55515.81758839445</v>
      </c>
      <c r="E102" s="8">
        <f t="shared" si="6"/>
        <v>-50659.562254918048</v>
      </c>
      <c r="F102" s="8">
        <f t="shared" si="6"/>
        <v>-44881.517836978106</v>
      </c>
      <c r="G102" s="8">
        <f t="shared" si="6"/>
        <v>-41243.516207803215</v>
      </c>
      <c r="H102" s="8">
        <f t="shared" si="6"/>
        <v>-46677.835468830184</v>
      </c>
      <c r="I102" s="8">
        <f t="shared" si="6"/>
        <v>-52375.662864145117</v>
      </c>
      <c r="J102" s="8">
        <f t="shared" si="6"/>
        <v>-61426.612835431915</v>
      </c>
      <c r="K102" s="8">
        <f t="shared" si="6"/>
        <v>-17238.761299260557</v>
      </c>
      <c r="L102" s="8">
        <f t="shared" si="6"/>
        <v>-8181.4748793457547</v>
      </c>
      <c r="M102" s="8">
        <f t="shared" si="6"/>
        <v>10802.371774610916</v>
      </c>
      <c r="N102" s="8">
        <f t="shared" si="6"/>
        <v>-20370.665920319894</v>
      </c>
      <c r="O102" s="8">
        <f t="shared" si="6"/>
        <v>-25068.09206817819</v>
      </c>
      <c r="Q102" s="8">
        <f>IFERROR(SUM(Q98:Q101),0)</f>
        <v>-412816.30459384521</v>
      </c>
    </row>
    <row r="103" spans="1:17" ht="15.75" customHeight="1" x14ac:dyDescent="0.3">
      <c r="A103" s="6"/>
      <c r="C103" s="6"/>
      <c r="D103" s="5">
        <f t="shared" ref="D103:O103" si="7">IFERROR(D102/D10,0)</f>
        <v>-2.8177314024799354</v>
      </c>
      <c r="E103" s="5">
        <f t="shared" si="7"/>
        <v>-1.3722920903964744</v>
      </c>
      <c r="F103" s="5">
        <f t="shared" si="7"/>
        <v>-0.69784782855817828</v>
      </c>
      <c r="G103" s="5">
        <f t="shared" si="7"/>
        <v>-0.46621307317534477</v>
      </c>
      <c r="H103" s="5">
        <f t="shared" si="7"/>
        <v>-0.85548450872294113</v>
      </c>
      <c r="I103" s="5">
        <f t="shared" si="7"/>
        <v>-1.0328845139123615</v>
      </c>
      <c r="J103" s="5">
        <f t="shared" si="7"/>
        <v>-12.725471163696312</v>
      </c>
      <c r="K103" s="5">
        <f t="shared" si="7"/>
        <v>-0.14130041872896679</v>
      </c>
      <c r="L103" s="5">
        <f t="shared" si="7"/>
        <v>-5.4879713878340154E-2</v>
      </c>
      <c r="M103" s="5">
        <f t="shared" si="7"/>
        <v>6.1774964184740454E-2</v>
      </c>
      <c r="N103" s="5">
        <f t="shared" si="7"/>
        <v>-0.27507482169090397</v>
      </c>
      <c r="O103" s="5">
        <f t="shared" si="7"/>
        <v>-0.94503853080668743</v>
      </c>
      <c r="P103" s="19"/>
      <c r="Q103" s="5">
        <f>IFERROR(Q102/Q10,0)</f>
        <v>-0.47667991028592382</v>
      </c>
    </row>
    <row r="104" spans="1:17" ht="15" customHeight="1" x14ac:dyDescent="0.3">
      <c r="A104" s="6"/>
      <c r="B104" s="33">
        <v>44694.892891863426</v>
      </c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Q104" s="14"/>
    </row>
    <row r="105" spans="1:17" ht="15" customHeight="1" x14ac:dyDescent="0.3">
      <c r="A105" s="6"/>
      <c r="B105" s="31" t="s">
        <v>294</v>
      </c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Q105" s="14"/>
    </row>
    <row r="106" spans="1:17" ht="15" customHeight="1" x14ac:dyDescent="0.3">
      <c r="A106" s="6"/>
      <c r="B106" s="27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Q106" s="14"/>
    </row>
    <row r="107" spans="1:17" ht="15" customHeight="1" x14ac:dyDescent="0.3"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Q107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C1C85-F768-2E12-475E-B58A4B02C4B3}">
  <sheetPr>
    <tabColor rgb="FF92D050"/>
    <outlinePr summaryBelow="0" summaryRight="0"/>
    <pageSetUpPr fitToPage="1"/>
  </sheetPr>
  <dimension ref="A2:R96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","418"," - ","Nugget")</f>
        <v>Department 418 - Nugget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0</v>
      </c>
      <c r="E10" s="4">
        <f>SUM(OSRRefD11x_1)</f>
        <v>0</v>
      </c>
      <c r="F10" s="4">
        <f>SUM(OSRRefD11x_2)</f>
        <v>0</v>
      </c>
      <c r="G10" s="4">
        <f>SUM(OSRRefD11x_3)</f>
        <v>0</v>
      </c>
      <c r="H10" s="4">
        <f>SUM(OSRRefD11x_4)</f>
        <v>0</v>
      </c>
      <c r="I10" s="4">
        <f>SUM(OSRRefD11x_5)</f>
        <v>0</v>
      </c>
      <c r="J10" s="4">
        <f>SUM(OSRRefD11x_6)</f>
        <v>0</v>
      </c>
      <c r="K10" s="4">
        <f>SUM(OSRRefD11x_7)</f>
        <v>0</v>
      </c>
      <c r="L10" s="4">
        <f>SUM(OSRRefD11x_8)</f>
        <v>0</v>
      </c>
      <c r="M10" s="4">
        <f>SUM(OSRRefD11x_9)</f>
        <v>0</v>
      </c>
      <c r="N10" s="4">
        <f>SUM(OSRRefE11x_0)</f>
        <v>111906</v>
      </c>
      <c r="O10" s="4">
        <f>SUM(OSRRefE11x_1)</f>
        <v>43661</v>
      </c>
      <c r="P10" s="25"/>
      <c r="Q10" s="4">
        <f>SUM(OSRRefG11x)</f>
        <v>155567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","4000"," - ","TAXABLE SALES")</f>
        <v xml:space="preserve">          4000 - TAXABLE SALES</v>
      </c>
      <c r="C11" s="23"/>
      <c r="D11" s="3">
        <f>0</f>
        <v>0</v>
      </c>
      <c r="E11" s="3">
        <f>0</f>
        <v>0</v>
      </c>
      <c r="F11" s="3">
        <f>0</f>
        <v>0</v>
      </c>
      <c r="G11" s="3">
        <f>0</f>
        <v>0</v>
      </c>
      <c r="H11" s="3">
        <f>0</f>
        <v>0</v>
      </c>
      <c r="I11" s="3">
        <f>0</f>
        <v>0</v>
      </c>
      <c r="J11" s="3">
        <f>0</f>
        <v>0</v>
      </c>
      <c r="K11" s="3">
        <f>0</f>
        <v>0</v>
      </c>
      <c r="L11" s="3">
        <f>0</f>
        <v>0</v>
      </c>
      <c r="M11" s="3">
        <f>0</f>
        <v>0</v>
      </c>
      <c r="N11" s="3">
        <v>71956</v>
      </c>
      <c r="O11" s="3">
        <v>28074</v>
      </c>
      <c r="Q11" s="3">
        <f>SUM(OSRRefD11_0x)+IFERROR(SUM(OSRRefE11_0x),0)</f>
        <v>100030</v>
      </c>
    </row>
    <row r="12" spans="1:18" s="39" customFormat="1" ht="15" hidden="1" customHeight="1" outlineLevel="1" x14ac:dyDescent="0.3">
      <c r="A12" s="24"/>
      <c r="B12" s="11" t="str">
        <f>CONCATENATE("          ","4100"," - ","NON-TAXABLE SALES")</f>
        <v xml:space="preserve">          4100 - NON-TAXABLE SALES</v>
      </c>
      <c r="C12" s="23"/>
      <c r="D12" s="3">
        <f>0</f>
        <v>0</v>
      </c>
      <c r="E12" s="3">
        <f>0</f>
        <v>0</v>
      </c>
      <c r="F12" s="3">
        <f>0</f>
        <v>0</v>
      </c>
      <c r="G12" s="3">
        <f>0</f>
        <v>0</v>
      </c>
      <c r="H12" s="3">
        <f>0</f>
        <v>0</v>
      </c>
      <c r="I12" s="3">
        <f>0</f>
        <v>0</v>
      </c>
      <c r="J12" s="3">
        <f>0</f>
        <v>0</v>
      </c>
      <c r="K12" s="3">
        <f>0</f>
        <v>0</v>
      </c>
      <c r="L12" s="3">
        <f>0</f>
        <v>0</v>
      </c>
      <c r="M12" s="3">
        <f>0</f>
        <v>0</v>
      </c>
      <c r="N12" s="3">
        <v>39950</v>
      </c>
      <c r="O12" s="3">
        <v>15587</v>
      </c>
      <c r="Q12" s="3">
        <f>SUM(OSRRefD11_1x)+IFERROR(SUM(OSRRefE11_1x),0)</f>
        <v>55537</v>
      </c>
    </row>
    <row r="13" spans="1:18" ht="15" customHeight="1" x14ac:dyDescent="0.3">
      <c r="A13" s="6"/>
      <c r="B13" s="7"/>
      <c r="C13" s="6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9" customFormat="1" ht="15" customHeight="1" collapsed="1" x14ac:dyDescent="0.3">
      <c r="A14" s="24"/>
      <c r="B14" s="17" t="s">
        <v>284</v>
      </c>
      <c r="C14" s="23"/>
      <c r="D14" s="4">
        <f>SUM(OSRRefD14x_0)</f>
        <v>0</v>
      </c>
      <c r="E14" s="4">
        <f>SUM(OSRRefD14x_1)</f>
        <v>-710.88</v>
      </c>
      <c r="F14" s="4">
        <f>SUM(OSRRefD14x_2)</f>
        <v>0</v>
      </c>
      <c r="G14" s="4">
        <f>SUM(OSRRefD14x_3)</f>
        <v>1837</v>
      </c>
      <c r="H14" s="4">
        <f>SUM(OSRRefD14x_4)</f>
        <v>0</v>
      </c>
      <c r="I14" s="4">
        <f>SUM(OSRRefD14x_5)</f>
        <v>223.3</v>
      </c>
      <c r="J14" s="4">
        <f>SUM(OSRRefD14x_6)</f>
        <v>0</v>
      </c>
      <c r="K14" s="4">
        <f>SUM(OSRRefD14x_7)</f>
        <v>0</v>
      </c>
      <c r="L14" s="4">
        <f>SUM(OSRRefD14x_8)</f>
        <v>0</v>
      </c>
      <c r="M14" s="4">
        <f>SUM(OSRRefD14x_9)</f>
        <v>-181.4</v>
      </c>
      <c r="N14" s="4">
        <f>SUM(OSRRefE14x_0)</f>
        <v>38048</v>
      </c>
      <c r="O14" s="4">
        <f>SUM(OSRRefE14x_1)</f>
        <v>14845</v>
      </c>
      <c r="Q14" s="4">
        <f>SUM(OSRRefG14x)</f>
        <v>54061.02</v>
      </c>
    </row>
    <row r="15" spans="1:18" s="39" customFormat="1" ht="15" hidden="1" customHeight="1" outlineLevel="1" x14ac:dyDescent="0.3">
      <c r="A15" s="24"/>
      <c r="B15" s="11" t="str">
        <f>CONCATENATE("          ","5000"," - ","PURCHASES @ COST")</f>
        <v xml:space="preserve">          5000 - PURCHASES @ COST</v>
      </c>
      <c r="C15" s="23"/>
      <c r="D15" s="3"/>
      <c r="E15" s="3"/>
      <c r="F15" s="3"/>
      <c r="G15" s="3"/>
      <c r="H15" s="3"/>
      <c r="I15" s="3"/>
      <c r="J15" s="3"/>
      <c r="K15" s="3"/>
      <c r="L15" s="3"/>
      <c r="M15" s="3"/>
      <c r="N15" s="3">
        <v>38048</v>
      </c>
      <c r="O15" s="3">
        <v>14845</v>
      </c>
      <c r="Q15" s="3">
        <f>SUM(OSRRefD14_0x)+IFERROR(SUM(OSRRefE14_0x),0)</f>
        <v>52893</v>
      </c>
    </row>
    <row r="16" spans="1:18" s="39" customFormat="1" ht="15" hidden="1" customHeight="1" outlineLevel="1" x14ac:dyDescent="0.3">
      <c r="A16" s="24"/>
      <c r="B16" s="11" t="str">
        <f>CONCATENATE("          ","5053"," - ","PURCHASES @ COST-FOOD")</f>
        <v xml:space="preserve">          5053 - PURCHASES @ COST-FOOD</v>
      </c>
      <c r="C16" s="23"/>
      <c r="D16" s="3"/>
      <c r="E16" s="3">
        <v>-710.88</v>
      </c>
      <c r="F16" s="3"/>
      <c r="G16" s="3">
        <v>1837</v>
      </c>
      <c r="H16" s="3"/>
      <c r="I16" s="3">
        <v>223.3</v>
      </c>
      <c r="J16" s="3"/>
      <c r="K16" s="3"/>
      <c r="L16" s="3"/>
      <c r="M16" s="3">
        <v>-181.4</v>
      </c>
      <c r="N16" s="3"/>
      <c r="O16" s="3"/>
      <c r="Q16" s="3">
        <f>SUM(OSRRefD14_1x)+IFERROR(SUM(OSRRefE14_1x),0)</f>
        <v>1168.0199999999998</v>
      </c>
    </row>
    <row r="17" spans="1:17" ht="15" customHeight="1" x14ac:dyDescent="0.3">
      <c r="A17" s="6"/>
      <c r="B17" s="7"/>
      <c r="C17" s="7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Q17" s="4"/>
    </row>
    <row r="18" spans="1:17" s="37" customFormat="1" ht="15" customHeight="1" x14ac:dyDescent="0.3">
      <c r="A18" s="7"/>
      <c r="B18" s="18" t="s">
        <v>285</v>
      </c>
      <c r="C18" s="18"/>
      <c r="D18" s="9">
        <f t="shared" ref="D18:O18" si="0">IFERROR(+D10-D14,0)</f>
        <v>0</v>
      </c>
      <c r="E18" s="9">
        <f t="shared" si="0"/>
        <v>710.88</v>
      </c>
      <c r="F18" s="9">
        <f t="shared" si="0"/>
        <v>0</v>
      </c>
      <c r="G18" s="9">
        <f t="shared" si="0"/>
        <v>-1837</v>
      </c>
      <c r="H18" s="9">
        <f t="shared" si="0"/>
        <v>0</v>
      </c>
      <c r="I18" s="9">
        <f t="shared" si="0"/>
        <v>-223.3</v>
      </c>
      <c r="J18" s="9">
        <f t="shared" si="0"/>
        <v>0</v>
      </c>
      <c r="K18" s="9">
        <f t="shared" si="0"/>
        <v>0</v>
      </c>
      <c r="L18" s="9">
        <f t="shared" si="0"/>
        <v>0</v>
      </c>
      <c r="M18" s="9">
        <f t="shared" si="0"/>
        <v>181.4</v>
      </c>
      <c r="N18" s="9">
        <f t="shared" si="0"/>
        <v>73858</v>
      </c>
      <c r="O18" s="9">
        <f t="shared" si="0"/>
        <v>28816</v>
      </c>
      <c r="Q18" s="9">
        <f>IFERROR(+Q10-Q14,0)</f>
        <v>101505.98000000001</v>
      </c>
    </row>
    <row r="19" spans="1:17" s="38" customFormat="1" ht="15" customHeight="1" x14ac:dyDescent="0.3">
      <c r="B19" s="17"/>
      <c r="C19" s="17"/>
      <c r="D19" s="5">
        <f t="shared" ref="D19:O19" si="1">IFERROR(D18/D10,0)</f>
        <v>0</v>
      </c>
      <c r="E19" s="5">
        <f t="shared" si="1"/>
        <v>0</v>
      </c>
      <c r="F19" s="5">
        <f t="shared" si="1"/>
        <v>0</v>
      </c>
      <c r="G19" s="5">
        <f t="shared" si="1"/>
        <v>0</v>
      </c>
      <c r="H19" s="5">
        <f t="shared" si="1"/>
        <v>0</v>
      </c>
      <c r="I19" s="5">
        <f t="shared" si="1"/>
        <v>0</v>
      </c>
      <c r="J19" s="5">
        <f t="shared" si="1"/>
        <v>0</v>
      </c>
      <c r="K19" s="5">
        <f t="shared" si="1"/>
        <v>0</v>
      </c>
      <c r="L19" s="5">
        <f t="shared" si="1"/>
        <v>0</v>
      </c>
      <c r="M19" s="5">
        <f t="shared" si="1"/>
        <v>0</v>
      </c>
      <c r="N19" s="5">
        <f t="shared" si="1"/>
        <v>0.66000035744285379</v>
      </c>
      <c r="O19" s="5">
        <f t="shared" si="1"/>
        <v>0.65999404502874415</v>
      </c>
      <c r="P19" s="19"/>
      <c r="Q19" s="5">
        <f>IFERROR(Q18/Q10,0)</f>
        <v>0.65249043820347508</v>
      </c>
    </row>
    <row r="20" spans="1:17" ht="15" customHeight="1" x14ac:dyDescent="0.3">
      <c r="A20" s="6"/>
      <c r="B20" s="7"/>
      <c r="C20" s="6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Q20" s="2"/>
    </row>
    <row r="21" spans="1:17" s="37" customFormat="1" ht="15" customHeight="1" x14ac:dyDescent="0.3">
      <c r="A21" s="7"/>
      <c r="B21" s="17" t="s">
        <v>286</v>
      </c>
      <c r="C21" s="7"/>
      <c r="D21" s="12" cm="1">
        <f t="array" ref="D21">SUM(OSRRefD20x_0)</f>
        <v>21761.300000000003</v>
      </c>
      <c r="E21" s="12" cm="1">
        <f t="array" ref="E21">SUM(OSRRefD20x_1)</f>
        <v>25441.59</v>
      </c>
      <c r="F21" s="12" cm="1">
        <f t="array" ref="F21">SUM(OSRRefD20x_2)</f>
        <v>14035.579999999998</v>
      </c>
      <c r="G21" s="12" cm="1">
        <f t="array" ref="G21">SUM(OSRRefD20x_3)</f>
        <v>12695.1</v>
      </c>
      <c r="H21" s="12" cm="1">
        <f t="array" ref="H21">SUM(OSRRefD20x_4)</f>
        <v>10905.939999999999</v>
      </c>
      <c r="I21" s="12" cm="1">
        <f t="array" ref="I21">SUM(OSRRefD20x_5)</f>
        <v>17424.939999999999</v>
      </c>
      <c r="J21" s="12" cm="1">
        <f t="array" ref="J21">SUM(OSRRefD20x_6)</f>
        <v>17879.699999999993</v>
      </c>
      <c r="K21" s="12" cm="1">
        <f t="array" ref="K21">SUM(OSRRefD20x_7)</f>
        <v>17149.019999999997</v>
      </c>
      <c r="L21" s="12" cm="1">
        <f t="array" ref="L21">SUM(OSRRefD20x_8)</f>
        <v>16559.199999999997</v>
      </c>
      <c r="M21" s="12" cm="1">
        <f t="array" ref="M21">SUM(OSRRefD20x_9)</f>
        <v>19380.29</v>
      </c>
      <c r="N21" s="12" cm="1">
        <f t="array" ref="N21">SUM(OSRRefE20x_0)</f>
        <v>54112.58574618461</v>
      </c>
      <c r="O21" s="12" cm="1">
        <f t="array" ref="O21">SUM(OSRRefE20x_1)</f>
        <v>44929.69979997538</v>
      </c>
      <c r="Q21" s="12" cm="1">
        <f t="array" ref="Q21">SUM(OSRRefG20x)</f>
        <v>272274.94554616004</v>
      </c>
    </row>
    <row r="22" spans="1:17" s="42" customFormat="1" ht="15" customHeight="1" collapsed="1" x14ac:dyDescent="0.3">
      <c r="A22" s="34"/>
      <c r="B22" s="15" t="str">
        <f>CONCATENATE("     ","*Benefits                                         ")</f>
        <v xml:space="preserve">     *Benefits                                         </v>
      </c>
      <c r="C22" s="15"/>
      <c r="D22" s="2">
        <f>SUM(OSRRefD21_0x_0)</f>
        <v>5008.0300000000007</v>
      </c>
      <c r="E22" s="2">
        <f>SUM(OSRRefD21_0x_1)</f>
        <v>5331.76</v>
      </c>
      <c r="F22" s="2">
        <f>SUM(OSRRefD21_0x_2)</f>
        <v>4271.13</v>
      </c>
      <c r="G22" s="2">
        <f>SUM(OSRRefD21_0x_3)</f>
        <v>122.28</v>
      </c>
      <c r="H22" s="2">
        <f>SUM(OSRRefD21_0x_4)</f>
        <v>480.97</v>
      </c>
      <c r="I22" s="2">
        <f>SUM(OSRRefD21_0x_5)</f>
        <v>1745.8</v>
      </c>
      <c r="J22" s="2">
        <f>SUM(OSRRefD21_0x_6)</f>
        <v>2372.7999999999997</v>
      </c>
      <c r="K22" s="2">
        <f>SUM(OSRRefD21_0x_7)</f>
        <v>2392.87</v>
      </c>
      <c r="L22" s="2">
        <f>SUM(OSRRefD21_0x_8)</f>
        <v>2441.5899999999997</v>
      </c>
      <c r="M22" s="2">
        <f>SUM(OSRRefD21_0x_9)</f>
        <v>2910.92</v>
      </c>
      <c r="N22" s="2">
        <f>SUM(OSRRefE21_0x_0)</f>
        <v>11369.500684646151</v>
      </c>
      <c r="O22" s="2">
        <f>SUM(OSRRefE21_0x_1)</f>
        <v>11695.126138436921</v>
      </c>
      <c r="Q22" s="3">
        <f>SUM(OSRRefD20_0x)+IFERROR(SUM(OSRRefE20_0x),0)</f>
        <v>50142.77682308307</v>
      </c>
    </row>
    <row r="23" spans="1:17" s="42" customFormat="1" ht="15" hidden="1" customHeight="1" outlineLevel="1" x14ac:dyDescent="0.3">
      <c r="A23" s="34"/>
      <c r="B23" s="11" t="str">
        <f>CONCATENATE("          ","6111"," - ","F.I.C.A.")</f>
        <v xml:space="preserve">          6111 - F.I.C.A.</v>
      </c>
      <c r="C23" s="15"/>
      <c r="D23" s="3">
        <v>512.97</v>
      </c>
      <c r="E23" s="3">
        <v>702.48</v>
      </c>
      <c r="F23" s="3">
        <v>440.62</v>
      </c>
      <c r="G23" s="3">
        <v>122.28</v>
      </c>
      <c r="H23" s="3">
        <v>139.52000000000001</v>
      </c>
      <c r="I23" s="3">
        <v>424.03</v>
      </c>
      <c r="J23" s="3">
        <v>429.42</v>
      </c>
      <c r="K23" s="3">
        <v>429.42</v>
      </c>
      <c r="L23" s="3">
        <v>429.42</v>
      </c>
      <c r="M23" s="3">
        <v>647</v>
      </c>
      <c r="N23" s="3">
        <v>1189.64519233846</v>
      </c>
      <c r="O23" s="3">
        <v>1182.9527968984601</v>
      </c>
      <c r="P23" s="10"/>
      <c r="Q23" s="3">
        <f>SUM(OSRRefD21_0_0x)+IFERROR(SUM(OSRRefE21_0_0x),0)</f>
        <v>6649.7579892369195</v>
      </c>
    </row>
    <row r="24" spans="1:17" s="42" customFormat="1" ht="15" hidden="1" customHeight="1" outlineLevel="1" x14ac:dyDescent="0.3">
      <c r="A24" s="34"/>
      <c r="B24" s="11" t="str">
        <f>CONCATENATE("          ","6112"," - ","COMPENSATION INSURANCE")</f>
        <v xml:space="preserve">          6112 - COMPENSATION INSURANCE</v>
      </c>
      <c r="C24" s="15"/>
      <c r="D24" s="3">
        <v>240.59</v>
      </c>
      <c r="E24" s="3">
        <v>341.54</v>
      </c>
      <c r="F24" s="3">
        <v>188.35</v>
      </c>
      <c r="G24" s="3"/>
      <c r="H24" s="3">
        <v>29.9</v>
      </c>
      <c r="I24" s="3">
        <v>199.39</v>
      </c>
      <c r="J24" s="3">
        <v>202.09</v>
      </c>
      <c r="K24" s="3">
        <v>202.09</v>
      </c>
      <c r="L24" s="3">
        <v>210.7</v>
      </c>
      <c r="M24" s="3">
        <v>237.03</v>
      </c>
      <c r="N24" s="3">
        <v>988.59578630769204</v>
      </c>
      <c r="O24" s="3">
        <v>775.29807310769195</v>
      </c>
      <c r="P24" s="10"/>
      <c r="Q24" s="3">
        <f>SUM(OSRRefD21_0_1x)+IFERROR(SUM(OSRRefE21_0_1x),0)</f>
        <v>3615.5738594153836</v>
      </c>
    </row>
    <row r="25" spans="1:17" s="42" customFormat="1" ht="15" hidden="1" customHeight="1" outlineLevel="1" x14ac:dyDescent="0.3">
      <c r="A25" s="34"/>
      <c r="B25" s="11" t="str">
        <f>CONCATENATE("          ","6113"," - ","GROUP INSURANCE")</f>
        <v xml:space="preserve">          6113 - GROUP INSURANCE</v>
      </c>
      <c r="C25" s="15"/>
      <c r="D25" s="3">
        <v>3353.46</v>
      </c>
      <c r="E25" s="3">
        <v>3353.46</v>
      </c>
      <c r="F25" s="3">
        <v>3346.16</v>
      </c>
      <c r="G25" s="3"/>
      <c r="H25" s="3"/>
      <c r="I25" s="3">
        <v>44.18</v>
      </c>
      <c r="J25" s="3">
        <v>652.17999999999995</v>
      </c>
      <c r="K25" s="3">
        <v>652.17999999999995</v>
      </c>
      <c r="L25" s="3">
        <v>652.17999999999995</v>
      </c>
      <c r="M25" s="3">
        <v>652.17999999999995</v>
      </c>
      <c r="N25" s="3">
        <v>6307.5384615384601</v>
      </c>
      <c r="O25" s="3">
        <v>7046.3692307692299</v>
      </c>
      <c r="P25" s="10"/>
      <c r="Q25" s="3">
        <f>SUM(OSRRefD21_0_2x)+IFERROR(SUM(OSRRefE21_0_2x),0)</f>
        <v>26059.88769230769</v>
      </c>
    </row>
    <row r="26" spans="1:17" s="42" customFormat="1" ht="15" hidden="1" customHeight="1" outlineLevel="1" x14ac:dyDescent="0.3">
      <c r="A26" s="34"/>
      <c r="B26" s="11" t="str">
        <f>CONCATENATE("          ","6114"," - ","STATE UNEMPLOYMENT INSURANCE")</f>
        <v xml:space="preserve">          6114 - STATE UNEMPLOYMENT INSURANCE</v>
      </c>
      <c r="C26" s="15"/>
      <c r="D26" s="3">
        <v>17.43</v>
      </c>
      <c r="E26" s="3">
        <v>24.67</v>
      </c>
      <c r="F26" s="3">
        <v>14.91</v>
      </c>
      <c r="G26" s="3"/>
      <c r="H26" s="3">
        <v>2.16</v>
      </c>
      <c r="I26" s="3">
        <v>14.4</v>
      </c>
      <c r="J26" s="3">
        <v>14.6</v>
      </c>
      <c r="K26" s="3">
        <v>14.6</v>
      </c>
      <c r="L26" s="3">
        <v>15.22</v>
      </c>
      <c r="M26" s="3">
        <v>17.12</v>
      </c>
      <c r="N26" s="3">
        <v>54.777075230769199</v>
      </c>
      <c r="O26" s="3">
        <v>42.958468430769202</v>
      </c>
      <c r="P26" s="10"/>
      <c r="Q26" s="3">
        <f>SUM(OSRRefD21_0_3x)+IFERROR(SUM(OSRRefE21_0_3x),0)</f>
        <v>232.84554366153839</v>
      </c>
    </row>
    <row r="27" spans="1:17" s="42" customFormat="1" ht="15" hidden="1" customHeight="1" outlineLevel="1" x14ac:dyDescent="0.3">
      <c r="A27" s="34"/>
      <c r="B27" s="11" t="str">
        <f>CONCATENATE("          ","6115"," - ","P.E.R.S.")</f>
        <v xml:space="preserve">          6115 - P.E.R.S.</v>
      </c>
      <c r="C27" s="15"/>
      <c r="D27" s="3"/>
      <c r="E27" s="3"/>
      <c r="F27" s="3"/>
      <c r="G27" s="3"/>
      <c r="H27" s="3">
        <v>63.05</v>
      </c>
      <c r="I27" s="3">
        <v>420.37</v>
      </c>
      <c r="J27" s="3">
        <v>420.37</v>
      </c>
      <c r="K27" s="3">
        <v>399.36</v>
      </c>
      <c r="L27" s="3">
        <v>420.37</v>
      </c>
      <c r="M27" s="3">
        <v>609.54</v>
      </c>
      <c r="N27" s="3">
        <v>424.70769230769201</v>
      </c>
      <c r="O27" s="3">
        <v>424.70769230769201</v>
      </c>
      <c r="P27" s="10"/>
      <c r="Q27" s="3">
        <f>SUM(OSRRefD21_0_4x)+IFERROR(SUM(OSRRefE21_0_4x),0)</f>
        <v>3182.475384615384</v>
      </c>
    </row>
    <row r="28" spans="1:17" s="42" customFormat="1" ht="15" hidden="1" customHeight="1" outlineLevel="1" x14ac:dyDescent="0.3">
      <c r="A28" s="34"/>
      <c r="B28" s="11" t="str">
        <f>CONCATENATE("          ","6116"," - ","EDUCATIONAL BENEFITS")</f>
        <v xml:space="preserve">          6116 - EDUCATIONAL BENEFITS</v>
      </c>
      <c r="C28" s="15"/>
      <c r="D28" s="3"/>
      <c r="E28" s="3"/>
      <c r="F28" s="3"/>
      <c r="G28" s="3"/>
      <c r="H28" s="3"/>
      <c r="I28" s="3"/>
      <c r="J28" s="3"/>
      <c r="K28" s="3"/>
      <c r="L28" s="3"/>
      <c r="M28" s="3"/>
      <c r="N28" s="3">
        <v>0</v>
      </c>
      <c r="O28" s="3">
        <v>0</v>
      </c>
      <c r="P28" s="10"/>
      <c r="Q28" s="3">
        <f>SUM(OSRRefD21_0_5x)+IFERROR(SUM(OSRRefE21_0_5x),0)</f>
        <v>0</v>
      </c>
    </row>
    <row r="29" spans="1:17" s="42" customFormat="1" ht="15" hidden="1" customHeight="1" outlineLevel="1" x14ac:dyDescent="0.3">
      <c r="A29" s="34"/>
      <c r="B29" s="11" t="str">
        <f>CONCATENATE("          ","6118"," - ","VACATION")</f>
        <v xml:space="preserve">          6118 - VACATION</v>
      </c>
      <c r="C29" s="15"/>
      <c r="D29" s="3">
        <v>277.64</v>
      </c>
      <c r="E29" s="3">
        <v>289.12</v>
      </c>
      <c r="F29" s="3">
        <v>144.56</v>
      </c>
      <c r="G29" s="3"/>
      <c r="H29" s="3">
        <v>106.62</v>
      </c>
      <c r="I29" s="3">
        <v>213.24</v>
      </c>
      <c r="J29" s="3">
        <v>213.24</v>
      </c>
      <c r="K29" s="3">
        <v>213.24</v>
      </c>
      <c r="L29" s="3">
        <v>213.24</v>
      </c>
      <c r="M29" s="3">
        <v>319.86</v>
      </c>
      <c r="N29" s="3">
        <v>422.56024615384598</v>
      </c>
      <c r="O29" s="3">
        <v>463.72120615384603</v>
      </c>
      <c r="P29" s="10"/>
      <c r="Q29" s="3">
        <f>SUM(OSRRefD21_0_6x)+IFERROR(SUM(OSRRefE21_0_6x),0)</f>
        <v>2877.0414523076915</v>
      </c>
    </row>
    <row r="30" spans="1:17" s="42" customFormat="1" ht="15" hidden="1" customHeight="1" outlineLevel="1" x14ac:dyDescent="0.3">
      <c r="A30" s="34"/>
      <c r="B30" s="11" t="str">
        <f>CONCATENATE("          ","6119"," - ","SICK LEAVE")</f>
        <v xml:space="preserve">          6119 - SICK LEAVE</v>
      </c>
      <c r="C30" s="15"/>
      <c r="D30" s="3">
        <v>263.87</v>
      </c>
      <c r="E30" s="3">
        <v>273.06</v>
      </c>
      <c r="F30" s="3">
        <v>136.53</v>
      </c>
      <c r="G30" s="3"/>
      <c r="H30" s="3">
        <v>127.73</v>
      </c>
      <c r="I30" s="3">
        <v>255.46</v>
      </c>
      <c r="J30" s="3">
        <v>255.46</v>
      </c>
      <c r="K30" s="3">
        <v>255.46</v>
      </c>
      <c r="L30" s="3">
        <v>255.46</v>
      </c>
      <c r="M30" s="3">
        <v>383.19</v>
      </c>
      <c r="N30" s="3">
        <v>641.67623076923098</v>
      </c>
      <c r="O30" s="3">
        <v>459.11867076923102</v>
      </c>
      <c r="P30" s="10"/>
      <c r="Q30" s="3">
        <f>SUM(OSRRefD21_0_7x)+IFERROR(SUM(OSRRefE21_0_7x),0)</f>
        <v>3307.0149015384623</v>
      </c>
    </row>
    <row r="31" spans="1:17" s="42" customFormat="1" ht="15" hidden="1" customHeight="1" outlineLevel="1" x14ac:dyDescent="0.3">
      <c r="A31" s="34"/>
      <c r="B31" s="11" t="str">
        <f>CONCATENATE("          ","6156"," - ","EMPLOYEE MEALS")</f>
        <v xml:space="preserve">          6156 - EMPLOYEE MEALS</v>
      </c>
      <c r="C31" s="15"/>
      <c r="D31" s="3">
        <v>342.07</v>
      </c>
      <c r="E31" s="3">
        <v>347.43</v>
      </c>
      <c r="F31" s="3"/>
      <c r="G31" s="3"/>
      <c r="H31" s="3">
        <v>11.99</v>
      </c>
      <c r="I31" s="3">
        <v>174.73</v>
      </c>
      <c r="J31" s="3">
        <v>185.44</v>
      </c>
      <c r="K31" s="3">
        <v>226.52</v>
      </c>
      <c r="L31" s="3">
        <v>245</v>
      </c>
      <c r="M31" s="3">
        <v>45</v>
      </c>
      <c r="N31" s="3">
        <v>1340</v>
      </c>
      <c r="O31" s="3">
        <v>1300</v>
      </c>
      <c r="P31" s="10"/>
      <c r="Q31" s="3">
        <f>SUM(OSRRefD21_0_8x)+IFERROR(SUM(OSRRefE21_0_8x),0)</f>
        <v>4218.18</v>
      </c>
    </row>
    <row r="32" spans="1:17" s="42" customFormat="1" ht="15" customHeight="1" collapsed="1" x14ac:dyDescent="0.3">
      <c r="A32" s="34"/>
      <c r="B32" s="15" t="str">
        <f>CONCATENATE("     ","*Payroll                                          ")</f>
        <v xml:space="preserve">     *Payroll                                          </v>
      </c>
      <c r="C32" s="15"/>
      <c r="D32" s="2">
        <f>SUM(OSRRefD21_1x_0)</f>
        <v>8439.6</v>
      </c>
      <c r="E32" s="2">
        <f>SUM(OSRRefD21_1x_1)</f>
        <v>9019.7800000000007</v>
      </c>
      <c r="F32" s="2">
        <f>SUM(OSRRefD21_1x_2)</f>
        <v>2565.7299999999996</v>
      </c>
      <c r="G32" s="2">
        <f>SUM(OSRRefD21_1x_3)</f>
        <v>1598.5</v>
      </c>
      <c r="H32" s="2">
        <f>SUM(OSRRefD21_1x_4)</f>
        <v>1823.85</v>
      </c>
      <c r="I32" s="2">
        <f>SUM(OSRRefD21_1x_5)</f>
        <v>5538.48</v>
      </c>
      <c r="J32" s="2">
        <f>SUM(OSRRefD21_1x_6)</f>
        <v>6923.48</v>
      </c>
      <c r="K32" s="2">
        <f>SUM(OSRRefD21_1x_7)</f>
        <v>5261.56</v>
      </c>
      <c r="L32" s="2">
        <f>SUM(OSRRefD21_1x_8)</f>
        <v>6267.73</v>
      </c>
      <c r="M32" s="2">
        <f>SUM(OSRRefD21_1x_9)</f>
        <v>7403.37</v>
      </c>
      <c r="N32" s="2">
        <f>SUM(OSRRefE21_1x_0)</f>
        <v>25020.085061538459</v>
      </c>
      <c r="O32" s="2">
        <f>SUM(OSRRefE21_1x_1)</f>
        <v>19533.573661538459</v>
      </c>
      <c r="Q32" s="3">
        <f>SUM(OSRRefD20_1x)+IFERROR(SUM(OSRRefE20_1x),0)</f>
        <v>99395.738723076909</v>
      </c>
    </row>
    <row r="33" spans="1:17" s="42" customFormat="1" ht="15" hidden="1" customHeight="1" outlineLevel="1" x14ac:dyDescent="0.3">
      <c r="A33" s="34"/>
      <c r="B33" s="11" t="str">
        <f>CONCATENATE("          ","6001"," - ","ADMINISTRATIVE SALARIES")</f>
        <v xml:space="preserve">          6001 - ADMINISTRATIVE SALARIES</v>
      </c>
      <c r="C33" s="15"/>
      <c r="D33" s="3"/>
      <c r="E33" s="3"/>
      <c r="F33" s="3"/>
      <c r="G33" s="3"/>
      <c r="H33" s="3"/>
      <c r="I33" s="3"/>
      <c r="J33" s="3"/>
      <c r="K33" s="3"/>
      <c r="L33" s="3"/>
      <c r="M33" s="3"/>
      <c r="N33" s="3">
        <v>0</v>
      </c>
      <c r="O33" s="3">
        <v>0</v>
      </c>
      <c r="P33" s="10"/>
      <c r="Q33" s="3">
        <f>SUM(OSRRefD21_1_0x)+IFERROR(SUM(OSRRefE21_1_0x),0)</f>
        <v>0</v>
      </c>
    </row>
    <row r="34" spans="1:17" s="42" customFormat="1" ht="15" hidden="1" customHeight="1" outlineLevel="1" x14ac:dyDescent="0.3">
      <c r="A34" s="34"/>
      <c r="B34" s="11" t="str">
        <f>CONCATENATE("          ","6002"," - ","STAFF SALARIES")</f>
        <v xml:space="preserve">          6002 - STAFF SALARIES</v>
      </c>
      <c r="C34" s="15"/>
      <c r="D34" s="3"/>
      <c r="E34" s="3"/>
      <c r="F34" s="3"/>
      <c r="G34" s="3"/>
      <c r="H34" s="3">
        <v>830.76</v>
      </c>
      <c r="I34" s="3">
        <v>5538.48</v>
      </c>
      <c r="J34" s="3">
        <v>6923.48</v>
      </c>
      <c r="K34" s="3">
        <v>5261.56</v>
      </c>
      <c r="L34" s="3">
        <v>5538.48</v>
      </c>
      <c r="M34" s="3">
        <v>6922.72</v>
      </c>
      <c r="N34" s="3">
        <v>4691.5384615384601</v>
      </c>
      <c r="O34" s="3">
        <v>4691.5384615384601</v>
      </c>
      <c r="P34" s="10"/>
      <c r="Q34" s="3">
        <f>SUM(OSRRefD21_1_1x)+IFERROR(SUM(OSRRefE21_1_1x),0)</f>
        <v>40398.556923076918</v>
      </c>
    </row>
    <row r="35" spans="1:17" s="42" customFormat="1" ht="15" hidden="1" customHeight="1" outlineLevel="1" x14ac:dyDescent="0.3">
      <c r="A35" s="34"/>
      <c r="B35" s="11" t="str">
        <f>CONCATENATE("          ","6003"," - ","STAFF HOURLY-9 MONTH")</f>
        <v xml:space="preserve">          6003 - STAFF HOURLY-9 MONTH</v>
      </c>
      <c r="C35" s="15"/>
      <c r="D35" s="3"/>
      <c r="E35" s="3"/>
      <c r="F35" s="3"/>
      <c r="G35" s="3"/>
      <c r="H35" s="3"/>
      <c r="I35" s="3"/>
      <c r="J35" s="3"/>
      <c r="K35" s="3"/>
      <c r="L35" s="3"/>
      <c r="M35" s="3"/>
      <c r="N35" s="3">
        <v>0</v>
      </c>
      <c r="O35" s="3">
        <v>0</v>
      </c>
      <c r="P35" s="10"/>
      <c r="Q35" s="3">
        <f>SUM(OSRRefD21_1_2x)+IFERROR(SUM(OSRRefE21_1_2x),0)</f>
        <v>0</v>
      </c>
    </row>
    <row r="36" spans="1:17" s="42" customFormat="1" ht="15" hidden="1" customHeight="1" outlineLevel="1" x14ac:dyDescent="0.3">
      <c r="A36" s="34"/>
      <c r="B36" s="11" t="str">
        <f>CONCATENATE("          ","6004"," - ","STAFF HOURLY")</f>
        <v xml:space="preserve">          6004 - STAFF HOURLY</v>
      </c>
      <c r="C36" s="15"/>
      <c r="D36" s="3">
        <v>4731.2700000000004</v>
      </c>
      <c r="E36" s="3">
        <v>4416.18</v>
      </c>
      <c r="F36" s="3">
        <v>2631.61</v>
      </c>
      <c r="G36" s="3">
        <v>1598.5</v>
      </c>
      <c r="H36" s="3">
        <v>993.09</v>
      </c>
      <c r="I36" s="3"/>
      <c r="J36" s="3"/>
      <c r="K36" s="3"/>
      <c r="L36" s="3"/>
      <c r="M36" s="3"/>
      <c r="N36" s="3">
        <v>8689.5360000000001</v>
      </c>
      <c r="O36" s="3">
        <v>9992.9663999999993</v>
      </c>
      <c r="P36" s="10"/>
      <c r="Q36" s="3">
        <f>SUM(OSRRefD21_1_3x)+IFERROR(SUM(OSRRefE21_1_3x),0)</f>
        <v>33053.152399999999</v>
      </c>
    </row>
    <row r="37" spans="1:17" s="42" customFormat="1" ht="15" hidden="1" customHeight="1" outlineLevel="1" x14ac:dyDescent="0.3">
      <c r="A37" s="34"/>
      <c r="B37" s="11" t="str">
        <f>CONCATENATE("          ","6005"," - ","TEMPORARY WAGES-HOURLY")</f>
        <v xml:space="preserve">          6005 - TEMPORARY WAGES-HOURLY</v>
      </c>
      <c r="C37" s="15"/>
      <c r="D37" s="3">
        <v>1542.33</v>
      </c>
      <c r="E37" s="3">
        <v>3895.6</v>
      </c>
      <c r="F37" s="3">
        <v>2808.12</v>
      </c>
      <c r="G37" s="3"/>
      <c r="H37" s="3"/>
      <c r="I37" s="3"/>
      <c r="J37" s="3"/>
      <c r="K37" s="3"/>
      <c r="L37" s="3"/>
      <c r="M37" s="3"/>
      <c r="N37" s="3">
        <v>4599.9727999999996</v>
      </c>
      <c r="O37" s="3">
        <v>4849.0688</v>
      </c>
      <c r="P37" s="10"/>
      <c r="Q37" s="3">
        <f>SUM(OSRRefD21_1_4x)+IFERROR(SUM(OSRRefE21_1_4x),0)</f>
        <v>17695.0916</v>
      </c>
    </row>
    <row r="38" spans="1:17" s="42" customFormat="1" ht="15" hidden="1" customHeight="1" outlineLevel="1" x14ac:dyDescent="0.3">
      <c r="A38" s="34"/>
      <c r="B38" s="11" t="str">
        <f>CONCATENATE("          ","6006"," - ","TEMPORARY PART TIME")</f>
        <v xml:space="preserve">          6006 - TEMPORARY PART TIME</v>
      </c>
      <c r="C38" s="15"/>
      <c r="D38" s="3"/>
      <c r="E38" s="3"/>
      <c r="F38" s="3"/>
      <c r="G38" s="3"/>
      <c r="H38" s="3"/>
      <c r="I38" s="3"/>
      <c r="J38" s="3"/>
      <c r="K38" s="3"/>
      <c r="L38" s="3"/>
      <c r="M38" s="3"/>
      <c r="N38" s="3">
        <v>0</v>
      </c>
      <c r="O38" s="3">
        <v>0</v>
      </c>
      <c r="P38" s="10"/>
      <c r="Q38" s="3">
        <f>SUM(OSRRefD21_1_5x)+IFERROR(SUM(OSRRefE21_1_5x),0)</f>
        <v>0</v>
      </c>
    </row>
    <row r="39" spans="1:17" s="42" customFormat="1" ht="15" hidden="1" customHeight="1" outlineLevel="1" x14ac:dyDescent="0.3">
      <c r="A39" s="34"/>
      <c r="B39" s="11" t="str">
        <f>CONCATENATE("          ","6007"," - ","STUDENT HOURLY")</f>
        <v xml:space="preserve">          6007 - STUDENT HOURLY</v>
      </c>
      <c r="C39" s="15"/>
      <c r="D39" s="3">
        <v>2166</v>
      </c>
      <c r="E39" s="3">
        <v>708</v>
      </c>
      <c r="F39" s="3">
        <v>-2874</v>
      </c>
      <c r="G39" s="3"/>
      <c r="H39" s="3"/>
      <c r="I39" s="3"/>
      <c r="J39" s="3"/>
      <c r="K39" s="3"/>
      <c r="L39" s="3">
        <v>729.25</v>
      </c>
      <c r="M39" s="3">
        <v>480.65</v>
      </c>
      <c r="N39" s="3">
        <v>1415.6956</v>
      </c>
      <c r="O39" s="3">
        <v>0</v>
      </c>
      <c r="P39" s="10"/>
      <c r="Q39" s="3">
        <f>SUM(OSRRefD21_1_6x)+IFERROR(SUM(OSRRefE21_1_6x),0)</f>
        <v>2625.5956000000001</v>
      </c>
    </row>
    <row r="40" spans="1:17" s="42" customFormat="1" ht="15" hidden="1" customHeight="1" outlineLevel="1" x14ac:dyDescent="0.3">
      <c r="A40" s="34"/>
      <c r="B40" s="11" t="str">
        <f>CONCATENATE("          ","6008"," - ","STUDENT HOURLY-FICA EXEMPT")</f>
        <v xml:space="preserve">          6008 - STUDENT HOURLY-FICA EXEMPT</v>
      </c>
      <c r="C40" s="15"/>
      <c r="D40" s="3"/>
      <c r="E40" s="3"/>
      <c r="F40" s="3"/>
      <c r="G40" s="3"/>
      <c r="H40" s="3"/>
      <c r="I40" s="3"/>
      <c r="J40" s="3"/>
      <c r="K40" s="3"/>
      <c r="L40" s="3"/>
      <c r="M40" s="3"/>
      <c r="N40" s="3">
        <v>5623.3422</v>
      </c>
      <c r="O40" s="3">
        <v>0</v>
      </c>
      <c r="P40" s="10"/>
      <c r="Q40" s="3">
        <f>SUM(OSRRefD21_1_7x)+IFERROR(SUM(OSRRefE21_1_7x),0)</f>
        <v>5623.3422</v>
      </c>
    </row>
    <row r="41" spans="1:17" s="42" customFormat="1" ht="15" hidden="1" customHeight="1" outlineLevel="1" x14ac:dyDescent="0.3">
      <c r="A41" s="34"/>
      <c r="B41" s="11" t="str">
        <f>CONCATENATE("          ","6009"," - ","TEMPORARY-SEASONAL")</f>
        <v xml:space="preserve">          6009 - TEMPORARY-SEASONAL</v>
      </c>
      <c r="C41" s="15"/>
      <c r="D41" s="3"/>
      <c r="E41" s="3"/>
      <c r="F41" s="3"/>
      <c r="G41" s="3"/>
      <c r="H41" s="3"/>
      <c r="I41" s="3"/>
      <c r="J41" s="3"/>
      <c r="K41" s="3"/>
      <c r="L41" s="3"/>
      <c r="M41" s="3"/>
      <c r="N41" s="3">
        <v>0</v>
      </c>
      <c r="O41" s="3">
        <v>0</v>
      </c>
      <c r="P41" s="10"/>
      <c r="Q41" s="3">
        <f>SUM(OSRRefD21_1_8x)+IFERROR(SUM(OSRRefE21_1_8x),0)</f>
        <v>0</v>
      </c>
    </row>
    <row r="42" spans="1:17" s="42" customFormat="1" ht="15" hidden="1" customHeight="1" outlineLevel="1" x14ac:dyDescent="0.3">
      <c r="A42" s="34"/>
      <c r="B42" s="11" t="str">
        <f>CONCATENATE("          ","6010"," - ","GRATUITY")</f>
        <v xml:space="preserve">          6010 - GRATUITY</v>
      </c>
      <c r="C42" s="15"/>
      <c r="D42" s="3"/>
      <c r="E42" s="3"/>
      <c r="F42" s="3"/>
      <c r="G42" s="3"/>
      <c r="H42" s="3"/>
      <c r="I42" s="3"/>
      <c r="J42" s="3"/>
      <c r="K42" s="3"/>
      <c r="L42" s="3"/>
      <c r="M42" s="3"/>
      <c r="N42" s="3">
        <v>0</v>
      </c>
      <c r="O42" s="3">
        <v>0</v>
      </c>
      <c r="P42" s="10"/>
      <c r="Q42" s="3">
        <f>SUM(OSRRefD21_1_9x)+IFERROR(SUM(OSRRefE21_1_9x),0)</f>
        <v>0</v>
      </c>
    </row>
    <row r="43" spans="1:17" s="42" customFormat="1" ht="15" customHeight="1" collapsed="1" x14ac:dyDescent="0.3">
      <c r="A43" s="34"/>
      <c r="B43" s="15" t="str">
        <f>CONCATENATE("     ","Advertising/Promo                                 ")</f>
        <v xml:space="preserve">     Advertising/Promo                                 </v>
      </c>
      <c r="C43" s="15"/>
      <c r="D43" s="2">
        <f>SUM(OSRRefD21_2x_0)</f>
        <v>249.32</v>
      </c>
      <c r="E43" s="2">
        <f>SUM(OSRRefD21_2x_1)</f>
        <v>4.5</v>
      </c>
      <c r="F43" s="2">
        <f>SUM(OSRRefD21_2x_2)</f>
        <v>0</v>
      </c>
      <c r="G43" s="2">
        <f>SUM(OSRRefD21_2x_3)</f>
        <v>0</v>
      </c>
      <c r="H43" s="2">
        <f>SUM(OSRRefD21_2x_4)</f>
        <v>9.76</v>
      </c>
      <c r="I43" s="2">
        <f>SUM(OSRRefD21_2x_5)</f>
        <v>0</v>
      </c>
      <c r="J43" s="2">
        <f>SUM(OSRRefD21_2x_6)</f>
        <v>0</v>
      </c>
      <c r="K43" s="2">
        <f>SUM(OSRRefD21_2x_7)</f>
        <v>0</v>
      </c>
      <c r="L43" s="2">
        <f>SUM(OSRRefD21_2x_8)</f>
        <v>0</v>
      </c>
      <c r="M43" s="2">
        <f>SUM(OSRRefD21_2x_9)</f>
        <v>0</v>
      </c>
      <c r="N43" s="2">
        <f>SUM(OSRRefE21_2x_0)</f>
        <v>0</v>
      </c>
      <c r="O43" s="2">
        <f>SUM(OSRRefE21_2x_1)</f>
        <v>0</v>
      </c>
      <c r="Q43" s="3">
        <f>SUM(OSRRefD20_2x)+IFERROR(SUM(OSRRefE20_2x),0)</f>
        <v>263.58</v>
      </c>
    </row>
    <row r="44" spans="1:17" s="42" customFormat="1" ht="15" hidden="1" customHeight="1" outlineLevel="1" x14ac:dyDescent="0.3">
      <c r="A44" s="34"/>
      <c r="B44" s="11" t="str">
        <f>CONCATENATE("          ","6362"," - ","ADVERTISING EXPENSE")</f>
        <v xml:space="preserve">          6362 - ADVERTISING EXPENSE</v>
      </c>
      <c r="C44" s="15"/>
      <c r="D44" s="3">
        <v>249.32</v>
      </c>
      <c r="E44" s="3">
        <v>4.5</v>
      </c>
      <c r="F44" s="3"/>
      <c r="G44" s="3"/>
      <c r="H44" s="3">
        <v>9.76</v>
      </c>
      <c r="I44" s="3"/>
      <c r="J44" s="3"/>
      <c r="K44" s="3"/>
      <c r="L44" s="3"/>
      <c r="M44" s="3"/>
      <c r="N44" s="3"/>
      <c r="O44" s="3"/>
      <c r="P44" s="10"/>
      <c r="Q44" s="3">
        <f>SUM(OSRRefD21_2_0x)+IFERROR(SUM(OSRRefE21_2_0x),0)</f>
        <v>263.58</v>
      </c>
    </row>
    <row r="45" spans="1:17" s="42" customFormat="1" ht="15" customHeight="1" collapsed="1" x14ac:dyDescent="0.3">
      <c r="A45" s="34"/>
      <c r="B45" s="15" t="str">
        <f>CONCATENATE("     ","Bank/card Fees                                    ")</f>
        <v xml:space="preserve">     Bank/card Fees                                    </v>
      </c>
      <c r="C45" s="15"/>
      <c r="D45" s="2">
        <f>SUM(OSRRefD21_3x_0)</f>
        <v>0.1</v>
      </c>
      <c r="E45" s="2">
        <f>SUM(OSRRefD21_3x_1)</f>
        <v>0.27</v>
      </c>
      <c r="F45" s="2">
        <f>SUM(OSRRefD21_3x_2)</f>
        <v>0</v>
      </c>
      <c r="G45" s="2">
        <f>SUM(OSRRefD21_3x_3)</f>
        <v>0</v>
      </c>
      <c r="H45" s="2">
        <f>SUM(OSRRefD21_3x_4)</f>
        <v>0</v>
      </c>
      <c r="I45" s="2">
        <f>SUM(OSRRefD21_3x_5)</f>
        <v>0</v>
      </c>
      <c r="J45" s="2">
        <f>SUM(OSRRefD21_3x_6)</f>
        <v>0.27</v>
      </c>
      <c r="K45" s="2">
        <f>SUM(OSRRefD21_3x_7)</f>
        <v>0</v>
      </c>
      <c r="L45" s="2">
        <f>SUM(OSRRefD21_3x_8)</f>
        <v>0</v>
      </c>
      <c r="M45" s="2">
        <f>SUM(OSRRefD21_3x_9)</f>
        <v>0</v>
      </c>
      <c r="N45" s="2">
        <f>SUM(OSRRefE21_3x_0)</f>
        <v>4473</v>
      </c>
      <c r="O45" s="2">
        <f>SUM(OSRRefE21_3x_1)</f>
        <v>1745</v>
      </c>
      <c r="Q45" s="3">
        <f>SUM(OSRRefD20_3x)+IFERROR(SUM(OSRRefE20_3x),0)</f>
        <v>6218.64</v>
      </c>
    </row>
    <row r="46" spans="1:17" s="42" customFormat="1" ht="15" hidden="1" customHeight="1" outlineLevel="1" x14ac:dyDescent="0.3">
      <c r="A46" s="34"/>
      <c r="B46" s="11" t="str">
        <f>CONCATENATE("          ","6381"," - ","BANK/CREDIT CARD FEES")</f>
        <v xml:space="preserve">          6381 - BANK/CREDIT CARD FEES</v>
      </c>
      <c r="C46" s="15"/>
      <c r="D46" s="3">
        <v>0.1</v>
      </c>
      <c r="E46" s="3">
        <v>0.27</v>
      </c>
      <c r="F46" s="3"/>
      <c r="G46" s="3"/>
      <c r="H46" s="3"/>
      <c r="I46" s="3"/>
      <c r="J46" s="3">
        <v>0.27</v>
      </c>
      <c r="K46" s="3"/>
      <c r="L46" s="3"/>
      <c r="M46" s="3"/>
      <c r="N46" s="3">
        <v>4473</v>
      </c>
      <c r="O46" s="3">
        <v>1745</v>
      </c>
      <c r="P46" s="10"/>
      <c r="Q46" s="3">
        <f>SUM(OSRRefD21_3_0x)+IFERROR(SUM(OSRRefE21_3_0x),0)</f>
        <v>6218.64</v>
      </c>
    </row>
    <row r="47" spans="1:17" s="42" customFormat="1" ht="15" customHeight="1" collapsed="1" x14ac:dyDescent="0.3">
      <c r="A47" s="34"/>
      <c r="B47" s="15" t="str">
        <f>CONCATENATE("     ","Depreciation                                      ")</f>
        <v xml:space="preserve">     Depreciation                                      </v>
      </c>
      <c r="C47" s="15"/>
      <c r="D47" s="2">
        <f>SUM(OSRRefD21_4x_0)</f>
        <v>6745.15</v>
      </c>
      <c r="E47" s="2">
        <f>SUM(OSRRefD21_4x_1)</f>
        <v>6745.15</v>
      </c>
      <c r="F47" s="2">
        <f>SUM(OSRRefD21_4x_2)</f>
        <v>6701.08</v>
      </c>
      <c r="G47" s="2">
        <f>SUM(OSRRefD21_4x_3)</f>
        <v>6701.08</v>
      </c>
      <c r="H47" s="2">
        <f>SUM(OSRRefD21_4x_4)</f>
        <v>6701.08</v>
      </c>
      <c r="I47" s="2">
        <f>SUM(OSRRefD21_4x_5)</f>
        <v>6701.08</v>
      </c>
      <c r="J47" s="2">
        <f>SUM(OSRRefD21_4x_6)</f>
        <v>6701.08</v>
      </c>
      <c r="K47" s="2">
        <f>SUM(OSRRefD21_4x_7)</f>
        <v>6701.08</v>
      </c>
      <c r="L47" s="2">
        <f>SUM(OSRRefD21_4x_8)</f>
        <v>6701.08</v>
      </c>
      <c r="M47" s="2">
        <f>SUM(OSRRefD21_4x_9)</f>
        <v>7300.18</v>
      </c>
      <c r="N47" s="2">
        <f>SUM(OSRRefE21_4x_0)</f>
        <v>6701</v>
      </c>
      <c r="O47" s="2">
        <f>SUM(OSRRefE21_4x_1)</f>
        <v>6701</v>
      </c>
      <c r="Q47" s="3">
        <f>SUM(OSRRefD20_4x)+IFERROR(SUM(OSRRefE20_4x),0)</f>
        <v>81100.040000000008</v>
      </c>
    </row>
    <row r="48" spans="1:17" s="42" customFormat="1" ht="15" hidden="1" customHeight="1" outlineLevel="1" x14ac:dyDescent="0.3">
      <c r="A48" s="34"/>
      <c r="B48" s="11" t="str">
        <f>CONCATENATE("          ","6321"," - ","BUILDING DEPRECIATION")</f>
        <v xml:space="preserve">          6321 - BUILDING DEPRECIATION</v>
      </c>
      <c r="C48" s="15"/>
      <c r="D48" s="3">
        <v>6537.03</v>
      </c>
      <c r="E48" s="3">
        <v>6537.03</v>
      </c>
      <c r="F48" s="3">
        <v>6492.96</v>
      </c>
      <c r="G48" s="3">
        <v>6492.96</v>
      </c>
      <c r="H48" s="3">
        <v>6492.96</v>
      </c>
      <c r="I48" s="3">
        <v>6492.96</v>
      </c>
      <c r="J48" s="3">
        <v>6492.96</v>
      </c>
      <c r="K48" s="3">
        <v>6492.96</v>
      </c>
      <c r="L48" s="3">
        <v>6492.96</v>
      </c>
      <c r="M48" s="3">
        <v>6492.96</v>
      </c>
      <c r="N48" s="3"/>
      <c r="O48" s="3"/>
      <c r="P48" s="10"/>
      <c r="Q48" s="3">
        <f>SUM(OSRRefD21_4_0x)+IFERROR(SUM(OSRRefE21_4_0x),0)</f>
        <v>65017.74</v>
      </c>
    </row>
    <row r="49" spans="1:17" s="42" customFormat="1" ht="15" hidden="1" customHeight="1" outlineLevel="1" x14ac:dyDescent="0.3">
      <c r="A49" s="34"/>
      <c r="B49" s="11" t="str">
        <f>CONCATENATE("          ","6322"," - ","EQUIPMENT DEPRECIATION EXPENSE")</f>
        <v xml:space="preserve">          6322 - EQUIPMENT DEPRECIATION EXPENSE</v>
      </c>
      <c r="C49" s="15"/>
      <c r="D49" s="3">
        <v>208.12</v>
      </c>
      <c r="E49" s="3">
        <v>208.12</v>
      </c>
      <c r="F49" s="3">
        <v>208.12</v>
      </c>
      <c r="G49" s="3">
        <v>208.12</v>
      </c>
      <c r="H49" s="3">
        <v>208.12</v>
      </c>
      <c r="I49" s="3">
        <v>208.12</v>
      </c>
      <c r="J49" s="3">
        <v>208.12</v>
      </c>
      <c r="K49" s="3">
        <v>208.12</v>
      </c>
      <c r="L49" s="3">
        <v>208.12</v>
      </c>
      <c r="M49" s="3">
        <v>807.22</v>
      </c>
      <c r="N49" s="3">
        <v>6701</v>
      </c>
      <c r="O49" s="3">
        <v>6701</v>
      </c>
      <c r="P49" s="10"/>
      <c r="Q49" s="3">
        <f>SUM(OSRRefD21_4_1x)+IFERROR(SUM(OSRRefE21_4_1x),0)</f>
        <v>16082.3</v>
      </c>
    </row>
    <row r="50" spans="1:17" s="42" customFormat="1" ht="15" customHeight="1" collapsed="1" x14ac:dyDescent="0.3">
      <c r="A50" s="34"/>
      <c r="B50" s="15" t="str">
        <f>CONCATENATE("     ","Employees' Appreciation                           ")</f>
        <v xml:space="preserve">     Employees' Appreciation                           </v>
      </c>
      <c r="C50" s="15"/>
      <c r="D50" s="2">
        <f>SUM(OSRRefD21_5x_0)</f>
        <v>0</v>
      </c>
      <c r="E50" s="2">
        <f>SUM(OSRRefD21_5x_1)</f>
        <v>0</v>
      </c>
      <c r="F50" s="2">
        <f>SUM(OSRRefD21_5x_2)</f>
        <v>0</v>
      </c>
      <c r="G50" s="2">
        <f>SUM(OSRRefD21_5x_3)</f>
        <v>49.95</v>
      </c>
      <c r="H50" s="2">
        <f>SUM(OSRRefD21_5x_4)</f>
        <v>0</v>
      </c>
      <c r="I50" s="2">
        <f>SUM(OSRRefD21_5x_5)</f>
        <v>0</v>
      </c>
      <c r="J50" s="2">
        <f>SUM(OSRRefD21_5x_6)</f>
        <v>0</v>
      </c>
      <c r="K50" s="2">
        <f>SUM(OSRRefD21_5x_7)</f>
        <v>0</v>
      </c>
      <c r="L50" s="2">
        <f>SUM(OSRRefD21_5x_8)</f>
        <v>0</v>
      </c>
      <c r="M50" s="2">
        <f>SUM(OSRRefD21_5x_9)</f>
        <v>0</v>
      </c>
      <c r="N50" s="2">
        <f>SUM(OSRRefE21_5x_0)</f>
        <v>20</v>
      </c>
      <c r="O50" s="2">
        <f>SUM(OSRRefE21_5x_1)</f>
        <v>0</v>
      </c>
      <c r="Q50" s="3">
        <f>SUM(OSRRefD20_5x)+IFERROR(SUM(OSRRefE20_5x),0)</f>
        <v>69.95</v>
      </c>
    </row>
    <row r="51" spans="1:17" s="42" customFormat="1" ht="15" hidden="1" customHeight="1" outlineLevel="1" x14ac:dyDescent="0.3">
      <c r="A51" s="34"/>
      <c r="B51" s="11" t="str">
        <f>CONCATENATE("          ","6277"," - ","EMPLOYEE APPRECIATION")</f>
        <v xml:space="preserve">          6277 - EMPLOYEE APPRECIATION</v>
      </c>
      <c r="C51" s="15"/>
      <c r="D51" s="3"/>
      <c r="E51" s="3"/>
      <c r="F51" s="3"/>
      <c r="G51" s="3">
        <v>49.95</v>
      </c>
      <c r="H51" s="3"/>
      <c r="I51" s="3"/>
      <c r="J51" s="3"/>
      <c r="K51" s="3"/>
      <c r="L51" s="3"/>
      <c r="M51" s="3"/>
      <c r="N51" s="3">
        <v>20</v>
      </c>
      <c r="O51" s="3"/>
      <c r="P51" s="10"/>
      <c r="Q51" s="3">
        <f>SUM(OSRRefD21_5_0x)+IFERROR(SUM(OSRRefE21_5_0x),0)</f>
        <v>69.95</v>
      </c>
    </row>
    <row r="52" spans="1:17" s="42" customFormat="1" ht="15" customHeight="1" collapsed="1" x14ac:dyDescent="0.3">
      <c r="A52" s="34"/>
      <c r="B52" s="15" t="str">
        <f>CONCATENATE("     ","Equipment Rental                                  ")</f>
        <v xml:space="preserve">     Equipment Rental                                  </v>
      </c>
      <c r="C52" s="15"/>
      <c r="D52" s="2">
        <f>SUM(OSRRefD21_6x_0)</f>
        <v>215.47</v>
      </c>
      <c r="E52" s="2">
        <f>SUM(OSRRefD21_6x_1)</f>
        <v>819.39</v>
      </c>
      <c r="F52" s="2">
        <f>SUM(OSRRefD21_6x_2)</f>
        <v>0</v>
      </c>
      <c r="G52" s="2">
        <f>SUM(OSRRefD21_6x_3)</f>
        <v>665.72</v>
      </c>
      <c r="H52" s="2">
        <f>SUM(OSRRefD21_6x_4)</f>
        <v>516.80999999999995</v>
      </c>
      <c r="I52" s="2">
        <f>SUM(OSRRefD21_6x_5)</f>
        <v>699.53</v>
      </c>
      <c r="J52" s="2">
        <f>SUM(OSRRefD21_6x_6)</f>
        <v>732.75</v>
      </c>
      <c r="K52" s="2">
        <f>SUM(OSRRefD21_6x_7)</f>
        <v>517.09</v>
      </c>
      <c r="L52" s="2">
        <f>SUM(OSRRefD21_6x_8)</f>
        <v>290.5</v>
      </c>
      <c r="M52" s="2">
        <f>SUM(OSRRefD21_6x_9)</f>
        <v>1294.4100000000001</v>
      </c>
      <c r="N52" s="2">
        <f>SUM(OSRRefE21_6x_0)</f>
        <v>200</v>
      </c>
      <c r="O52" s="2">
        <f>SUM(OSRRefE21_6x_1)</f>
        <v>200</v>
      </c>
      <c r="Q52" s="3">
        <f>SUM(OSRRefD20_6x)+IFERROR(SUM(OSRRefE20_6x),0)</f>
        <v>6151.67</v>
      </c>
    </row>
    <row r="53" spans="1:17" s="42" customFormat="1" ht="15" hidden="1" customHeight="1" outlineLevel="1" x14ac:dyDescent="0.3">
      <c r="A53" s="34"/>
      <c r="B53" s="11" t="str">
        <f>CONCATENATE("          ","6351"," - ","EQUIPMENT RENTAL")</f>
        <v xml:space="preserve">          6351 - EQUIPMENT RENTAL</v>
      </c>
      <c r="C53" s="15"/>
      <c r="D53" s="3">
        <v>215.47</v>
      </c>
      <c r="E53" s="3">
        <v>819.39</v>
      </c>
      <c r="F53" s="3"/>
      <c r="G53" s="3">
        <v>665.72</v>
      </c>
      <c r="H53" s="3">
        <v>516.80999999999995</v>
      </c>
      <c r="I53" s="3">
        <v>699.53</v>
      </c>
      <c r="J53" s="3">
        <v>732.75</v>
      </c>
      <c r="K53" s="3">
        <v>517.09</v>
      </c>
      <c r="L53" s="3">
        <v>290.5</v>
      </c>
      <c r="M53" s="3">
        <v>1294.4100000000001</v>
      </c>
      <c r="N53" s="3">
        <v>200</v>
      </c>
      <c r="O53" s="3">
        <v>200</v>
      </c>
      <c r="P53" s="10"/>
      <c r="Q53" s="3">
        <f>SUM(OSRRefD21_6_0x)+IFERROR(SUM(OSRRefE21_6_0x),0)</f>
        <v>6151.67</v>
      </c>
    </row>
    <row r="54" spans="1:17" s="42" customFormat="1" ht="15" customHeight="1" collapsed="1" x14ac:dyDescent="0.3">
      <c r="A54" s="34"/>
      <c r="B54" s="15" t="str">
        <f>CONCATENATE("     ","General                                           ")</f>
        <v xml:space="preserve">     General                                           </v>
      </c>
      <c r="C54" s="15"/>
      <c r="D54" s="2">
        <f>SUM(OSRRefD21_7x_0)</f>
        <v>0</v>
      </c>
      <c r="E54" s="2">
        <f>SUM(OSRRefD21_7x_1)</f>
        <v>1314.55</v>
      </c>
      <c r="F54" s="2">
        <f>SUM(OSRRefD21_7x_2)</f>
        <v>0</v>
      </c>
      <c r="G54" s="2">
        <f>SUM(OSRRefD21_7x_3)</f>
        <v>0</v>
      </c>
      <c r="H54" s="2">
        <f>SUM(OSRRefD21_7x_4)</f>
        <v>0</v>
      </c>
      <c r="I54" s="2">
        <f>SUM(OSRRefD21_7x_5)</f>
        <v>0</v>
      </c>
      <c r="J54" s="2">
        <f>SUM(OSRRefD21_7x_6)</f>
        <v>0</v>
      </c>
      <c r="K54" s="2">
        <f>SUM(OSRRefD21_7x_7)</f>
        <v>1760</v>
      </c>
      <c r="L54" s="2">
        <f>SUM(OSRRefD21_7x_8)</f>
        <v>0</v>
      </c>
      <c r="M54" s="2">
        <f>SUM(OSRRefD21_7x_9)</f>
        <v>0</v>
      </c>
      <c r="N54" s="2">
        <f>SUM(OSRRefE21_7x_0)</f>
        <v>0</v>
      </c>
      <c r="O54" s="2">
        <f>SUM(OSRRefE21_7x_1)</f>
        <v>0</v>
      </c>
      <c r="Q54" s="3">
        <f>SUM(OSRRefD20_7x)+IFERROR(SUM(OSRRefE20_7x),0)</f>
        <v>3074.55</v>
      </c>
    </row>
    <row r="55" spans="1:17" s="42" customFormat="1" ht="15" hidden="1" customHeight="1" outlineLevel="1" x14ac:dyDescent="0.3">
      <c r="A55" s="34"/>
      <c r="B55" s="11" t="str">
        <f>CONCATENATE("          ","6279"," - ","GENERAL EXPENSE")</f>
        <v xml:space="preserve">          6279 - GENERAL EXPENSE</v>
      </c>
      <c r="C55" s="15"/>
      <c r="D55" s="3"/>
      <c r="E55" s="3">
        <v>1314.55</v>
      </c>
      <c r="F55" s="3"/>
      <c r="G55" s="3"/>
      <c r="H55" s="3"/>
      <c r="I55" s="3"/>
      <c r="J55" s="3"/>
      <c r="K55" s="3">
        <v>1760</v>
      </c>
      <c r="L55" s="3"/>
      <c r="M55" s="3"/>
      <c r="N55" s="3"/>
      <c r="O55" s="3"/>
      <c r="P55" s="10"/>
      <c r="Q55" s="3">
        <f>SUM(OSRRefD21_7_0x)+IFERROR(SUM(OSRRefE21_7_0x),0)</f>
        <v>3074.55</v>
      </c>
    </row>
    <row r="56" spans="1:17" s="42" customFormat="1" ht="15" customHeight="1" collapsed="1" x14ac:dyDescent="0.3">
      <c r="A56" s="34"/>
      <c r="B56" s="15" t="str">
        <f>CONCATENATE("     ","Repair and Maintenance                            ")</f>
        <v xml:space="preserve">     Repair and Maintenance                            </v>
      </c>
      <c r="C56" s="15"/>
      <c r="D56" s="2">
        <f>SUM(OSRRefD21_8x_0)</f>
        <v>951.47</v>
      </c>
      <c r="E56" s="2">
        <f>SUM(OSRRefD21_8x_1)</f>
        <v>1079.81</v>
      </c>
      <c r="F56" s="2">
        <f>SUM(OSRRefD21_8x_2)</f>
        <v>293.64</v>
      </c>
      <c r="G56" s="2">
        <f>SUM(OSRRefD21_8x_3)</f>
        <v>2110.12</v>
      </c>
      <c r="H56" s="2">
        <f>SUM(OSRRefD21_8x_4)</f>
        <v>1176.51</v>
      </c>
      <c r="I56" s="2">
        <f>SUM(OSRRefD21_8x_5)</f>
        <v>1952.51</v>
      </c>
      <c r="J56" s="2">
        <f>SUM(OSRRefD21_8x_6)</f>
        <v>725.35</v>
      </c>
      <c r="K56" s="2">
        <f>SUM(OSRRefD21_8x_7)</f>
        <v>0</v>
      </c>
      <c r="L56" s="2">
        <f>SUM(OSRRefD21_8x_8)</f>
        <v>426.16</v>
      </c>
      <c r="M56" s="2">
        <f>SUM(OSRRefD21_8x_9)</f>
        <v>0</v>
      </c>
      <c r="N56" s="2">
        <f>SUM(OSRRefE21_8x_0)</f>
        <v>1679</v>
      </c>
      <c r="O56" s="2">
        <f>SUM(OSRRefE21_8x_1)</f>
        <v>655</v>
      </c>
      <c r="Q56" s="3">
        <f>SUM(OSRRefD20_8x)+IFERROR(SUM(OSRRefE20_8x),0)</f>
        <v>11049.57</v>
      </c>
    </row>
    <row r="57" spans="1:17" s="42" customFormat="1" ht="15" hidden="1" customHeight="1" outlineLevel="1" x14ac:dyDescent="0.3">
      <c r="A57" s="34"/>
      <c r="B57" s="11" t="str">
        <f>CONCATENATE("          ","6373"," - ","MAINTENANCE CONTRACTS")</f>
        <v xml:space="preserve">          6373 - MAINTENANCE CONTRACTS</v>
      </c>
      <c r="C57" s="15"/>
      <c r="D57" s="3"/>
      <c r="E57" s="3"/>
      <c r="F57" s="3">
        <v>198.46</v>
      </c>
      <c r="G57" s="3">
        <v>1204.21</v>
      </c>
      <c r="H57" s="3">
        <v>612.6</v>
      </c>
      <c r="I57" s="3">
        <v>426.16</v>
      </c>
      <c r="J57" s="3">
        <v>700</v>
      </c>
      <c r="K57" s="3"/>
      <c r="L57" s="3">
        <v>426.16</v>
      </c>
      <c r="M57" s="3"/>
      <c r="N57" s="3"/>
      <c r="O57" s="3"/>
      <c r="P57" s="10"/>
      <c r="Q57" s="3">
        <f>SUM(OSRRefD21_8_0x)+IFERROR(SUM(OSRRefE21_8_0x),0)</f>
        <v>3567.5899999999997</v>
      </c>
    </row>
    <row r="58" spans="1:17" s="42" customFormat="1" ht="15" hidden="1" customHeight="1" outlineLevel="1" x14ac:dyDescent="0.3">
      <c r="A58" s="34"/>
      <c r="B58" s="11" t="str">
        <f>CONCATENATE("          ","6375"," - ","OUTSIDE REPAIRS &amp; MAINTENANCE")</f>
        <v xml:space="preserve">          6375 - OUTSIDE REPAIRS &amp; MAINTENANCE</v>
      </c>
      <c r="C58" s="15"/>
      <c r="D58" s="3">
        <v>951.47</v>
      </c>
      <c r="E58" s="3">
        <v>1079.81</v>
      </c>
      <c r="F58" s="3">
        <v>95.18</v>
      </c>
      <c r="G58" s="3">
        <v>905.91</v>
      </c>
      <c r="H58" s="3">
        <v>563.91</v>
      </c>
      <c r="I58" s="3">
        <v>1526.35</v>
      </c>
      <c r="J58" s="3">
        <v>25.35</v>
      </c>
      <c r="K58" s="3"/>
      <c r="L58" s="3"/>
      <c r="M58" s="3">
        <v>0</v>
      </c>
      <c r="N58" s="3">
        <v>1679</v>
      </c>
      <c r="O58" s="3">
        <v>655</v>
      </c>
      <c r="P58" s="10"/>
      <c r="Q58" s="3">
        <f>SUM(OSRRefD21_8_1x)+IFERROR(SUM(OSRRefE21_8_1x),0)</f>
        <v>7481.98</v>
      </c>
    </row>
    <row r="59" spans="1:17" s="42" customFormat="1" ht="15" customHeight="1" collapsed="1" x14ac:dyDescent="0.3">
      <c r="A59" s="34"/>
      <c r="B59" s="15" t="str">
        <f>CONCATENATE("     ","Services                                          ")</f>
        <v xml:space="preserve">     Services                                          </v>
      </c>
      <c r="C59" s="15"/>
      <c r="D59" s="2">
        <f>SUM(OSRRefD21_9x_0)</f>
        <v>0</v>
      </c>
      <c r="E59" s="2">
        <f>SUM(OSRRefD21_9x_1)</f>
        <v>260</v>
      </c>
      <c r="F59" s="2">
        <f>SUM(OSRRefD21_9x_2)</f>
        <v>0</v>
      </c>
      <c r="G59" s="2">
        <f>SUM(OSRRefD21_9x_3)</f>
        <v>0</v>
      </c>
      <c r="H59" s="2">
        <f>SUM(OSRRefD21_9x_4)</f>
        <v>0</v>
      </c>
      <c r="I59" s="2">
        <f>SUM(OSRRefD21_9x_5)</f>
        <v>0</v>
      </c>
      <c r="J59" s="2">
        <f>SUM(OSRRefD21_9x_6)</f>
        <v>0</v>
      </c>
      <c r="K59" s="2">
        <f>SUM(OSRRefD21_9x_7)</f>
        <v>0</v>
      </c>
      <c r="L59" s="2">
        <f>SUM(OSRRefD21_9x_8)</f>
        <v>0</v>
      </c>
      <c r="M59" s="2">
        <f>SUM(OSRRefD21_9x_9)</f>
        <v>0</v>
      </c>
      <c r="N59" s="2">
        <f>SUM(OSRRefE21_9x_0)</f>
        <v>3225</v>
      </c>
      <c r="O59" s="2">
        <f>SUM(OSRRefE21_9x_1)</f>
        <v>3200</v>
      </c>
      <c r="Q59" s="3">
        <f>SUM(OSRRefD20_9x)+IFERROR(SUM(OSRRefE20_9x),0)</f>
        <v>6685</v>
      </c>
    </row>
    <row r="60" spans="1:17" s="42" customFormat="1" ht="15" hidden="1" customHeight="1" outlineLevel="1" x14ac:dyDescent="0.3">
      <c r="A60" s="34"/>
      <c r="B60" s="11" t="str">
        <f>CONCATENATE("          ","6283"," - ","PLANT SERVICE")</f>
        <v xml:space="preserve">          6283 - PLANT SERVICE</v>
      </c>
      <c r="C60" s="15"/>
      <c r="D60" s="3"/>
      <c r="E60" s="3"/>
      <c r="F60" s="3"/>
      <c r="G60" s="3"/>
      <c r="H60" s="3"/>
      <c r="I60" s="3"/>
      <c r="J60" s="3"/>
      <c r="K60" s="3"/>
      <c r="L60" s="3"/>
      <c r="M60" s="3"/>
      <c r="N60" s="3">
        <v>100</v>
      </c>
      <c r="O60" s="3">
        <v>100</v>
      </c>
      <c r="P60" s="10"/>
      <c r="Q60" s="3">
        <f>SUM(OSRRefD21_9_0x)+IFERROR(SUM(OSRRefE21_9_0x),0)</f>
        <v>200</v>
      </c>
    </row>
    <row r="61" spans="1:17" s="42" customFormat="1" ht="15" hidden="1" customHeight="1" outlineLevel="1" x14ac:dyDescent="0.3">
      <c r="A61" s="34"/>
      <c r="B61" s="11" t="str">
        <f>CONCATENATE("          ","6285"," - ","JANITORIAL SERVICES")</f>
        <v xml:space="preserve">          6285 - JANITORIAL SERVICES</v>
      </c>
      <c r="C61" s="15"/>
      <c r="D61" s="3"/>
      <c r="E61" s="3">
        <v>260</v>
      </c>
      <c r="F61" s="3"/>
      <c r="G61" s="3"/>
      <c r="H61" s="3"/>
      <c r="I61" s="3"/>
      <c r="J61" s="3"/>
      <c r="K61" s="3"/>
      <c r="L61" s="3"/>
      <c r="M61" s="3"/>
      <c r="N61" s="3">
        <v>3100</v>
      </c>
      <c r="O61" s="3">
        <v>3100</v>
      </c>
      <c r="P61" s="10"/>
      <c r="Q61" s="3">
        <f>SUM(OSRRefD21_9_1x)+IFERROR(SUM(OSRRefE21_9_1x),0)</f>
        <v>6460</v>
      </c>
    </row>
    <row r="62" spans="1:17" s="42" customFormat="1" ht="15" hidden="1" customHeight="1" outlineLevel="1" x14ac:dyDescent="0.3">
      <c r="A62" s="34"/>
      <c r="B62" s="11" t="str">
        <f>CONCATENATE("          ","6286"," - ","LAUNDRY EXPENSE")</f>
        <v xml:space="preserve">          6286 - LAUNDRY EXPENSE</v>
      </c>
      <c r="C62" s="15"/>
      <c r="D62" s="3"/>
      <c r="E62" s="3"/>
      <c r="F62" s="3"/>
      <c r="G62" s="3"/>
      <c r="H62" s="3"/>
      <c r="I62" s="3"/>
      <c r="J62" s="3"/>
      <c r="K62" s="3"/>
      <c r="L62" s="3"/>
      <c r="M62" s="3"/>
      <c r="N62" s="3">
        <v>25</v>
      </c>
      <c r="O62" s="3"/>
      <c r="P62" s="10"/>
      <c r="Q62" s="3">
        <f>SUM(OSRRefD21_9_2x)+IFERROR(SUM(OSRRefE21_9_2x),0)</f>
        <v>25</v>
      </c>
    </row>
    <row r="63" spans="1:17" s="42" customFormat="1" ht="15" customHeight="1" collapsed="1" x14ac:dyDescent="0.3">
      <c r="A63" s="34"/>
      <c r="B63" s="15" t="str">
        <f>CONCATENATE("     ","Subscriptions &amp; Dues                              ")</f>
        <v xml:space="preserve">     Subscriptions &amp; Dues                              </v>
      </c>
      <c r="C63" s="15"/>
      <c r="D63" s="2">
        <f>SUM(OSRRefD21_10x_0)</f>
        <v>0</v>
      </c>
      <c r="E63" s="2">
        <f>SUM(OSRRefD21_10x_1)</f>
        <v>0</v>
      </c>
      <c r="F63" s="2">
        <f>SUM(OSRRefD21_10x_2)</f>
        <v>204</v>
      </c>
      <c r="G63" s="2">
        <f>SUM(OSRRefD21_10x_3)</f>
        <v>189.71</v>
      </c>
      <c r="H63" s="2">
        <f>SUM(OSRRefD21_10x_4)</f>
        <v>196.96</v>
      </c>
      <c r="I63" s="2">
        <f>SUM(OSRRefD21_10x_5)</f>
        <v>635.53</v>
      </c>
      <c r="J63" s="2">
        <f>SUM(OSRRefD21_10x_6)</f>
        <v>214.92</v>
      </c>
      <c r="K63" s="2">
        <f>SUM(OSRRefD21_10x_7)</f>
        <v>214.92</v>
      </c>
      <c r="L63" s="2">
        <f>SUM(OSRRefD21_10x_8)</f>
        <v>214.92</v>
      </c>
      <c r="M63" s="2">
        <f>SUM(OSRRefD21_10x_9)</f>
        <v>214.91</v>
      </c>
      <c r="N63" s="2">
        <f>SUM(OSRRefE21_10x_0)</f>
        <v>200</v>
      </c>
      <c r="O63" s="2">
        <f>SUM(OSRRefE21_10x_1)</f>
        <v>200</v>
      </c>
      <c r="Q63" s="3">
        <f>SUM(OSRRefD20_10x)+IFERROR(SUM(OSRRefE20_10x),0)</f>
        <v>2485.8700000000003</v>
      </c>
    </row>
    <row r="64" spans="1:17" s="42" customFormat="1" ht="15" hidden="1" customHeight="1" outlineLevel="1" x14ac:dyDescent="0.3">
      <c r="A64" s="34"/>
      <c r="B64" s="11" t="str">
        <f>CONCATENATE("          ","6275"," - ","SUBSCRIPTIONS")</f>
        <v xml:space="preserve">          6275 - SUBSCRIPTIONS</v>
      </c>
      <c r="C64" s="15"/>
      <c r="D64" s="3"/>
      <c r="E64" s="3"/>
      <c r="F64" s="3">
        <v>204</v>
      </c>
      <c r="G64" s="3">
        <v>189.71</v>
      </c>
      <c r="H64" s="3">
        <v>196.96</v>
      </c>
      <c r="I64" s="3">
        <v>635.53</v>
      </c>
      <c r="J64" s="3">
        <v>214.92</v>
      </c>
      <c r="K64" s="3">
        <v>214.92</v>
      </c>
      <c r="L64" s="3">
        <v>214.92</v>
      </c>
      <c r="M64" s="3">
        <v>214.91</v>
      </c>
      <c r="N64" s="3">
        <v>200</v>
      </c>
      <c r="O64" s="3">
        <v>200</v>
      </c>
      <c r="P64" s="10"/>
      <c r="Q64" s="3">
        <f>SUM(OSRRefD21_10_0x)+IFERROR(SUM(OSRRefE21_10_0x),0)</f>
        <v>2485.8700000000003</v>
      </c>
    </row>
    <row r="65" spans="1:17" s="42" customFormat="1" ht="15" customHeight="1" collapsed="1" x14ac:dyDescent="0.3">
      <c r="A65" s="34"/>
      <c r="B65" s="15" t="str">
        <f>CONCATENATE("     ","Supplies                                          ")</f>
        <v xml:space="preserve">     Supplies                                          </v>
      </c>
      <c r="C65" s="15"/>
      <c r="D65" s="2">
        <f>SUM(OSRRefD21_11x_0)</f>
        <v>77.16</v>
      </c>
      <c r="E65" s="2">
        <f>SUM(OSRRefD21_11x_1)</f>
        <v>866.38</v>
      </c>
      <c r="F65" s="2">
        <f>SUM(OSRRefD21_11x_2)</f>
        <v>0</v>
      </c>
      <c r="G65" s="2">
        <f>SUM(OSRRefD21_11x_3)</f>
        <v>1257.74</v>
      </c>
      <c r="H65" s="2">
        <f>SUM(OSRRefD21_11x_4)</f>
        <v>0</v>
      </c>
      <c r="I65" s="2">
        <f>SUM(OSRRefD21_11x_5)</f>
        <v>152.01</v>
      </c>
      <c r="J65" s="2">
        <f>SUM(OSRRefD21_11x_6)</f>
        <v>27.55</v>
      </c>
      <c r="K65" s="2">
        <f>SUM(OSRRefD21_11x_7)</f>
        <v>0</v>
      </c>
      <c r="L65" s="2">
        <f>SUM(OSRRefD21_11x_8)</f>
        <v>35.72</v>
      </c>
      <c r="M65" s="2">
        <f>SUM(OSRRefD21_11x_9)</f>
        <v>0</v>
      </c>
      <c r="N65" s="2">
        <f>SUM(OSRRefE21_11x_0)</f>
        <v>500</v>
      </c>
      <c r="O65" s="2">
        <f>SUM(OSRRefE21_11x_1)</f>
        <v>425</v>
      </c>
      <c r="Q65" s="3">
        <f>SUM(OSRRefD20_11x)+IFERROR(SUM(OSRRefE20_11x),0)</f>
        <v>3341.56</v>
      </c>
    </row>
    <row r="66" spans="1:17" s="42" customFormat="1" ht="15" hidden="1" customHeight="1" outlineLevel="1" x14ac:dyDescent="0.3">
      <c r="A66" s="34"/>
      <c r="B66" s="11" t="str">
        <f>CONCATENATE("          ","6235"," - ","COVID-19 EXPENSES")</f>
        <v xml:space="preserve">          6235 - COVID-19 EXPENSES</v>
      </c>
      <c r="C66" s="15"/>
      <c r="D66" s="3"/>
      <c r="E66" s="3"/>
      <c r="F66" s="3"/>
      <c r="G66" s="3"/>
      <c r="H66" s="3"/>
      <c r="I66" s="3"/>
      <c r="J66" s="3"/>
      <c r="K66" s="3"/>
      <c r="L66" s="3">
        <v>35.72</v>
      </c>
      <c r="M66" s="3"/>
      <c r="N66" s="3">
        <v>175</v>
      </c>
      <c r="O66" s="3">
        <v>150</v>
      </c>
      <c r="P66" s="10"/>
      <c r="Q66" s="3">
        <f>SUM(OSRRefD21_11_0x)+IFERROR(SUM(OSRRefE21_11_0x),0)</f>
        <v>360.72</v>
      </c>
    </row>
    <row r="67" spans="1:17" s="42" customFormat="1" ht="15" hidden="1" customHeight="1" outlineLevel="1" x14ac:dyDescent="0.3">
      <c r="A67" s="34"/>
      <c r="B67" s="11" t="str">
        <f>CONCATENATE("          ","6237"," - ","JANITORIAL SUPPLIES")</f>
        <v xml:space="preserve">          6237 - JANITORIAL SUPPLIES</v>
      </c>
      <c r="C67" s="15"/>
      <c r="D67" s="3"/>
      <c r="E67" s="3">
        <v>796.76</v>
      </c>
      <c r="F67" s="3"/>
      <c r="G67" s="3"/>
      <c r="H67" s="3"/>
      <c r="I67" s="3"/>
      <c r="J67" s="3"/>
      <c r="K67" s="3"/>
      <c r="L67" s="3"/>
      <c r="M67" s="3"/>
      <c r="N67" s="3">
        <v>75</v>
      </c>
      <c r="O67" s="3">
        <v>75</v>
      </c>
      <c r="P67" s="10"/>
      <c r="Q67" s="3">
        <f>SUM(OSRRefD21_11_1x)+IFERROR(SUM(OSRRefE21_11_1x),0)</f>
        <v>946.76</v>
      </c>
    </row>
    <row r="68" spans="1:17" s="42" customFormat="1" ht="15" hidden="1" customHeight="1" outlineLevel="1" x14ac:dyDescent="0.3">
      <c r="A68" s="34"/>
      <c r="B68" s="11" t="str">
        <f>CONCATENATE("          ","6239"," - ","KITCHEN SUPPLIES")</f>
        <v xml:space="preserve">          6239 - KITCHEN SUPPLIES</v>
      </c>
      <c r="C68" s="15"/>
      <c r="D68" s="3"/>
      <c r="E68" s="3">
        <v>69.62</v>
      </c>
      <c r="F68" s="3"/>
      <c r="G68" s="3"/>
      <c r="H68" s="3"/>
      <c r="I68" s="3">
        <v>117.5</v>
      </c>
      <c r="J68" s="3">
        <v>27.55</v>
      </c>
      <c r="K68" s="3"/>
      <c r="L68" s="3"/>
      <c r="M68" s="3"/>
      <c r="N68" s="3"/>
      <c r="O68" s="3"/>
      <c r="P68" s="10"/>
      <c r="Q68" s="3">
        <f>SUM(OSRRefD21_11_2x)+IFERROR(SUM(OSRRefE21_11_2x),0)</f>
        <v>214.67000000000002</v>
      </c>
    </row>
    <row r="69" spans="1:17" s="42" customFormat="1" ht="15" hidden="1" customHeight="1" outlineLevel="1" x14ac:dyDescent="0.3">
      <c r="A69" s="34"/>
      <c r="B69" s="11" t="str">
        <f>CONCATENATE("          ","6241"," - ","OFFICE EXPENSE")</f>
        <v xml:space="preserve">          6241 - OFFICE EXPENSE</v>
      </c>
      <c r="C69" s="15"/>
      <c r="D69" s="3">
        <v>77.16</v>
      </c>
      <c r="E69" s="3"/>
      <c r="F69" s="3"/>
      <c r="G69" s="3">
        <v>781.55</v>
      </c>
      <c r="H69" s="3"/>
      <c r="I69" s="3">
        <v>34.51</v>
      </c>
      <c r="J69" s="3"/>
      <c r="K69" s="3"/>
      <c r="L69" s="3"/>
      <c r="M69" s="3"/>
      <c r="N69" s="3"/>
      <c r="O69" s="3"/>
      <c r="P69" s="10"/>
      <c r="Q69" s="3">
        <f>SUM(OSRRefD21_11_3x)+IFERROR(SUM(OSRRefE21_11_3x),0)</f>
        <v>893.21999999999991</v>
      </c>
    </row>
    <row r="70" spans="1:17" s="42" customFormat="1" ht="15" hidden="1" customHeight="1" outlineLevel="1" x14ac:dyDescent="0.3">
      <c r="A70" s="34"/>
      <c r="B70" s="11" t="str">
        <f>CONCATENATE("          ","6243"," - ","PAPER SUPPLIES")</f>
        <v xml:space="preserve">          6243 - PAPER SUPPLIES</v>
      </c>
      <c r="C70" s="15"/>
      <c r="D70" s="3"/>
      <c r="E70" s="3"/>
      <c r="F70" s="3"/>
      <c r="G70" s="3">
        <v>138.19</v>
      </c>
      <c r="H70" s="3"/>
      <c r="I70" s="3"/>
      <c r="J70" s="3"/>
      <c r="K70" s="3"/>
      <c r="L70" s="3"/>
      <c r="M70" s="3"/>
      <c r="N70" s="3">
        <v>200</v>
      </c>
      <c r="O70" s="3">
        <v>150</v>
      </c>
      <c r="P70" s="10"/>
      <c r="Q70" s="3">
        <f>SUM(OSRRefD21_11_4x)+IFERROR(SUM(OSRRefE21_11_4x),0)</f>
        <v>488.19</v>
      </c>
    </row>
    <row r="71" spans="1:17" s="42" customFormat="1" ht="15" hidden="1" customHeight="1" outlineLevel="1" x14ac:dyDescent="0.3">
      <c r="A71" s="34"/>
      <c r="B71" s="11" t="str">
        <f>CONCATENATE("          ","6245"," - ","PRINTING")</f>
        <v xml:space="preserve">          6245 - PRINTING</v>
      </c>
      <c r="C71" s="15"/>
      <c r="D71" s="3"/>
      <c r="E71" s="3"/>
      <c r="F71" s="3"/>
      <c r="G71" s="3">
        <v>338</v>
      </c>
      <c r="H71" s="3"/>
      <c r="I71" s="3"/>
      <c r="J71" s="3"/>
      <c r="K71" s="3"/>
      <c r="L71" s="3"/>
      <c r="M71" s="3"/>
      <c r="N71" s="3">
        <v>50</v>
      </c>
      <c r="O71" s="3">
        <v>50</v>
      </c>
      <c r="P71" s="10"/>
      <c r="Q71" s="3">
        <f>SUM(OSRRefD21_11_5x)+IFERROR(SUM(OSRRefE21_11_5x),0)</f>
        <v>438</v>
      </c>
    </row>
    <row r="72" spans="1:17" s="42" customFormat="1" ht="15" customHeight="1" collapsed="1" x14ac:dyDescent="0.3">
      <c r="A72" s="34"/>
      <c r="B72" s="15" t="str">
        <f>CONCATENATE("     ","Telephone/Data Lines                              ")</f>
        <v xml:space="preserve">     Telephone/Data Lines                              </v>
      </c>
      <c r="C72" s="15"/>
      <c r="D72" s="2">
        <f>SUM(OSRRefD21_12x_0)</f>
        <v>75</v>
      </c>
      <c r="E72" s="2">
        <f>SUM(OSRRefD21_12x_1)</f>
        <v>0</v>
      </c>
      <c r="F72" s="2">
        <f>SUM(OSRRefD21_12x_2)</f>
        <v>0</v>
      </c>
      <c r="G72" s="2">
        <f>SUM(OSRRefD21_12x_3)</f>
        <v>0</v>
      </c>
      <c r="H72" s="2">
        <f>SUM(OSRRefD21_12x_4)</f>
        <v>0</v>
      </c>
      <c r="I72" s="2">
        <f>SUM(OSRRefD21_12x_5)</f>
        <v>0</v>
      </c>
      <c r="J72" s="2">
        <f>SUM(OSRRefD21_12x_6)</f>
        <v>181.5</v>
      </c>
      <c r="K72" s="2">
        <f>SUM(OSRRefD21_12x_7)</f>
        <v>181.5</v>
      </c>
      <c r="L72" s="2">
        <f>SUM(OSRRefD21_12x_8)</f>
        <v>181.5</v>
      </c>
      <c r="M72" s="2">
        <f>SUM(OSRRefD21_12x_9)</f>
        <v>256.5</v>
      </c>
      <c r="N72" s="2">
        <f>SUM(OSRRefE21_12x_0)</f>
        <v>225</v>
      </c>
      <c r="O72" s="2">
        <f>SUM(OSRRefE21_12x_1)</f>
        <v>75</v>
      </c>
      <c r="Q72" s="3">
        <f>SUM(OSRRefD20_12x)+IFERROR(SUM(OSRRefE20_12x),0)</f>
        <v>1176</v>
      </c>
    </row>
    <row r="73" spans="1:17" s="42" customFormat="1" ht="15" hidden="1" customHeight="1" outlineLevel="1" x14ac:dyDescent="0.3">
      <c r="A73" s="34"/>
      <c r="B73" s="11" t="str">
        <f>CONCATENATE("          ","6303"," - ","DATA PHONE LINES")</f>
        <v xml:space="preserve">          6303 - DATA PHONE LINES</v>
      </c>
      <c r="C73" s="15"/>
      <c r="D73" s="3"/>
      <c r="E73" s="3"/>
      <c r="F73" s="3"/>
      <c r="G73" s="3"/>
      <c r="H73" s="3"/>
      <c r="I73" s="3"/>
      <c r="J73" s="3"/>
      <c r="K73" s="3"/>
      <c r="L73" s="3"/>
      <c r="M73" s="3"/>
      <c r="N73" s="3">
        <v>75</v>
      </c>
      <c r="O73" s="3">
        <v>75</v>
      </c>
      <c r="P73" s="10"/>
      <c r="Q73" s="3">
        <f>SUM(OSRRefD21_12_0x)+IFERROR(SUM(OSRRefE21_12_0x),0)</f>
        <v>150</v>
      </c>
    </row>
    <row r="74" spans="1:17" s="42" customFormat="1" ht="15" hidden="1" customHeight="1" outlineLevel="1" x14ac:dyDescent="0.3">
      <c r="A74" s="34"/>
      <c r="B74" s="11" t="str">
        <f>CONCATENATE("          ","6309"," - ","TELEPHONE")</f>
        <v xml:space="preserve">          6309 - TELEPHONE</v>
      </c>
      <c r="C74" s="15"/>
      <c r="D74" s="3">
        <v>75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181.5</v>
      </c>
      <c r="K74" s="3">
        <v>181.5</v>
      </c>
      <c r="L74" s="3">
        <v>181.5</v>
      </c>
      <c r="M74" s="3">
        <v>256.5</v>
      </c>
      <c r="N74" s="3">
        <v>150</v>
      </c>
      <c r="O74" s="3"/>
      <c r="P74" s="10"/>
      <c r="Q74" s="3">
        <f>SUM(OSRRefD21_12_1x)+IFERROR(SUM(OSRRefE21_12_1x),0)</f>
        <v>1026</v>
      </c>
    </row>
    <row r="75" spans="1:17" s="42" customFormat="1" ht="15" customHeight="1" collapsed="1" x14ac:dyDescent="0.3">
      <c r="A75" s="34"/>
      <c r="B75" s="15" t="str">
        <f>CONCATENATE("     ","Training                                          ")</f>
        <v xml:space="preserve">     Training                                          </v>
      </c>
      <c r="C75" s="15"/>
      <c r="D75" s="2">
        <f>SUM(OSRRefD21_13x_0)</f>
        <v>0</v>
      </c>
      <c r="E75" s="2">
        <f>SUM(OSRRefD21_13x_1)</f>
        <v>0</v>
      </c>
      <c r="F75" s="2">
        <f>SUM(OSRRefD21_13x_2)</f>
        <v>0</v>
      </c>
      <c r="G75" s="2">
        <f>SUM(OSRRefD21_13x_3)</f>
        <v>0</v>
      </c>
      <c r="H75" s="2">
        <f>SUM(OSRRefD21_13x_4)</f>
        <v>0</v>
      </c>
      <c r="I75" s="2">
        <f>SUM(OSRRefD21_13x_5)</f>
        <v>0</v>
      </c>
      <c r="J75" s="2">
        <f>SUM(OSRRefD21_13x_6)</f>
        <v>0</v>
      </c>
      <c r="K75" s="2">
        <f>SUM(OSRRefD21_13x_7)</f>
        <v>120</v>
      </c>
      <c r="L75" s="2">
        <f>SUM(OSRRefD21_13x_8)</f>
        <v>0</v>
      </c>
      <c r="M75" s="2">
        <f>SUM(OSRRefD21_13x_9)</f>
        <v>0</v>
      </c>
      <c r="N75" s="2">
        <f>SUM(OSRRefE21_13x_0)</f>
        <v>0</v>
      </c>
      <c r="O75" s="2">
        <f>SUM(OSRRefE21_13x_1)</f>
        <v>0</v>
      </c>
      <c r="Q75" s="3">
        <f>SUM(OSRRefD20_13x)+IFERROR(SUM(OSRRefE20_13x),0)</f>
        <v>120</v>
      </c>
    </row>
    <row r="76" spans="1:17" s="42" customFormat="1" ht="15" hidden="1" customHeight="1" outlineLevel="1" x14ac:dyDescent="0.3">
      <c r="A76" s="34"/>
      <c r="B76" s="11" t="str">
        <f>CONCATENATE("          ","6376"," - ","TRAINING")</f>
        <v xml:space="preserve">          6376 - TRAINING</v>
      </c>
      <c r="C76" s="15"/>
      <c r="D76" s="3"/>
      <c r="E76" s="3"/>
      <c r="F76" s="3"/>
      <c r="G76" s="3"/>
      <c r="H76" s="3"/>
      <c r="I76" s="3"/>
      <c r="J76" s="3"/>
      <c r="K76" s="3">
        <v>120</v>
      </c>
      <c r="L76" s="3"/>
      <c r="M76" s="3"/>
      <c r="N76" s="3"/>
      <c r="O76" s="3"/>
      <c r="P76" s="10"/>
      <c r="Q76" s="3">
        <f>SUM(OSRRefD21_13_0x)+IFERROR(SUM(OSRRefE21_13_0x),0)</f>
        <v>120</v>
      </c>
    </row>
    <row r="77" spans="1:17" s="42" customFormat="1" ht="15" customHeight="1" collapsed="1" x14ac:dyDescent="0.3">
      <c r="A77" s="34"/>
      <c r="B77" s="15" t="str">
        <f>CONCATENATE("     ","Utilities                                         ")</f>
        <v xml:space="preserve">     Utilities                                         </v>
      </c>
      <c r="C77" s="15"/>
      <c r="D77" s="2">
        <f>SUM(OSRRefD21_14x_0)</f>
        <v>0</v>
      </c>
      <c r="E77" s="2">
        <f>SUM(OSRRefD21_14x_1)</f>
        <v>0</v>
      </c>
      <c r="F77" s="2">
        <f>SUM(OSRRefD21_14x_2)</f>
        <v>0</v>
      </c>
      <c r="G77" s="2">
        <f>SUM(OSRRefD21_14x_3)</f>
        <v>0</v>
      </c>
      <c r="H77" s="2">
        <f>SUM(OSRRefD21_14x_4)</f>
        <v>0</v>
      </c>
      <c r="I77" s="2">
        <f>SUM(OSRRefD21_14x_5)</f>
        <v>0</v>
      </c>
      <c r="J77" s="2">
        <f>SUM(OSRRefD21_14x_6)</f>
        <v>0</v>
      </c>
      <c r="K77" s="2">
        <f>SUM(OSRRefD21_14x_7)</f>
        <v>0</v>
      </c>
      <c r="L77" s="2">
        <f>SUM(OSRRefD21_14x_8)</f>
        <v>0</v>
      </c>
      <c r="M77" s="2">
        <f>SUM(OSRRefD21_14x_9)</f>
        <v>0</v>
      </c>
      <c r="N77" s="2">
        <f>SUM(OSRRefE21_14x_0)</f>
        <v>500</v>
      </c>
      <c r="O77" s="2">
        <f>SUM(OSRRefE21_14x_1)</f>
        <v>500</v>
      </c>
      <c r="Q77" s="3">
        <f>SUM(OSRRefD20_14x)+IFERROR(SUM(OSRRefE20_14x),0)</f>
        <v>1000</v>
      </c>
    </row>
    <row r="78" spans="1:17" s="42" customFormat="1" ht="15" hidden="1" customHeight="1" outlineLevel="1" x14ac:dyDescent="0.3">
      <c r="A78" s="34"/>
      <c r="B78" s="11" t="str">
        <f>CONCATENATE("          ","6274"," - ","UTILITIES")</f>
        <v xml:space="preserve">          6274 - UTILITIES</v>
      </c>
      <c r="C78" s="15"/>
      <c r="D78" s="3"/>
      <c r="E78" s="3"/>
      <c r="F78" s="3"/>
      <c r="G78" s="3"/>
      <c r="H78" s="3"/>
      <c r="I78" s="3"/>
      <c r="J78" s="3"/>
      <c r="K78" s="3"/>
      <c r="L78" s="3"/>
      <c r="M78" s="3"/>
      <c r="N78" s="3">
        <v>500</v>
      </c>
      <c r="O78" s="3">
        <v>500</v>
      </c>
      <c r="P78" s="10"/>
      <c r="Q78" s="3">
        <f>SUM(OSRRefD21_14_0x)+IFERROR(SUM(OSRRefE21_14_0x),0)</f>
        <v>1000</v>
      </c>
    </row>
    <row r="79" spans="1:17" s="40" customFormat="1" ht="15" customHeight="1" x14ac:dyDescent="0.3">
      <c r="A79" s="22"/>
      <c r="B79" s="22"/>
      <c r="C79" s="2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Q79" s="2"/>
    </row>
    <row r="80" spans="1:17" s="39" customFormat="1" ht="15" customHeight="1" x14ac:dyDescent="0.3">
      <c r="A80" s="24"/>
      <c r="B80" s="17" t="s">
        <v>287</v>
      </c>
      <c r="C80" s="23"/>
      <c r="D80" s="4">
        <f>0</f>
        <v>0</v>
      </c>
      <c r="E80" s="4">
        <f>0</f>
        <v>0</v>
      </c>
      <c r="F80" s="4">
        <f>0</f>
        <v>0</v>
      </c>
      <c r="G80" s="4">
        <f>--341.5</f>
        <v>341.5</v>
      </c>
      <c r="H80" s="4">
        <f>0</f>
        <v>0</v>
      </c>
      <c r="I80" s="4">
        <f>0</f>
        <v>0</v>
      </c>
      <c r="J80" s="4">
        <f>0</f>
        <v>0</v>
      </c>
      <c r="K80" s="4">
        <f>0</f>
        <v>0</v>
      </c>
      <c r="L80" s="4">
        <f>--352.8</f>
        <v>352.8</v>
      </c>
      <c r="M80" s="4">
        <f>0</f>
        <v>0</v>
      </c>
      <c r="N80" s="4"/>
      <c r="O80" s="4"/>
      <c r="Q80" s="3">
        <f>SUM(OSRRefD23_0x)+IFERROR(SUM(OSRRefE23_0x),0)</f>
        <v>694.3</v>
      </c>
    </row>
    <row r="81" spans="1:17" ht="15" customHeight="1" x14ac:dyDescent="0.3">
      <c r="A81" s="6"/>
      <c r="B81" s="7"/>
      <c r="C81" s="7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Q81" s="4"/>
    </row>
    <row r="82" spans="1:17" s="37" customFormat="1" ht="15" customHeight="1" x14ac:dyDescent="0.3">
      <c r="A82" s="7"/>
      <c r="B82" s="18" t="s">
        <v>288</v>
      </c>
      <c r="C82" s="18"/>
      <c r="D82" s="9">
        <f t="shared" ref="D82:O82" si="2">IFERROR(+D18-D21+D80,0)</f>
        <v>-21761.300000000003</v>
      </c>
      <c r="E82" s="9">
        <f t="shared" si="2"/>
        <v>-24730.71</v>
      </c>
      <c r="F82" s="9">
        <f t="shared" si="2"/>
        <v>-14035.579999999998</v>
      </c>
      <c r="G82" s="9">
        <f t="shared" si="2"/>
        <v>-14190.6</v>
      </c>
      <c r="H82" s="9">
        <f t="shared" si="2"/>
        <v>-10905.939999999999</v>
      </c>
      <c r="I82" s="9">
        <f t="shared" si="2"/>
        <v>-17648.239999999998</v>
      </c>
      <c r="J82" s="9">
        <f t="shared" si="2"/>
        <v>-17879.699999999993</v>
      </c>
      <c r="K82" s="9">
        <f t="shared" si="2"/>
        <v>-17149.019999999997</v>
      </c>
      <c r="L82" s="9">
        <f t="shared" si="2"/>
        <v>-16206.399999999998</v>
      </c>
      <c r="M82" s="9">
        <f t="shared" si="2"/>
        <v>-19198.89</v>
      </c>
      <c r="N82" s="9">
        <f t="shared" si="2"/>
        <v>19745.41425381539</v>
      </c>
      <c r="O82" s="9">
        <f t="shared" si="2"/>
        <v>-16113.69979997538</v>
      </c>
      <c r="Q82" s="9">
        <f>IFERROR(+Q18-Q21+Q80,0)</f>
        <v>-170074.66554616005</v>
      </c>
    </row>
    <row r="83" spans="1:17" s="38" customFormat="1" ht="15" customHeight="1" x14ac:dyDescent="0.3">
      <c r="B83" s="17"/>
      <c r="C83" s="17"/>
      <c r="D83" s="5">
        <f t="shared" ref="D83:O83" si="3">IFERROR(D82/D10,0)</f>
        <v>0</v>
      </c>
      <c r="E83" s="5">
        <f t="shared" si="3"/>
        <v>0</v>
      </c>
      <c r="F83" s="5">
        <f t="shared" si="3"/>
        <v>0</v>
      </c>
      <c r="G83" s="5">
        <f t="shared" si="3"/>
        <v>0</v>
      </c>
      <c r="H83" s="5">
        <f t="shared" si="3"/>
        <v>0</v>
      </c>
      <c r="I83" s="5">
        <f t="shared" si="3"/>
        <v>0</v>
      </c>
      <c r="J83" s="5">
        <f t="shared" si="3"/>
        <v>0</v>
      </c>
      <c r="K83" s="5">
        <f t="shared" si="3"/>
        <v>0</v>
      </c>
      <c r="L83" s="5">
        <f t="shared" si="3"/>
        <v>0</v>
      </c>
      <c r="M83" s="5">
        <f t="shared" si="3"/>
        <v>0</v>
      </c>
      <c r="N83" s="5">
        <f t="shared" si="3"/>
        <v>0.1764464305203956</v>
      </c>
      <c r="O83" s="5">
        <f t="shared" si="3"/>
        <v>-0.36906391974474656</v>
      </c>
      <c r="P83" s="19"/>
      <c r="Q83" s="5">
        <f>IFERROR(Q82/Q10,0)</f>
        <v>-1.0932567031964366</v>
      </c>
    </row>
    <row r="84" spans="1:17" ht="15" customHeight="1" x14ac:dyDescent="0.3">
      <c r="A84" s="6"/>
      <c r="B84" s="7"/>
      <c r="C84" s="6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Q84" s="4"/>
    </row>
    <row r="85" spans="1:17" s="37" customFormat="1" ht="15" customHeight="1" x14ac:dyDescent="0.3">
      <c r="A85" s="26"/>
      <c r="B85" s="7" t="s">
        <v>289</v>
      </c>
      <c r="C85" s="7"/>
      <c r="D85" s="4"/>
      <c r="E85" s="4"/>
      <c r="F85" s="4"/>
      <c r="G85" s="4"/>
      <c r="H85" s="4"/>
      <c r="I85" s="4"/>
      <c r="J85" s="4"/>
      <c r="K85" s="4"/>
      <c r="L85" s="4"/>
      <c r="M85" s="4"/>
      <c r="N85" s="4">
        <v>14639</v>
      </c>
      <c r="O85" s="4">
        <v>-4788</v>
      </c>
      <c r="Q85" s="3">
        <f>SUM(OSRRefD28_0x)+IFERROR(SUM(OSRRefE28_0x),0)</f>
        <v>9851</v>
      </c>
    </row>
    <row r="86" spans="1:17" ht="15" customHeight="1" x14ac:dyDescent="0.3">
      <c r="A86" s="6"/>
      <c r="B86" s="7"/>
      <c r="C86" s="7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Q86" s="4"/>
    </row>
    <row r="87" spans="1:17" s="37" customFormat="1" ht="15.75" customHeight="1" x14ac:dyDescent="0.3">
      <c r="A87" s="7"/>
      <c r="B87" s="18" t="s">
        <v>290</v>
      </c>
      <c r="C87" s="18"/>
      <c r="D87" s="8">
        <f t="shared" ref="D87:O87" si="4">IFERROR(+D82-D85,0)</f>
        <v>-21761.300000000003</v>
      </c>
      <c r="E87" s="8">
        <f t="shared" si="4"/>
        <v>-24730.71</v>
      </c>
      <c r="F87" s="8">
        <f t="shared" si="4"/>
        <v>-14035.579999999998</v>
      </c>
      <c r="G87" s="8">
        <f t="shared" si="4"/>
        <v>-14190.6</v>
      </c>
      <c r="H87" s="8">
        <f t="shared" si="4"/>
        <v>-10905.939999999999</v>
      </c>
      <c r="I87" s="8">
        <f t="shared" si="4"/>
        <v>-17648.239999999998</v>
      </c>
      <c r="J87" s="8">
        <f t="shared" si="4"/>
        <v>-17879.699999999993</v>
      </c>
      <c r="K87" s="8">
        <f t="shared" si="4"/>
        <v>-17149.019999999997</v>
      </c>
      <c r="L87" s="8">
        <f t="shared" si="4"/>
        <v>-16206.399999999998</v>
      </c>
      <c r="M87" s="8">
        <f t="shared" si="4"/>
        <v>-19198.89</v>
      </c>
      <c r="N87" s="8">
        <f t="shared" si="4"/>
        <v>5106.4142538153901</v>
      </c>
      <c r="O87" s="8">
        <f t="shared" si="4"/>
        <v>-11325.69979997538</v>
      </c>
      <c r="Q87" s="8">
        <f>IFERROR(+Q82-Q85,0)</f>
        <v>-179925.66554616005</v>
      </c>
    </row>
    <row r="88" spans="1:17" ht="15.75" customHeight="1" x14ac:dyDescent="0.3">
      <c r="A88" s="6"/>
      <c r="B88" s="6"/>
      <c r="C88" s="6"/>
      <c r="D88" s="5">
        <f t="shared" ref="D88:O88" si="5">IFERROR(D87/D10,0)</f>
        <v>0</v>
      </c>
      <c r="E88" s="5">
        <f t="shared" si="5"/>
        <v>0</v>
      </c>
      <c r="F88" s="5">
        <f t="shared" si="5"/>
        <v>0</v>
      </c>
      <c r="G88" s="5">
        <f t="shared" si="5"/>
        <v>0</v>
      </c>
      <c r="H88" s="5">
        <f t="shared" si="5"/>
        <v>0</v>
      </c>
      <c r="I88" s="5">
        <f t="shared" si="5"/>
        <v>0</v>
      </c>
      <c r="J88" s="5">
        <f t="shared" si="5"/>
        <v>0</v>
      </c>
      <c r="K88" s="5">
        <f t="shared" si="5"/>
        <v>0</v>
      </c>
      <c r="L88" s="5">
        <f t="shared" si="5"/>
        <v>0</v>
      </c>
      <c r="M88" s="5">
        <f t="shared" si="5"/>
        <v>0</v>
      </c>
      <c r="N88" s="5">
        <f t="shared" si="5"/>
        <v>4.563128209225055E-2</v>
      </c>
      <c r="O88" s="5">
        <f t="shared" si="5"/>
        <v>-0.25940083369541195</v>
      </c>
      <c r="P88" s="19"/>
      <c r="Q88" s="5">
        <f>IFERROR(Q87/Q10,0)</f>
        <v>-1.1565799015611282</v>
      </c>
    </row>
    <row r="89" spans="1:17" ht="15" customHeight="1" x14ac:dyDescent="0.3">
      <c r="A89" s="6"/>
      <c r="B89" s="6"/>
      <c r="C89" s="6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Q89" s="4"/>
    </row>
    <row r="90" spans="1:17" ht="15" customHeight="1" x14ac:dyDescent="0.3">
      <c r="A90" s="6"/>
      <c r="B90" s="6"/>
      <c r="C90" s="6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Q90" s="4"/>
    </row>
    <row r="91" spans="1:17" s="37" customFormat="1" ht="15.75" customHeight="1" x14ac:dyDescent="0.3">
      <c r="A91" s="7"/>
      <c r="B91" s="18" t="s">
        <v>293</v>
      </c>
      <c r="C91" s="18"/>
      <c r="D91" s="8">
        <f t="shared" ref="D91:O91" si="6">IFERROR(SUM(D87:D90),0)</f>
        <v>-21761.300000000003</v>
      </c>
      <c r="E91" s="8">
        <f t="shared" si="6"/>
        <v>-24730.71</v>
      </c>
      <c r="F91" s="8">
        <f t="shared" si="6"/>
        <v>-14035.579999999998</v>
      </c>
      <c r="G91" s="8">
        <f t="shared" si="6"/>
        <v>-14190.6</v>
      </c>
      <c r="H91" s="8">
        <f t="shared" si="6"/>
        <v>-10905.939999999999</v>
      </c>
      <c r="I91" s="8">
        <f t="shared" si="6"/>
        <v>-17648.239999999998</v>
      </c>
      <c r="J91" s="8">
        <f t="shared" si="6"/>
        <v>-17879.699999999993</v>
      </c>
      <c r="K91" s="8">
        <f t="shared" si="6"/>
        <v>-17149.019999999997</v>
      </c>
      <c r="L91" s="8">
        <f t="shared" si="6"/>
        <v>-16206.399999999998</v>
      </c>
      <c r="M91" s="8">
        <f t="shared" si="6"/>
        <v>-19198.89</v>
      </c>
      <c r="N91" s="8">
        <f t="shared" si="6"/>
        <v>5106.4598850974826</v>
      </c>
      <c r="O91" s="8">
        <f t="shared" si="6"/>
        <v>-11325.959200809075</v>
      </c>
      <c r="Q91" s="8">
        <f>IFERROR(SUM(Q87:Q90),0)</f>
        <v>-179926.8221260616</v>
      </c>
    </row>
    <row r="92" spans="1:17" ht="15.75" customHeight="1" x14ac:dyDescent="0.3">
      <c r="A92" s="6"/>
      <c r="C92" s="6"/>
      <c r="D92" s="5">
        <f t="shared" ref="D92:O92" si="7">IFERROR(D91/D10,0)</f>
        <v>0</v>
      </c>
      <c r="E92" s="5">
        <f t="shared" si="7"/>
        <v>0</v>
      </c>
      <c r="F92" s="5">
        <f t="shared" si="7"/>
        <v>0</v>
      </c>
      <c r="G92" s="5">
        <f t="shared" si="7"/>
        <v>0</v>
      </c>
      <c r="H92" s="5">
        <f t="shared" si="7"/>
        <v>0</v>
      </c>
      <c r="I92" s="5">
        <f t="shared" si="7"/>
        <v>0</v>
      </c>
      <c r="J92" s="5">
        <f t="shared" si="7"/>
        <v>0</v>
      </c>
      <c r="K92" s="5">
        <f t="shared" si="7"/>
        <v>0</v>
      </c>
      <c r="L92" s="5">
        <f t="shared" si="7"/>
        <v>0</v>
      </c>
      <c r="M92" s="5">
        <f t="shared" si="7"/>
        <v>0</v>
      </c>
      <c r="N92" s="5">
        <f t="shared" si="7"/>
        <v>4.5631689856642919E-2</v>
      </c>
      <c r="O92" s="5">
        <f t="shared" si="7"/>
        <v>-0.2594067749435211</v>
      </c>
      <c r="P92" s="19"/>
      <c r="Q92" s="5">
        <f>IFERROR(Q91/Q10,0)</f>
        <v>-1.1565873361706633</v>
      </c>
    </row>
    <row r="93" spans="1:17" ht="15" customHeight="1" x14ac:dyDescent="0.3">
      <c r="A93" s="6"/>
      <c r="B93" s="33">
        <v>44694.892891863426</v>
      </c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Q93" s="14"/>
    </row>
    <row r="94" spans="1:17" ht="15" customHeight="1" x14ac:dyDescent="0.3">
      <c r="A94" s="6"/>
      <c r="B94" s="31" t="s">
        <v>294</v>
      </c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Q94" s="14"/>
    </row>
    <row r="95" spans="1:17" ht="15" customHeight="1" x14ac:dyDescent="0.3">
      <c r="A95" s="6"/>
      <c r="B95" s="27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Q95" s="14"/>
    </row>
    <row r="96" spans="1:17" ht="15" customHeight="1" x14ac:dyDescent="0.3"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Q96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B25A7-7106-34D4-B754-3A119AE48585}">
  <sheetPr>
    <tabColor rgb="FF92D050"/>
    <outlinePr summaryBelow="0" summaryRight="0"/>
    <pageSetUpPr fitToPage="1"/>
  </sheetPr>
  <dimension ref="A2:R6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","423"," - ","Contract/Vending Revenue")</f>
        <v>Department 423 - Contract/Vending Revenue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9">
        <f t="shared" ref="D14:O14" si="2">IFERROR(+D10-D12,0)</f>
        <v>0</v>
      </c>
      <c r="E14" s="9">
        <f t="shared" si="2"/>
        <v>0</v>
      </c>
      <c r="F14" s="9">
        <f t="shared" si="2"/>
        <v>0</v>
      </c>
      <c r="G14" s="9">
        <f t="shared" si="2"/>
        <v>0</v>
      </c>
      <c r="H14" s="9">
        <f t="shared" si="2"/>
        <v>0</v>
      </c>
      <c r="I14" s="9">
        <f t="shared" si="2"/>
        <v>0</v>
      </c>
      <c r="J14" s="9">
        <f t="shared" si="2"/>
        <v>0</v>
      </c>
      <c r="K14" s="9">
        <f t="shared" si="2"/>
        <v>0</v>
      </c>
      <c r="L14" s="9">
        <f t="shared" si="2"/>
        <v>0</v>
      </c>
      <c r="M14" s="9">
        <f t="shared" si="2"/>
        <v>0</v>
      </c>
      <c r="N14" s="9">
        <f t="shared" si="2"/>
        <v>0</v>
      </c>
      <c r="O14" s="9">
        <f t="shared" si="2"/>
        <v>0</v>
      </c>
      <c r="Q14" s="9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2" cm="1">
        <f t="array" ref="D17">SUM(OSRRefD20x_0)</f>
        <v>81.13</v>
      </c>
      <c r="E17" s="12" cm="1">
        <f t="array" ref="E17">SUM(OSRRefD20x_1)</f>
        <v>7811.88</v>
      </c>
      <c r="F17" s="12" cm="1">
        <f t="array" ref="F17">SUM(OSRRefD20x_2)</f>
        <v>68.5</v>
      </c>
      <c r="G17" s="12" cm="1">
        <f t="array" ref="G17">SUM(OSRRefD20x_3)</f>
        <v>36</v>
      </c>
      <c r="H17" s="12" cm="1">
        <f t="array" ref="H17">SUM(OSRRefD20x_4)</f>
        <v>90.539999999999992</v>
      </c>
      <c r="I17" s="12" cm="1">
        <f t="array" ref="I17">SUM(OSRRefD20x_5)</f>
        <v>36</v>
      </c>
      <c r="J17" s="12" cm="1">
        <f t="array" ref="J17">SUM(OSRRefD20x_6)</f>
        <v>650.18000000000006</v>
      </c>
      <c r="K17" s="12" cm="1">
        <f t="array" ref="K17">SUM(OSRRefD20x_7)</f>
        <v>51.41</v>
      </c>
      <c r="L17" s="12" cm="1">
        <f t="array" ref="L17">SUM(OSRRefD20x_8)</f>
        <v>36</v>
      </c>
      <c r="M17" s="12" cm="1">
        <f t="array" ref="M17">SUM(OSRRefD20x_9)</f>
        <v>36</v>
      </c>
      <c r="N17" s="12" cm="1">
        <f t="array" ref="N17">SUM(OSRRefE20x_0)</f>
        <v>0</v>
      </c>
      <c r="O17" s="12" cm="1">
        <f t="array" ref="O17">SUM(OSRRefE20x_1)</f>
        <v>0</v>
      </c>
      <c r="Q17" s="12" cm="1">
        <f t="array" ref="Q17">SUM(OSRRefG20x)</f>
        <v>8897.6400000000012</v>
      </c>
    </row>
    <row r="18" spans="1:17" s="42" customFormat="1" ht="15" customHeight="1" collapsed="1" x14ac:dyDescent="0.3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2">
        <f>SUM(OSRRefD21_0x_0)</f>
        <v>0</v>
      </c>
      <c r="E18" s="2">
        <f>SUM(OSRRefD21_0x_1)</f>
        <v>0</v>
      </c>
      <c r="F18" s="2">
        <f>SUM(OSRRefD21_0x_2)</f>
        <v>0</v>
      </c>
      <c r="G18" s="2">
        <f>SUM(OSRRefD21_0x_3)</f>
        <v>0</v>
      </c>
      <c r="H18" s="2">
        <f>SUM(OSRRefD21_0x_4)</f>
        <v>0</v>
      </c>
      <c r="I18" s="2">
        <f>SUM(OSRRefD21_0x_5)</f>
        <v>0</v>
      </c>
      <c r="J18" s="2">
        <f>SUM(OSRRefD21_0x_6)</f>
        <v>0</v>
      </c>
      <c r="K18" s="2">
        <f>SUM(OSRRefD21_0x_7)</f>
        <v>0</v>
      </c>
      <c r="L18" s="2">
        <f>SUM(OSRRefD21_0x_8)</f>
        <v>0</v>
      </c>
      <c r="M18" s="2">
        <f>SUM(OSRRefD21_0x_9)</f>
        <v>0</v>
      </c>
      <c r="N18" s="2">
        <f>SUM(OSRRefE21_0x_0)</f>
        <v>0</v>
      </c>
      <c r="O18" s="2">
        <f>SUM(OSRRefE21_0x_1)</f>
        <v>0</v>
      </c>
      <c r="Q18" s="3">
        <f>SUM(OSRRefD20_0x)+IFERROR(SUM(OSRRefE20_0x),0)</f>
        <v>0</v>
      </c>
    </row>
    <row r="19" spans="1:17" s="42" customFormat="1" ht="15" hidden="1" customHeight="1" outlineLevel="1" x14ac:dyDescent="0.3">
      <c r="A19" s="34"/>
      <c r="B19" s="11" t="str">
        <f>CONCATENATE("          ","6111"," - ","F.I.C.A.")</f>
        <v xml:space="preserve">          6111 - F.I.C.A.</v>
      </c>
      <c r="C19" s="15"/>
      <c r="D19" s="3"/>
      <c r="E19" s="3"/>
      <c r="F19" s="3"/>
      <c r="G19" s="3"/>
      <c r="H19" s="3"/>
      <c r="I19" s="3"/>
      <c r="J19" s="3"/>
      <c r="K19" s="3"/>
      <c r="L19" s="3"/>
      <c r="M19" s="3"/>
      <c r="N19" s="3">
        <v>0</v>
      </c>
      <c r="O19" s="3">
        <v>0</v>
      </c>
      <c r="P19" s="10"/>
      <c r="Q19" s="3">
        <f>SUM(OSRRefD21_0_0x)+IFERROR(SUM(OSRRefE21_0_0x),0)</f>
        <v>0</v>
      </c>
    </row>
    <row r="20" spans="1:17" s="42" customFormat="1" ht="15" hidden="1" customHeight="1" outlineLevel="1" x14ac:dyDescent="0.3">
      <c r="A20" s="34"/>
      <c r="B20" s="11" t="str">
        <f>CONCATENATE("          ","6112"," - ","COMPENSATION INSURANCE")</f>
        <v xml:space="preserve">          6112 - COMPENSATION INSURANCE</v>
      </c>
      <c r="C20" s="15"/>
      <c r="D20" s="3"/>
      <c r="E20" s="3"/>
      <c r="F20" s="3"/>
      <c r="G20" s="3"/>
      <c r="H20" s="3"/>
      <c r="I20" s="3"/>
      <c r="J20" s="3"/>
      <c r="K20" s="3"/>
      <c r="L20" s="3"/>
      <c r="M20" s="3"/>
      <c r="N20" s="3">
        <v>0</v>
      </c>
      <c r="O20" s="3">
        <v>0</v>
      </c>
      <c r="P20" s="10"/>
      <c r="Q20" s="3">
        <f>SUM(OSRRefD21_0_1x)+IFERROR(SUM(OSRRefE21_0_1x),0)</f>
        <v>0</v>
      </c>
    </row>
    <row r="21" spans="1:17" s="42" customFormat="1" ht="15" hidden="1" customHeight="1" outlineLevel="1" x14ac:dyDescent="0.3">
      <c r="A21" s="34"/>
      <c r="B21" s="11" t="str">
        <f>CONCATENATE("          ","6113"," - ","GROUP INSURANCE")</f>
        <v xml:space="preserve">          6113 - GROUP INSURANCE</v>
      </c>
      <c r="C21" s="15"/>
      <c r="D21" s="3"/>
      <c r="E21" s="3"/>
      <c r="F21" s="3"/>
      <c r="G21" s="3"/>
      <c r="H21" s="3"/>
      <c r="I21" s="3"/>
      <c r="J21" s="3"/>
      <c r="K21" s="3"/>
      <c r="L21" s="3"/>
      <c r="M21" s="3"/>
      <c r="N21" s="3">
        <v>0</v>
      </c>
      <c r="O21" s="3">
        <v>0</v>
      </c>
      <c r="P21" s="10"/>
      <c r="Q21" s="3">
        <f>SUM(OSRRefD21_0_2x)+IFERROR(SUM(OSRRefE21_0_2x),0)</f>
        <v>0</v>
      </c>
    </row>
    <row r="22" spans="1:17" s="42" customFormat="1" ht="15" hidden="1" customHeight="1" outlineLevel="1" x14ac:dyDescent="0.3">
      <c r="A22" s="34"/>
      <c r="B22" s="11" t="str">
        <f>CONCATENATE("          ","6114"," - ","STATE UNEMPLOYMENT INSURANCE")</f>
        <v xml:space="preserve">          6114 - STATE UNEMPLOYMENT INSURANCE</v>
      </c>
      <c r="C22" s="15"/>
      <c r="D22" s="3"/>
      <c r="E22" s="3"/>
      <c r="F22" s="3"/>
      <c r="G22" s="3"/>
      <c r="H22" s="3"/>
      <c r="I22" s="3"/>
      <c r="J22" s="3"/>
      <c r="K22" s="3"/>
      <c r="L22" s="3"/>
      <c r="M22" s="3"/>
      <c r="N22" s="3">
        <v>0</v>
      </c>
      <c r="O22" s="3">
        <v>0</v>
      </c>
      <c r="P22" s="10"/>
      <c r="Q22" s="3">
        <f>SUM(OSRRefD21_0_3x)+IFERROR(SUM(OSRRefE21_0_3x),0)</f>
        <v>0</v>
      </c>
    </row>
    <row r="23" spans="1:17" s="42" customFormat="1" ht="15" hidden="1" customHeight="1" outlineLevel="1" x14ac:dyDescent="0.3">
      <c r="A23" s="34"/>
      <c r="B23" s="11" t="str">
        <f>CONCATENATE("          ","6115"," - ","P.E.R.S.")</f>
        <v xml:space="preserve">          6115 - P.E.R.S.</v>
      </c>
      <c r="C23" s="15"/>
      <c r="D23" s="3"/>
      <c r="E23" s="3"/>
      <c r="F23" s="3"/>
      <c r="G23" s="3"/>
      <c r="H23" s="3"/>
      <c r="I23" s="3"/>
      <c r="J23" s="3"/>
      <c r="K23" s="3"/>
      <c r="L23" s="3"/>
      <c r="M23" s="3"/>
      <c r="N23" s="3">
        <v>0</v>
      </c>
      <c r="O23" s="3">
        <v>0</v>
      </c>
      <c r="P23" s="10"/>
      <c r="Q23" s="3">
        <f>SUM(OSRRefD21_0_4x)+IFERROR(SUM(OSRRefE21_0_4x),0)</f>
        <v>0</v>
      </c>
    </row>
    <row r="24" spans="1:17" s="42" customFormat="1" ht="15" hidden="1" customHeight="1" outlineLevel="1" x14ac:dyDescent="0.3">
      <c r="A24" s="34"/>
      <c r="B24" s="11" t="str">
        <f>CONCATENATE("          ","6116"," - ","EDUCATIONAL BENEFITS")</f>
        <v xml:space="preserve">          6116 - EDUCATIONAL BENEFITS</v>
      </c>
      <c r="C24" s="15"/>
      <c r="D24" s="3"/>
      <c r="E24" s="3"/>
      <c r="F24" s="3"/>
      <c r="G24" s="3"/>
      <c r="H24" s="3"/>
      <c r="I24" s="3"/>
      <c r="J24" s="3"/>
      <c r="K24" s="3"/>
      <c r="L24" s="3"/>
      <c r="M24" s="3"/>
      <c r="N24" s="3">
        <v>0</v>
      </c>
      <c r="O24" s="3">
        <v>0</v>
      </c>
      <c r="P24" s="10"/>
      <c r="Q24" s="3">
        <f>SUM(OSRRefD21_0_5x)+IFERROR(SUM(OSRRefE21_0_5x),0)</f>
        <v>0</v>
      </c>
    </row>
    <row r="25" spans="1:17" s="42" customFormat="1" ht="15" hidden="1" customHeight="1" outlineLevel="1" x14ac:dyDescent="0.3">
      <c r="A25" s="34"/>
      <c r="B25" s="11" t="str">
        <f>CONCATENATE("          ","6118"," - ","VACATION")</f>
        <v xml:space="preserve">          6118 - VACATION</v>
      </c>
      <c r="C25" s="15"/>
      <c r="D25" s="3"/>
      <c r="E25" s="3"/>
      <c r="F25" s="3"/>
      <c r="G25" s="3"/>
      <c r="H25" s="3"/>
      <c r="I25" s="3"/>
      <c r="J25" s="3"/>
      <c r="K25" s="3"/>
      <c r="L25" s="3"/>
      <c r="M25" s="3"/>
      <c r="N25" s="3">
        <v>0</v>
      </c>
      <c r="O25" s="3">
        <v>0</v>
      </c>
      <c r="P25" s="10"/>
      <c r="Q25" s="3">
        <f>SUM(OSRRefD21_0_6x)+IFERROR(SUM(OSRRefE21_0_6x),0)</f>
        <v>0</v>
      </c>
    </row>
    <row r="26" spans="1:17" s="42" customFormat="1" ht="15" hidden="1" customHeight="1" outlineLevel="1" x14ac:dyDescent="0.3">
      <c r="A26" s="34"/>
      <c r="B26" s="11" t="str">
        <f>CONCATENATE("          ","6119"," - ","SICK LEAVE")</f>
        <v xml:space="preserve">          6119 - SICK LEAVE</v>
      </c>
      <c r="C26" s="15"/>
      <c r="D26" s="3"/>
      <c r="E26" s="3"/>
      <c r="F26" s="3"/>
      <c r="G26" s="3"/>
      <c r="H26" s="3"/>
      <c r="I26" s="3"/>
      <c r="J26" s="3"/>
      <c r="K26" s="3"/>
      <c r="L26" s="3"/>
      <c r="M26" s="3"/>
      <c r="N26" s="3">
        <v>0</v>
      </c>
      <c r="O26" s="3">
        <v>0</v>
      </c>
      <c r="P26" s="10"/>
      <c r="Q26" s="3">
        <f>SUM(OSRRefD21_0_7x)+IFERROR(SUM(OSRRefE21_0_7x),0)</f>
        <v>0</v>
      </c>
    </row>
    <row r="27" spans="1:17" s="42" customFormat="1" ht="15" customHeight="1" collapsed="1" x14ac:dyDescent="0.3">
      <c r="A27" s="34"/>
      <c r="B27" s="15" t="str">
        <f>CONCATENATE("     ","*Payroll                                          ")</f>
        <v xml:space="preserve">     *Payroll                                          </v>
      </c>
      <c r="C27" s="15"/>
      <c r="D27" s="2">
        <f>SUM(OSRRefD21_1x_0)</f>
        <v>0</v>
      </c>
      <c r="E27" s="2">
        <f>SUM(OSRRefD21_1x_1)</f>
        <v>0</v>
      </c>
      <c r="F27" s="2">
        <f>SUM(OSRRefD21_1x_2)</f>
        <v>0</v>
      </c>
      <c r="G27" s="2">
        <f>SUM(OSRRefD21_1x_3)</f>
        <v>0</v>
      </c>
      <c r="H27" s="2">
        <f>SUM(OSRRefD21_1x_4)</f>
        <v>0</v>
      </c>
      <c r="I27" s="2">
        <f>SUM(OSRRefD21_1x_5)</f>
        <v>0</v>
      </c>
      <c r="J27" s="2">
        <f>SUM(OSRRefD21_1x_6)</f>
        <v>0</v>
      </c>
      <c r="K27" s="2">
        <f>SUM(OSRRefD21_1x_7)</f>
        <v>0</v>
      </c>
      <c r="L27" s="2">
        <f>SUM(OSRRefD21_1x_8)</f>
        <v>0</v>
      </c>
      <c r="M27" s="2">
        <f>SUM(OSRRefD21_1x_9)</f>
        <v>0</v>
      </c>
      <c r="N27" s="2">
        <f>SUM(OSRRefE21_1x_0)</f>
        <v>0</v>
      </c>
      <c r="O27" s="2">
        <f>SUM(OSRRefE21_1x_1)</f>
        <v>0</v>
      </c>
      <c r="Q27" s="3">
        <f>SUM(OSRRefD20_1x)+IFERROR(SUM(OSRRefE20_1x),0)</f>
        <v>0</v>
      </c>
    </row>
    <row r="28" spans="1:17" s="42" customFormat="1" ht="15" hidden="1" customHeight="1" outlineLevel="1" x14ac:dyDescent="0.3">
      <c r="A28" s="34"/>
      <c r="B28" s="11" t="str">
        <f>CONCATENATE("          ","6001"," - ","ADMINISTRATIVE SALARIES")</f>
        <v xml:space="preserve">          6001 - ADMINISTRATIVE SALARIES</v>
      </c>
      <c r="C28" s="15"/>
      <c r="D28" s="3"/>
      <c r="E28" s="3"/>
      <c r="F28" s="3"/>
      <c r="G28" s="3"/>
      <c r="H28" s="3"/>
      <c r="I28" s="3"/>
      <c r="J28" s="3"/>
      <c r="K28" s="3"/>
      <c r="L28" s="3"/>
      <c r="M28" s="3"/>
      <c r="N28" s="3">
        <v>0</v>
      </c>
      <c r="O28" s="3">
        <v>0</v>
      </c>
      <c r="P28" s="10"/>
      <c r="Q28" s="3">
        <f>SUM(OSRRefD21_1_0x)+IFERROR(SUM(OSRRefE21_1_0x),0)</f>
        <v>0</v>
      </c>
    </row>
    <row r="29" spans="1:17" s="42" customFormat="1" ht="15" hidden="1" customHeight="1" outlineLevel="1" x14ac:dyDescent="0.3">
      <c r="A29" s="34"/>
      <c r="B29" s="11" t="str">
        <f>CONCATENATE("          ","6002"," - ","STAFF SALARIES")</f>
        <v xml:space="preserve">          6002 - STAFF SALARIES</v>
      </c>
      <c r="C29" s="15"/>
      <c r="D29" s="3"/>
      <c r="E29" s="3"/>
      <c r="F29" s="3"/>
      <c r="G29" s="3"/>
      <c r="H29" s="3"/>
      <c r="I29" s="3"/>
      <c r="J29" s="3"/>
      <c r="K29" s="3"/>
      <c r="L29" s="3"/>
      <c r="M29" s="3"/>
      <c r="N29" s="3">
        <v>0</v>
      </c>
      <c r="O29" s="3">
        <v>0</v>
      </c>
      <c r="P29" s="10"/>
      <c r="Q29" s="3">
        <f>SUM(OSRRefD21_1_1x)+IFERROR(SUM(OSRRefE21_1_1x),0)</f>
        <v>0</v>
      </c>
    </row>
    <row r="30" spans="1:17" s="42" customFormat="1" ht="15" hidden="1" customHeight="1" outlineLevel="1" x14ac:dyDescent="0.3">
      <c r="A30" s="34"/>
      <c r="B30" s="11" t="str">
        <f>CONCATENATE("          ","6003"," - ","STAFF HOURLY-9 MONTH")</f>
        <v xml:space="preserve">          6003 - STAFF HOURLY-9 MONTH</v>
      </c>
      <c r="C30" s="15"/>
      <c r="D30" s="3"/>
      <c r="E30" s="3"/>
      <c r="F30" s="3"/>
      <c r="G30" s="3"/>
      <c r="H30" s="3"/>
      <c r="I30" s="3"/>
      <c r="J30" s="3"/>
      <c r="K30" s="3"/>
      <c r="L30" s="3"/>
      <c r="M30" s="3"/>
      <c r="N30" s="3">
        <v>0</v>
      </c>
      <c r="O30" s="3">
        <v>0</v>
      </c>
      <c r="P30" s="10"/>
      <c r="Q30" s="3">
        <f>SUM(OSRRefD21_1_2x)+IFERROR(SUM(OSRRefE21_1_2x),0)</f>
        <v>0</v>
      </c>
    </row>
    <row r="31" spans="1:17" s="42" customFormat="1" ht="15" hidden="1" customHeight="1" outlineLevel="1" x14ac:dyDescent="0.3">
      <c r="A31" s="34"/>
      <c r="B31" s="11" t="str">
        <f>CONCATENATE("          ","6004"," - ","STAFF HOURLY")</f>
        <v xml:space="preserve">          6004 - STAFF HOURLY</v>
      </c>
      <c r="C31" s="15"/>
      <c r="D31" s="3"/>
      <c r="E31" s="3"/>
      <c r="F31" s="3"/>
      <c r="G31" s="3"/>
      <c r="H31" s="3"/>
      <c r="I31" s="3"/>
      <c r="J31" s="3"/>
      <c r="K31" s="3"/>
      <c r="L31" s="3"/>
      <c r="M31" s="3"/>
      <c r="N31" s="3">
        <v>0</v>
      </c>
      <c r="O31" s="3">
        <v>0</v>
      </c>
      <c r="P31" s="10"/>
      <c r="Q31" s="3">
        <f>SUM(OSRRefD21_1_3x)+IFERROR(SUM(OSRRefE21_1_3x),0)</f>
        <v>0</v>
      </c>
    </row>
    <row r="32" spans="1:17" s="42" customFormat="1" ht="15" hidden="1" customHeight="1" outlineLevel="1" x14ac:dyDescent="0.3">
      <c r="A32" s="34"/>
      <c r="B32" s="11" t="str">
        <f>CONCATENATE("          ","6005"," - ","TEMPORARY WAGES-HOURLY")</f>
        <v xml:space="preserve">          6005 - TEMPORARY WAGES-HOURLY</v>
      </c>
      <c r="C32" s="15"/>
      <c r="D32" s="3"/>
      <c r="E32" s="3"/>
      <c r="F32" s="3"/>
      <c r="G32" s="3"/>
      <c r="H32" s="3"/>
      <c r="I32" s="3"/>
      <c r="J32" s="3"/>
      <c r="K32" s="3"/>
      <c r="L32" s="3"/>
      <c r="M32" s="3"/>
      <c r="N32" s="3">
        <v>0</v>
      </c>
      <c r="O32" s="3">
        <v>0</v>
      </c>
      <c r="P32" s="10"/>
      <c r="Q32" s="3">
        <f>SUM(OSRRefD21_1_4x)+IFERROR(SUM(OSRRefE21_1_4x),0)</f>
        <v>0</v>
      </c>
    </row>
    <row r="33" spans="1:17" s="42" customFormat="1" ht="15" hidden="1" customHeight="1" outlineLevel="1" x14ac:dyDescent="0.3">
      <c r="A33" s="34"/>
      <c r="B33" s="11" t="str">
        <f>CONCATENATE("          ","6006"," - ","TEMPORARY PART TIME")</f>
        <v xml:space="preserve">          6006 - TEMPORARY PART TIME</v>
      </c>
      <c r="C33" s="15"/>
      <c r="D33" s="3"/>
      <c r="E33" s="3"/>
      <c r="F33" s="3"/>
      <c r="G33" s="3"/>
      <c r="H33" s="3"/>
      <c r="I33" s="3"/>
      <c r="J33" s="3"/>
      <c r="K33" s="3"/>
      <c r="L33" s="3"/>
      <c r="M33" s="3"/>
      <c r="N33" s="3">
        <v>0</v>
      </c>
      <c r="O33" s="3">
        <v>0</v>
      </c>
      <c r="P33" s="10"/>
      <c r="Q33" s="3">
        <f>SUM(OSRRefD21_1_5x)+IFERROR(SUM(OSRRefE21_1_5x),0)</f>
        <v>0</v>
      </c>
    </row>
    <row r="34" spans="1:17" s="42" customFormat="1" ht="15" hidden="1" customHeight="1" outlineLevel="1" x14ac:dyDescent="0.3">
      <c r="A34" s="34"/>
      <c r="B34" s="11" t="str">
        <f>CONCATENATE("          ","6007"," - ","STUDENT HOURLY")</f>
        <v xml:space="preserve">          6007 - STUDENT HOURLY</v>
      </c>
      <c r="C34" s="15"/>
      <c r="D34" s="3"/>
      <c r="E34" s="3"/>
      <c r="F34" s="3"/>
      <c r="G34" s="3"/>
      <c r="H34" s="3"/>
      <c r="I34" s="3"/>
      <c r="J34" s="3"/>
      <c r="K34" s="3"/>
      <c r="L34" s="3"/>
      <c r="M34" s="3"/>
      <c r="N34" s="3">
        <v>0</v>
      </c>
      <c r="O34" s="3">
        <v>0</v>
      </c>
      <c r="P34" s="10"/>
      <c r="Q34" s="3">
        <f>SUM(OSRRefD21_1_6x)+IFERROR(SUM(OSRRefE21_1_6x),0)</f>
        <v>0</v>
      </c>
    </row>
    <row r="35" spans="1:17" s="42" customFormat="1" ht="15" hidden="1" customHeight="1" outlineLevel="1" x14ac:dyDescent="0.3">
      <c r="A35" s="34"/>
      <c r="B35" s="11" t="str">
        <f>CONCATENATE("          ","6008"," - ","STUDENT HOURLY-FICA EXEMPT")</f>
        <v xml:space="preserve">          6008 - STUDENT HOURLY-FICA EXEMPT</v>
      </c>
      <c r="C35" s="15"/>
      <c r="D35" s="3"/>
      <c r="E35" s="3"/>
      <c r="F35" s="3"/>
      <c r="G35" s="3"/>
      <c r="H35" s="3"/>
      <c r="I35" s="3"/>
      <c r="J35" s="3"/>
      <c r="K35" s="3"/>
      <c r="L35" s="3"/>
      <c r="M35" s="3"/>
      <c r="N35" s="3">
        <v>0</v>
      </c>
      <c r="O35" s="3">
        <v>0</v>
      </c>
      <c r="P35" s="10"/>
      <c r="Q35" s="3">
        <f>SUM(OSRRefD21_1_7x)+IFERROR(SUM(OSRRefE21_1_7x),0)</f>
        <v>0</v>
      </c>
    </row>
    <row r="36" spans="1:17" s="42" customFormat="1" ht="15" hidden="1" customHeight="1" outlineLevel="1" x14ac:dyDescent="0.3">
      <c r="A36" s="34"/>
      <c r="B36" s="11" t="str">
        <f>CONCATENATE("          ","6009"," - ","TEMPORARY-SEASONAL")</f>
        <v xml:space="preserve">          6009 - TEMPORARY-SEASONAL</v>
      </c>
      <c r="C36" s="15"/>
      <c r="D36" s="3"/>
      <c r="E36" s="3"/>
      <c r="F36" s="3"/>
      <c r="G36" s="3"/>
      <c r="H36" s="3"/>
      <c r="I36" s="3"/>
      <c r="J36" s="3"/>
      <c r="K36" s="3"/>
      <c r="L36" s="3"/>
      <c r="M36" s="3"/>
      <c r="N36" s="3">
        <v>0</v>
      </c>
      <c r="O36" s="3">
        <v>0</v>
      </c>
      <c r="P36" s="10"/>
      <c r="Q36" s="3">
        <f>SUM(OSRRefD21_1_8x)+IFERROR(SUM(OSRRefE21_1_8x),0)</f>
        <v>0</v>
      </c>
    </row>
    <row r="37" spans="1:17" s="42" customFormat="1" ht="15" hidden="1" customHeight="1" outlineLevel="1" x14ac:dyDescent="0.3">
      <c r="A37" s="34"/>
      <c r="B37" s="11" t="str">
        <f>CONCATENATE("          ","6010"," - ","GRATUITY")</f>
        <v xml:space="preserve">          6010 - GRATUITY</v>
      </c>
      <c r="C37" s="15"/>
      <c r="D37" s="3"/>
      <c r="E37" s="3"/>
      <c r="F37" s="3"/>
      <c r="G37" s="3"/>
      <c r="H37" s="3"/>
      <c r="I37" s="3"/>
      <c r="J37" s="3"/>
      <c r="K37" s="3"/>
      <c r="L37" s="3"/>
      <c r="M37" s="3"/>
      <c r="N37" s="3">
        <v>0</v>
      </c>
      <c r="O37" s="3">
        <v>0</v>
      </c>
      <c r="P37" s="10"/>
      <c r="Q37" s="3">
        <f>SUM(OSRRefD21_1_9x)+IFERROR(SUM(OSRRefE21_1_9x),0)</f>
        <v>0</v>
      </c>
    </row>
    <row r="38" spans="1:17" s="42" customFormat="1" ht="15" customHeight="1" collapsed="1" x14ac:dyDescent="0.3">
      <c r="A38" s="34"/>
      <c r="B38" s="15" t="str">
        <f>CONCATENATE("     ","General                                           ")</f>
        <v xml:space="preserve">     General                                           </v>
      </c>
      <c r="C38" s="15"/>
      <c r="D38" s="2">
        <f>SUM(OSRRefD21_2x_0)</f>
        <v>0</v>
      </c>
      <c r="E38" s="2">
        <f>SUM(OSRRefD21_2x_1)</f>
        <v>7489.93</v>
      </c>
      <c r="F38" s="2">
        <f>SUM(OSRRefD21_2x_2)</f>
        <v>0</v>
      </c>
      <c r="G38" s="2">
        <f>SUM(OSRRefD21_2x_3)</f>
        <v>0</v>
      </c>
      <c r="H38" s="2">
        <f>SUM(OSRRefD21_2x_4)</f>
        <v>0</v>
      </c>
      <c r="I38" s="2">
        <f>SUM(OSRRefD21_2x_5)</f>
        <v>0</v>
      </c>
      <c r="J38" s="2">
        <f>SUM(OSRRefD21_2x_6)</f>
        <v>326.18</v>
      </c>
      <c r="K38" s="2">
        <f>SUM(OSRRefD21_2x_7)</f>
        <v>0</v>
      </c>
      <c r="L38" s="2">
        <f>SUM(OSRRefD21_2x_8)</f>
        <v>0</v>
      </c>
      <c r="M38" s="2">
        <f>SUM(OSRRefD21_2x_9)</f>
        <v>0</v>
      </c>
      <c r="N38" s="2">
        <f>SUM(OSRRefE21_2x_0)</f>
        <v>0</v>
      </c>
      <c r="O38" s="2">
        <f>SUM(OSRRefE21_2x_1)</f>
        <v>0</v>
      </c>
      <c r="Q38" s="3">
        <f>SUM(OSRRefD20_2x)+IFERROR(SUM(OSRRefE20_2x),0)</f>
        <v>7816.1100000000006</v>
      </c>
    </row>
    <row r="39" spans="1:17" s="42" customFormat="1" ht="15" hidden="1" customHeight="1" outlineLevel="1" x14ac:dyDescent="0.3">
      <c r="A39" s="34"/>
      <c r="B39" s="11" t="str">
        <f>CONCATENATE("          ","6279"," - ","GENERAL EXPENSE")</f>
        <v xml:space="preserve">          6279 - GENERAL EXPENSE</v>
      </c>
      <c r="C39" s="15"/>
      <c r="D39" s="3"/>
      <c r="E39" s="3">
        <v>7489.93</v>
      </c>
      <c r="F39" s="3"/>
      <c r="G39" s="3"/>
      <c r="H39" s="3"/>
      <c r="I39" s="3"/>
      <c r="J39" s="3">
        <v>326.18</v>
      </c>
      <c r="K39" s="3"/>
      <c r="L39" s="3"/>
      <c r="M39" s="3"/>
      <c r="N39" s="3"/>
      <c r="O39" s="3"/>
      <c r="P39" s="10"/>
      <c r="Q39" s="3">
        <f>SUM(OSRRefD21_2_0x)+IFERROR(SUM(OSRRefE21_2_0x),0)</f>
        <v>7816.1100000000006</v>
      </c>
    </row>
    <row r="40" spans="1:17" s="42" customFormat="1" ht="15" customHeight="1" collapsed="1" x14ac:dyDescent="0.3">
      <c r="A40" s="34"/>
      <c r="B40" s="15" t="str">
        <f>CONCATENATE("     ","Supplies                                          ")</f>
        <v xml:space="preserve">     Supplies                                          </v>
      </c>
      <c r="C40" s="15"/>
      <c r="D40" s="2">
        <f>SUM(OSRRefD21_3x_0)</f>
        <v>245.13</v>
      </c>
      <c r="E40" s="2">
        <f>SUM(OSRRefD21_3x_1)</f>
        <v>253.45</v>
      </c>
      <c r="F40" s="2">
        <f>SUM(OSRRefD21_3x_2)</f>
        <v>0</v>
      </c>
      <c r="G40" s="2">
        <f>SUM(OSRRefD21_3x_3)</f>
        <v>0</v>
      </c>
      <c r="H40" s="2">
        <f>SUM(OSRRefD21_3x_4)</f>
        <v>22.04</v>
      </c>
      <c r="I40" s="2">
        <f>SUM(OSRRefD21_3x_5)</f>
        <v>0</v>
      </c>
      <c r="J40" s="2">
        <f>SUM(OSRRefD21_3x_6)</f>
        <v>28</v>
      </c>
      <c r="K40" s="2">
        <f>SUM(OSRRefD21_3x_7)</f>
        <v>15.41</v>
      </c>
      <c r="L40" s="2">
        <f>SUM(OSRRefD21_3x_8)</f>
        <v>0</v>
      </c>
      <c r="M40" s="2">
        <f>SUM(OSRRefD21_3x_9)</f>
        <v>0</v>
      </c>
      <c r="N40" s="2">
        <f>SUM(OSRRefE21_3x_0)</f>
        <v>0</v>
      </c>
      <c r="O40" s="2">
        <f>SUM(OSRRefE21_3x_1)</f>
        <v>0</v>
      </c>
      <c r="Q40" s="3">
        <f>SUM(OSRRefD20_3x)+IFERROR(SUM(OSRRefE20_3x),0)</f>
        <v>564.03</v>
      </c>
    </row>
    <row r="41" spans="1:17" s="42" customFormat="1" ht="15" hidden="1" customHeight="1" outlineLevel="1" x14ac:dyDescent="0.3">
      <c r="A41" s="34"/>
      <c r="B41" s="11" t="str">
        <f>CONCATENATE("          ","6241"," - ","OFFICE EXPENSE")</f>
        <v xml:space="preserve">          6241 - OFFICE EXPENSE</v>
      </c>
      <c r="C41" s="15"/>
      <c r="D41" s="3">
        <v>245.13</v>
      </c>
      <c r="E41" s="3">
        <v>253.45</v>
      </c>
      <c r="F41" s="3"/>
      <c r="G41" s="3"/>
      <c r="H41" s="3">
        <v>22.04</v>
      </c>
      <c r="I41" s="3"/>
      <c r="J41" s="3">
        <v>28</v>
      </c>
      <c r="K41" s="3">
        <v>15.41</v>
      </c>
      <c r="L41" s="3"/>
      <c r="M41" s="3"/>
      <c r="N41" s="3"/>
      <c r="O41" s="3"/>
      <c r="P41" s="10"/>
      <c r="Q41" s="3">
        <f>SUM(OSRRefD21_3_0x)+IFERROR(SUM(OSRRefE21_3_0x),0)</f>
        <v>564.03</v>
      </c>
    </row>
    <row r="42" spans="1:17" s="42" customFormat="1" ht="15" customHeight="1" collapsed="1" x14ac:dyDescent="0.3">
      <c r="A42" s="34"/>
      <c r="B42" s="15" t="str">
        <f>CONCATENATE("     ","Telephone/Data Lines                              ")</f>
        <v xml:space="preserve">     Telephone/Data Lines                              </v>
      </c>
      <c r="C42" s="15"/>
      <c r="D42" s="2">
        <f>SUM(OSRRefD21_4x_0)</f>
        <v>-164</v>
      </c>
      <c r="E42" s="2">
        <f>SUM(OSRRefD21_4x_1)</f>
        <v>68.5</v>
      </c>
      <c r="F42" s="2">
        <f>SUM(OSRRefD21_4x_2)</f>
        <v>68.5</v>
      </c>
      <c r="G42" s="2">
        <f>SUM(OSRRefD21_4x_3)</f>
        <v>36</v>
      </c>
      <c r="H42" s="2">
        <f>SUM(OSRRefD21_4x_4)</f>
        <v>68.5</v>
      </c>
      <c r="I42" s="2">
        <f>SUM(OSRRefD21_4x_5)</f>
        <v>36</v>
      </c>
      <c r="J42" s="2">
        <f>SUM(OSRRefD21_4x_6)</f>
        <v>296</v>
      </c>
      <c r="K42" s="2">
        <f>SUM(OSRRefD21_4x_7)</f>
        <v>36</v>
      </c>
      <c r="L42" s="2">
        <f>SUM(OSRRefD21_4x_8)</f>
        <v>36</v>
      </c>
      <c r="M42" s="2">
        <f>SUM(OSRRefD21_4x_9)</f>
        <v>36</v>
      </c>
      <c r="N42" s="2">
        <f>SUM(OSRRefE21_4x_0)</f>
        <v>0</v>
      </c>
      <c r="O42" s="2">
        <f>SUM(OSRRefE21_4x_1)</f>
        <v>0</v>
      </c>
      <c r="Q42" s="3">
        <f>SUM(OSRRefD20_4x)+IFERROR(SUM(OSRRefE20_4x),0)</f>
        <v>517.5</v>
      </c>
    </row>
    <row r="43" spans="1:17" s="42" customFormat="1" ht="15" hidden="1" customHeight="1" outlineLevel="1" x14ac:dyDescent="0.3">
      <c r="A43" s="34"/>
      <c r="B43" s="11" t="str">
        <f>CONCATENATE("          ","6309"," - ","TELEPHONE")</f>
        <v xml:space="preserve">          6309 - TELEPHONE</v>
      </c>
      <c r="C43" s="15"/>
      <c r="D43" s="3">
        <v>-164</v>
      </c>
      <c r="E43" s="3">
        <v>68.5</v>
      </c>
      <c r="F43" s="3">
        <v>68.5</v>
      </c>
      <c r="G43" s="3">
        <v>36</v>
      </c>
      <c r="H43" s="3">
        <v>68.5</v>
      </c>
      <c r="I43" s="3">
        <v>36</v>
      </c>
      <c r="J43" s="3">
        <v>296</v>
      </c>
      <c r="K43" s="3">
        <v>36</v>
      </c>
      <c r="L43" s="3">
        <v>36</v>
      </c>
      <c r="M43" s="3">
        <v>36</v>
      </c>
      <c r="N43" s="3"/>
      <c r="O43" s="3"/>
      <c r="P43" s="10"/>
      <c r="Q43" s="3">
        <f>SUM(OSRRefD21_4_0x)+IFERROR(SUM(OSRRefE21_4_0x),0)</f>
        <v>517.5</v>
      </c>
    </row>
    <row r="44" spans="1:17" s="40" customFormat="1" ht="15" customHeight="1" x14ac:dyDescent="0.3">
      <c r="A44" s="22"/>
      <c r="B44" s="22"/>
      <c r="C44" s="2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Q44" s="2"/>
    </row>
    <row r="45" spans="1:17" s="39" customFormat="1" ht="15" customHeight="1" x14ac:dyDescent="0.3">
      <c r="A45" s="24"/>
      <c r="B45" s="17" t="s">
        <v>287</v>
      </c>
      <c r="C45" s="23"/>
      <c r="D45" s="4">
        <f>0</f>
        <v>0</v>
      </c>
      <c r="E45" s="4">
        <f>0</f>
        <v>0</v>
      </c>
      <c r="F45" s="4">
        <f>--14180.35</f>
        <v>14180.35</v>
      </c>
      <c r="G45" s="4">
        <f>--5936.59</f>
        <v>5936.59</v>
      </c>
      <c r="H45" s="4">
        <f>--5819.63</f>
        <v>5819.63</v>
      </c>
      <c r="I45" s="4">
        <f>--93856.21</f>
        <v>93856.21</v>
      </c>
      <c r="J45" s="4">
        <f>--6236.07</f>
        <v>6236.07</v>
      </c>
      <c r="K45" s="4">
        <f>--2069.92</f>
        <v>2069.92</v>
      </c>
      <c r="L45" s="4">
        <f>--5387.14</f>
        <v>5387.14</v>
      </c>
      <c r="M45" s="4">
        <f>--6601.19</f>
        <v>6601.19</v>
      </c>
      <c r="N45" s="4">
        <v>29120.49</v>
      </c>
      <c r="O45" s="4">
        <v>12000</v>
      </c>
      <c r="Q45" s="3">
        <f>SUM(OSRRefD23_0x)+IFERROR(SUM(OSRRefE23_0x),0)</f>
        <v>181207.59000000003</v>
      </c>
    </row>
    <row r="46" spans="1:17" ht="15" customHeight="1" x14ac:dyDescent="0.3">
      <c r="A46" s="6"/>
      <c r="B46" s="7"/>
      <c r="C46" s="7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Q46" s="4"/>
    </row>
    <row r="47" spans="1:17" s="37" customFormat="1" ht="15" customHeight="1" x14ac:dyDescent="0.3">
      <c r="A47" s="7"/>
      <c r="B47" s="18" t="s">
        <v>288</v>
      </c>
      <c r="C47" s="18"/>
      <c r="D47" s="9">
        <f t="shared" ref="D47:O47" si="4">IFERROR(+D14-D17+D45,0)</f>
        <v>-81.13</v>
      </c>
      <c r="E47" s="9">
        <f t="shared" si="4"/>
        <v>-7811.88</v>
      </c>
      <c r="F47" s="9">
        <f t="shared" si="4"/>
        <v>14111.85</v>
      </c>
      <c r="G47" s="9">
        <f t="shared" si="4"/>
        <v>5900.59</v>
      </c>
      <c r="H47" s="9">
        <f t="shared" si="4"/>
        <v>5729.09</v>
      </c>
      <c r="I47" s="9">
        <f t="shared" si="4"/>
        <v>93820.21</v>
      </c>
      <c r="J47" s="9">
        <f t="shared" si="4"/>
        <v>5585.8899999999994</v>
      </c>
      <c r="K47" s="9">
        <f t="shared" si="4"/>
        <v>2018.51</v>
      </c>
      <c r="L47" s="9">
        <f t="shared" si="4"/>
        <v>5351.14</v>
      </c>
      <c r="M47" s="9">
        <f t="shared" si="4"/>
        <v>6565.19</v>
      </c>
      <c r="N47" s="9">
        <f t="shared" si="4"/>
        <v>29120.49</v>
      </c>
      <c r="O47" s="9">
        <f t="shared" si="4"/>
        <v>12000</v>
      </c>
      <c r="Q47" s="9">
        <f>IFERROR(+Q14-Q17+Q45,0)</f>
        <v>172309.95</v>
      </c>
    </row>
    <row r="48" spans="1:17" s="38" customFormat="1" ht="15" customHeight="1" x14ac:dyDescent="0.3">
      <c r="B48" s="17"/>
      <c r="C48" s="17"/>
      <c r="D48" s="5">
        <f t="shared" ref="D48:O48" si="5">IFERROR(D47/D10,0)</f>
        <v>0</v>
      </c>
      <c r="E48" s="5">
        <f t="shared" si="5"/>
        <v>0</v>
      </c>
      <c r="F48" s="5">
        <f t="shared" si="5"/>
        <v>0</v>
      </c>
      <c r="G48" s="5">
        <f t="shared" si="5"/>
        <v>0</v>
      </c>
      <c r="H48" s="5">
        <f t="shared" si="5"/>
        <v>0</v>
      </c>
      <c r="I48" s="5">
        <f t="shared" si="5"/>
        <v>0</v>
      </c>
      <c r="J48" s="5">
        <f t="shared" si="5"/>
        <v>0</v>
      </c>
      <c r="K48" s="5">
        <f t="shared" si="5"/>
        <v>0</v>
      </c>
      <c r="L48" s="5">
        <f t="shared" si="5"/>
        <v>0</v>
      </c>
      <c r="M48" s="5">
        <f t="shared" si="5"/>
        <v>0</v>
      </c>
      <c r="N48" s="5">
        <f t="shared" si="5"/>
        <v>0</v>
      </c>
      <c r="O48" s="5">
        <f t="shared" si="5"/>
        <v>0</v>
      </c>
      <c r="P48" s="19"/>
      <c r="Q48" s="5">
        <f>IFERROR(Q47/Q10,0)</f>
        <v>0</v>
      </c>
    </row>
    <row r="49" spans="1:17" ht="15" customHeight="1" x14ac:dyDescent="0.3">
      <c r="A49" s="6"/>
      <c r="B49" s="7"/>
      <c r="C49" s="6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Q49" s="4"/>
    </row>
    <row r="50" spans="1:17" s="37" customFormat="1" ht="15" customHeight="1" x14ac:dyDescent="0.3">
      <c r="A50" s="26"/>
      <c r="B50" s="7" t="s">
        <v>289</v>
      </c>
      <c r="C50" s="7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Q50" s="3">
        <f>SUM(OSRRefD28_0x)+IFERROR(SUM(OSRRefE28_0x),0)</f>
        <v>0</v>
      </c>
    </row>
    <row r="51" spans="1:17" ht="15" customHeight="1" x14ac:dyDescent="0.3">
      <c r="A51" s="6"/>
      <c r="B51" s="7"/>
      <c r="C51" s="7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Q51" s="4"/>
    </row>
    <row r="52" spans="1:17" s="37" customFormat="1" ht="15.75" customHeight="1" x14ac:dyDescent="0.3">
      <c r="A52" s="7"/>
      <c r="B52" s="18" t="s">
        <v>290</v>
      </c>
      <c r="C52" s="18"/>
      <c r="D52" s="8">
        <f t="shared" ref="D52:O52" si="6">IFERROR(+D47-D50,0)</f>
        <v>-81.13</v>
      </c>
      <c r="E52" s="8">
        <f t="shared" si="6"/>
        <v>-7811.88</v>
      </c>
      <c r="F52" s="8">
        <f t="shared" si="6"/>
        <v>14111.85</v>
      </c>
      <c r="G52" s="8">
        <f t="shared" si="6"/>
        <v>5900.59</v>
      </c>
      <c r="H52" s="8">
        <f t="shared" si="6"/>
        <v>5729.09</v>
      </c>
      <c r="I52" s="8">
        <f t="shared" si="6"/>
        <v>93820.21</v>
      </c>
      <c r="J52" s="8">
        <f t="shared" si="6"/>
        <v>5585.8899999999994</v>
      </c>
      <c r="K52" s="8">
        <f t="shared" si="6"/>
        <v>2018.51</v>
      </c>
      <c r="L52" s="8">
        <f t="shared" si="6"/>
        <v>5351.14</v>
      </c>
      <c r="M52" s="8">
        <f t="shared" si="6"/>
        <v>6565.19</v>
      </c>
      <c r="N52" s="8">
        <f t="shared" si="6"/>
        <v>29120.49</v>
      </c>
      <c r="O52" s="8">
        <f t="shared" si="6"/>
        <v>12000</v>
      </c>
      <c r="Q52" s="8">
        <f>IFERROR(+Q47-Q50,0)</f>
        <v>172309.95</v>
      </c>
    </row>
    <row r="53" spans="1:17" ht="15.75" customHeight="1" x14ac:dyDescent="0.3">
      <c r="A53" s="6"/>
      <c r="B53" s="6"/>
      <c r="C53" s="6"/>
      <c r="D53" s="5">
        <f t="shared" ref="D53:O53" si="7">IFERROR(D52/D10,0)</f>
        <v>0</v>
      </c>
      <c r="E53" s="5">
        <f t="shared" si="7"/>
        <v>0</v>
      </c>
      <c r="F53" s="5">
        <f t="shared" si="7"/>
        <v>0</v>
      </c>
      <c r="G53" s="5">
        <f t="shared" si="7"/>
        <v>0</v>
      </c>
      <c r="H53" s="5">
        <f t="shared" si="7"/>
        <v>0</v>
      </c>
      <c r="I53" s="5">
        <f t="shared" si="7"/>
        <v>0</v>
      </c>
      <c r="J53" s="5">
        <f t="shared" si="7"/>
        <v>0</v>
      </c>
      <c r="K53" s="5">
        <f t="shared" si="7"/>
        <v>0</v>
      </c>
      <c r="L53" s="5">
        <f t="shared" si="7"/>
        <v>0</v>
      </c>
      <c r="M53" s="5">
        <f t="shared" si="7"/>
        <v>0</v>
      </c>
      <c r="N53" s="5">
        <f t="shared" si="7"/>
        <v>0</v>
      </c>
      <c r="O53" s="5">
        <f t="shared" si="7"/>
        <v>0</v>
      </c>
      <c r="P53" s="19"/>
      <c r="Q53" s="5">
        <f>IFERROR(Q52/Q10,0)</f>
        <v>0</v>
      </c>
    </row>
    <row r="54" spans="1:17" ht="15" customHeight="1" x14ac:dyDescent="0.3">
      <c r="A54" s="6"/>
      <c r="B54" s="6"/>
      <c r="C54" s="6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Q54" s="4"/>
    </row>
    <row r="55" spans="1:17" ht="15" customHeight="1" x14ac:dyDescent="0.3">
      <c r="A55" s="6"/>
      <c r="B55" s="6"/>
      <c r="C55" s="6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Q55" s="4"/>
    </row>
    <row r="56" spans="1:17" s="37" customFormat="1" ht="15.75" customHeight="1" x14ac:dyDescent="0.3">
      <c r="A56" s="7"/>
      <c r="B56" s="18" t="s">
        <v>293</v>
      </c>
      <c r="C56" s="18"/>
      <c r="D56" s="8">
        <f t="shared" ref="D56:O56" si="8">IFERROR(SUM(D52:D55),0)</f>
        <v>-81.13</v>
      </c>
      <c r="E56" s="8">
        <f t="shared" si="8"/>
        <v>-7811.88</v>
      </c>
      <c r="F56" s="8">
        <f t="shared" si="8"/>
        <v>14111.85</v>
      </c>
      <c r="G56" s="8">
        <f t="shared" si="8"/>
        <v>5900.59</v>
      </c>
      <c r="H56" s="8">
        <f t="shared" si="8"/>
        <v>5729.09</v>
      </c>
      <c r="I56" s="8">
        <f t="shared" si="8"/>
        <v>93820.21</v>
      </c>
      <c r="J56" s="8">
        <f t="shared" si="8"/>
        <v>5585.8899999999994</v>
      </c>
      <c r="K56" s="8">
        <f t="shared" si="8"/>
        <v>2018.51</v>
      </c>
      <c r="L56" s="8">
        <f t="shared" si="8"/>
        <v>5351.14</v>
      </c>
      <c r="M56" s="8">
        <f t="shared" si="8"/>
        <v>6565.19</v>
      </c>
      <c r="N56" s="8">
        <f t="shared" si="8"/>
        <v>29120.49</v>
      </c>
      <c r="O56" s="8">
        <f t="shared" si="8"/>
        <v>12000</v>
      </c>
      <c r="Q56" s="8">
        <f>IFERROR(SUM(Q52:Q55),0)</f>
        <v>172309.95</v>
      </c>
    </row>
    <row r="57" spans="1:17" ht="15.75" customHeight="1" x14ac:dyDescent="0.3">
      <c r="A57" s="6"/>
      <c r="C57" s="6"/>
      <c r="D57" s="5">
        <f t="shared" ref="D57:O57" si="9">IFERROR(D56/D10,0)</f>
        <v>0</v>
      </c>
      <c r="E57" s="5">
        <f t="shared" si="9"/>
        <v>0</v>
      </c>
      <c r="F57" s="5">
        <f t="shared" si="9"/>
        <v>0</v>
      </c>
      <c r="G57" s="5">
        <f t="shared" si="9"/>
        <v>0</v>
      </c>
      <c r="H57" s="5">
        <f t="shared" si="9"/>
        <v>0</v>
      </c>
      <c r="I57" s="5">
        <f t="shared" si="9"/>
        <v>0</v>
      </c>
      <c r="J57" s="5">
        <f t="shared" si="9"/>
        <v>0</v>
      </c>
      <c r="K57" s="5">
        <f t="shared" si="9"/>
        <v>0</v>
      </c>
      <c r="L57" s="5">
        <f t="shared" si="9"/>
        <v>0</v>
      </c>
      <c r="M57" s="5">
        <f t="shared" si="9"/>
        <v>0</v>
      </c>
      <c r="N57" s="5">
        <f t="shared" si="9"/>
        <v>0</v>
      </c>
      <c r="O57" s="5">
        <f t="shared" si="9"/>
        <v>0</v>
      </c>
      <c r="P57" s="19"/>
      <c r="Q57" s="5">
        <f>IFERROR(Q56/Q10,0)</f>
        <v>0</v>
      </c>
    </row>
    <row r="58" spans="1:17" ht="15" customHeight="1" x14ac:dyDescent="0.3">
      <c r="A58" s="6"/>
      <c r="B58" s="33">
        <v>44694.892891863426</v>
      </c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Q58" s="14"/>
    </row>
    <row r="59" spans="1:17" ht="15" customHeight="1" x14ac:dyDescent="0.3">
      <c r="A59" s="6"/>
      <c r="B59" s="31" t="s">
        <v>294</v>
      </c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Q59" s="14"/>
    </row>
    <row r="60" spans="1:17" ht="15" customHeight="1" x14ac:dyDescent="0.3">
      <c r="A60" s="6"/>
      <c r="B60" s="27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Q60" s="14"/>
    </row>
    <row r="61" spans="1:17" ht="15" customHeight="1" x14ac:dyDescent="0.3"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Q6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2CD14-1BC2-F53C-5943-00862CFD1B8A}">
  <sheetPr>
    <tabColor rgb="FF92D050"/>
    <outlinePr summaryBelow="0" summaryRight="0"/>
    <pageSetUpPr fitToPage="1"/>
  </sheetPr>
  <dimension ref="A2:R39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","424"," - ","Blair Field")</f>
        <v>Department 424 - Blair Field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9">
        <f t="shared" ref="D14:O14" si="2">IFERROR(+D10-D12,0)</f>
        <v>0</v>
      </c>
      <c r="E14" s="9">
        <f t="shared" si="2"/>
        <v>0</v>
      </c>
      <c r="F14" s="9">
        <f t="shared" si="2"/>
        <v>0</v>
      </c>
      <c r="G14" s="9">
        <f t="shared" si="2"/>
        <v>0</v>
      </c>
      <c r="H14" s="9">
        <f t="shared" si="2"/>
        <v>0</v>
      </c>
      <c r="I14" s="9">
        <f t="shared" si="2"/>
        <v>0</v>
      </c>
      <c r="J14" s="9">
        <f t="shared" si="2"/>
        <v>0</v>
      </c>
      <c r="K14" s="9">
        <f t="shared" si="2"/>
        <v>0</v>
      </c>
      <c r="L14" s="9">
        <f t="shared" si="2"/>
        <v>0</v>
      </c>
      <c r="M14" s="9">
        <f t="shared" si="2"/>
        <v>0</v>
      </c>
      <c r="N14" s="9">
        <f t="shared" si="2"/>
        <v>0</v>
      </c>
      <c r="O14" s="9">
        <f t="shared" si="2"/>
        <v>0</v>
      </c>
      <c r="Q14" s="9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2" cm="1">
        <f t="array" ref="D17">SUM(OSRRefD20x_0)</f>
        <v>479.29</v>
      </c>
      <c r="E17" s="12" cm="1">
        <f t="array" ref="E17">SUM(OSRRefD20x_1)</f>
        <v>479.29</v>
      </c>
      <c r="F17" s="12" cm="1">
        <f t="array" ref="F17">SUM(OSRRefD20x_2)</f>
        <v>479.29</v>
      </c>
      <c r="G17" s="12" cm="1">
        <f t="array" ref="G17">SUM(OSRRefD20x_3)</f>
        <v>479.29</v>
      </c>
      <c r="H17" s="12" cm="1">
        <f t="array" ref="H17">SUM(OSRRefD20x_4)</f>
        <v>479.29</v>
      </c>
      <c r="I17" s="12" cm="1">
        <f t="array" ref="I17">SUM(OSRRefD20x_5)</f>
        <v>483.29</v>
      </c>
      <c r="J17" s="12" cm="1">
        <f t="array" ref="J17">SUM(OSRRefD20x_6)</f>
        <v>479.29</v>
      </c>
      <c r="K17" s="12" cm="1">
        <f t="array" ref="K17">SUM(OSRRefD20x_7)</f>
        <v>954.29</v>
      </c>
      <c r="L17" s="12" cm="1">
        <f t="array" ref="L17">SUM(OSRRefD20x_8)</f>
        <v>479.29</v>
      </c>
      <c r="M17" s="12" cm="1">
        <f t="array" ref="M17">SUM(OSRRefD20x_9)</f>
        <v>479.29</v>
      </c>
      <c r="N17" s="12" cm="1">
        <f t="array" ref="N17">SUM(OSRRefE20x_0)</f>
        <v>479</v>
      </c>
      <c r="O17" s="12" cm="1">
        <f t="array" ref="O17">SUM(OSRRefE20x_1)</f>
        <v>479</v>
      </c>
      <c r="Q17" s="12" cm="1">
        <f t="array" ref="Q17">SUM(OSRRefG20x)</f>
        <v>6229.9000000000005</v>
      </c>
    </row>
    <row r="18" spans="1:17" s="42" customFormat="1" ht="15" customHeight="1" collapsed="1" x14ac:dyDescent="0.3">
      <c r="A18" s="34"/>
      <c r="B18" s="15" t="str">
        <f>CONCATENATE("     ","Depreciation                                      ")</f>
        <v xml:space="preserve">     Depreciation                                      </v>
      </c>
      <c r="C18" s="15"/>
      <c r="D18" s="2">
        <f>SUM(OSRRefD21_0x_0)</f>
        <v>479.29</v>
      </c>
      <c r="E18" s="2">
        <f>SUM(OSRRefD21_0x_1)</f>
        <v>479.29</v>
      </c>
      <c r="F18" s="2">
        <f>SUM(OSRRefD21_0x_2)</f>
        <v>479.29</v>
      </c>
      <c r="G18" s="2">
        <f>SUM(OSRRefD21_0x_3)</f>
        <v>479.29</v>
      </c>
      <c r="H18" s="2">
        <f>SUM(OSRRefD21_0x_4)</f>
        <v>479.29</v>
      </c>
      <c r="I18" s="2">
        <f>SUM(OSRRefD21_0x_5)</f>
        <v>479.29</v>
      </c>
      <c r="J18" s="2">
        <f>SUM(OSRRefD21_0x_6)</f>
        <v>479.29</v>
      </c>
      <c r="K18" s="2">
        <f>SUM(OSRRefD21_0x_7)</f>
        <v>479.29</v>
      </c>
      <c r="L18" s="2">
        <f>SUM(OSRRefD21_0x_8)</f>
        <v>479.29</v>
      </c>
      <c r="M18" s="2">
        <f>SUM(OSRRefD21_0x_9)</f>
        <v>479.29</v>
      </c>
      <c r="N18" s="2">
        <f>SUM(OSRRefE21_0x_0)</f>
        <v>479</v>
      </c>
      <c r="O18" s="2">
        <f>SUM(OSRRefE21_0x_1)</f>
        <v>479</v>
      </c>
      <c r="Q18" s="3">
        <f>SUM(OSRRefD20_0x)+IFERROR(SUM(OSRRefE20_0x),0)</f>
        <v>5750.9000000000005</v>
      </c>
    </row>
    <row r="19" spans="1:17" s="42" customFormat="1" ht="15" hidden="1" customHeight="1" outlineLevel="1" x14ac:dyDescent="0.3">
      <c r="A19" s="34"/>
      <c r="B19" s="11" t="str">
        <f>CONCATENATE("          ","6322"," - ","EQUIPMENT DEPRECIATION EXPENSE")</f>
        <v xml:space="preserve">          6322 - EQUIPMENT DEPRECIATION EXPENSE</v>
      </c>
      <c r="C19" s="15"/>
      <c r="D19" s="3">
        <v>479.29</v>
      </c>
      <c r="E19" s="3">
        <v>479.29</v>
      </c>
      <c r="F19" s="3">
        <v>479.29</v>
      </c>
      <c r="G19" s="3">
        <v>479.29</v>
      </c>
      <c r="H19" s="3">
        <v>479.29</v>
      </c>
      <c r="I19" s="3">
        <v>479.29</v>
      </c>
      <c r="J19" s="3">
        <v>479.29</v>
      </c>
      <c r="K19" s="3">
        <v>479.29</v>
      </c>
      <c r="L19" s="3">
        <v>479.29</v>
      </c>
      <c r="M19" s="3">
        <v>479.29</v>
      </c>
      <c r="N19" s="3">
        <v>479</v>
      </c>
      <c r="O19" s="3">
        <v>479</v>
      </c>
      <c r="P19" s="10"/>
      <c r="Q19" s="3">
        <f>SUM(OSRRefD21_0_0x)+IFERROR(SUM(OSRRefE21_0_0x),0)</f>
        <v>5750.9000000000005</v>
      </c>
    </row>
    <row r="20" spans="1:17" s="42" customFormat="1" ht="15" customHeight="1" collapsed="1" x14ac:dyDescent="0.3">
      <c r="A20" s="34"/>
      <c r="B20" s="15" t="str">
        <f>CONCATENATE("     ","General                                           ")</f>
        <v xml:space="preserve">     General                                           </v>
      </c>
      <c r="C20" s="15"/>
      <c r="D20" s="2">
        <f>SUM(OSRRefD21_1x_0)</f>
        <v>0</v>
      </c>
      <c r="E20" s="2">
        <f>SUM(OSRRefD21_1x_1)</f>
        <v>0</v>
      </c>
      <c r="F20" s="2">
        <f>SUM(OSRRefD21_1x_2)</f>
        <v>0</v>
      </c>
      <c r="G20" s="2">
        <f>SUM(OSRRefD21_1x_3)</f>
        <v>0</v>
      </c>
      <c r="H20" s="2">
        <f>SUM(OSRRefD21_1x_4)</f>
        <v>0</v>
      </c>
      <c r="I20" s="2">
        <f>SUM(OSRRefD21_1x_5)</f>
        <v>4</v>
      </c>
      <c r="J20" s="2">
        <f>SUM(OSRRefD21_1x_6)</f>
        <v>0</v>
      </c>
      <c r="K20" s="2">
        <f>SUM(OSRRefD21_1x_7)</f>
        <v>475</v>
      </c>
      <c r="L20" s="2">
        <f>SUM(OSRRefD21_1x_8)</f>
        <v>0</v>
      </c>
      <c r="M20" s="2">
        <f>SUM(OSRRefD21_1x_9)</f>
        <v>0</v>
      </c>
      <c r="N20" s="2">
        <f>SUM(OSRRefE21_1x_0)</f>
        <v>0</v>
      </c>
      <c r="O20" s="2">
        <f>SUM(OSRRefE21_1x_1)</f>
        <v>0</v>
      </c>
      <c r="Q20" s="3">
        <f>SUM(OSRRefD20_1x)+IFERROR(SUM(OSRRefE20_1x),0)</f>
        <v>479</v>
      </c>
    </row>
    <row r="21" spans="1:17" s="42" customFormat="1" ht="15" hidden="1" customHeight="1" outlineLevel="1" x14ac:dyDescent="0.3">
      <c r="A21" s="34"/>
      <c r="B21" s="11" t="str">
        <f>CONCATENATE("          ","6279"," - ","GENERAL EXPENSE")</f>
        <v xml:space="preserve">          6279 - GENERAL EXPENSE</v>
      </c>
      <c r="C21" s="15"/>
      <c r="D21" s="3"/>
      <c r="E21" s="3"/>
      <c r="F21" s="3"/>
      <c r="G21" s="3"/>
      <c r="H21" s="3"/>
      <c r="I21" s="3">
        <v>4</v>
      </c>
      <c r="J21" s="3"/>
      <c r="K21" s="3">
        <v>475</v>
      </c>
      <c r="L21" s="3"/>
      <c r="M21" s="3"/>
      <c r="N21" s="3"/>
      <c r="O21" s="3"/>
      <c r="P21" s="10"/>
      <c r="Q21" s="3">
        <f>SUM(OSRRefD21_1_0x)+IFERROR(SUM(OSRRefE21_1_0x),0)</f>
        <v>479</v>
      </c>
    </row>
    <row r="22" spans="1:17" s="40" customFormat="1" ht="15" customHeight="1" x14ac:dyDescent="0.3">
      <c r="A22" s="22"/>
      <c r="B22" s="22"/>
      <c r="C22" s="2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Q22" s="2"/>
    </row>
    <row r="23" spans="1:17" s="39" customFormat="1" ht="15" customHeight="1" x14ac:dyDescent="0.3">
      <c r="A23" s="24"/>
      <c r="B23" s="17" t="s">
        <v>287</v>
      </c>
      <c r="C23" s="23"/>
      <c r="D23" s="4">
        <f>0</f>
        <v>0</v>
      </c>
      <c r="E23" s="4">
        <f>0</f>
        <v>0</v>
      </c>
      <c r="F23" s="4">
        <f>0</f>
        <v>0</v>
      </c>
      <c r="G23" s="4">
        <f>0</f>
        <v>0</v>
      </c>
      <c r="H23" s="4">
        <f>0</f>
        <v>0</v>
      </c>
      <c r="I23" s="4">
        <f>0</f>
        <v>0</v>
      </c>
      <c r="J23" s="4">
        <f>0</f>
        <v>0</v>
      </c>
      <c r="K23" s="4">
        <f>0</f>
        <v>0</v>
      </c>
      <c r="L23" s="4">
        <f>0</f>
        <v>0</v>
      </c>
      <c r="M23" s="4">
        <f>0</f>
        <v>0</v>
      </c>
      <c r="N23" s="4"/>
      <c r="O23" s="4"/>
      <c r="Q23" s="3">
        <f>SUM(OSRRefD23_0x)+IFERROR(SUM(OSRRefE23_0x),0)</f>
        <v>0</v>
      </c>
    </row>
    <row r="24" spans="1:17" ht="15" customHeight="1" x14ac:dyDescent="0.3">
      <c r="A24" s="6"/>
      <c r="B24" s="7"/>
      <c r="C24" s="7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Q24" s="4"/>
    </row>
    <row r="25" spans="1:17" s="37" customFormat="1" ht="15" customHeight="1" x14ac:dyDescent="0.3">
      <c r="A25" s="7"/>
      <c r="B25" s="18" t="s">
        <v>288</v>
      </c>
      <c r="C25" s="18"/>
      <c r="D25" s="9">
        <f t="shared" ref="D25:O25" si="4">IFERROR(+D14-D17+D23,0)</f>
        <v>-479.29</v>
      </c>
      <c r="E25" s="9">
        <f t="shared" si="4"/>
        <v>-479.29</v>
      </c>
      <c r="F25" s="9">
        <f t="shared" si="4"/>
        <v>-479.29</v>
      </c>
      <c r="G25" s="9">
        <f t="shared" si="4"/>
        <v>-479.29</v>
      </c>
      <c r="H25" s="9">
        <f t="shared" si="4"/>
        <v>-479.29</v>
      </c>
      <c r="I25" s="9">
        <f t="shared" si="4"/>
        <v>-483.29</v>
      </c>
      <c r="J25" s="9">
        <f t="shared" si="4"/>
        <v>-479.29</v>
      </c>
      <c r="K25" s="9">
        <f t="shared" si="4"/>
        <v>-954.29</v>
      </c>
      <c r="L25" s="9">
        <f t="shared" si="4"/>
        <v>-479.29</v>
      </c>
      <c r="M25" s="9">
        <f t="shared" si="4"/>
        <v>-479.29</v>
      </c>
      <c r="N25" s="9">
        <f t="shared" si="4"/>
        <v>-479</v>
      </c>
      <c r="O25" s="9">
        <f t="shared" si="4"/>
        <v>-479</v>
      </c>
      <c r="Q25" s="9">
        <f>IFERROR(+Q14-Q17+Q23,0)</f>
        <v>-6229.9000000000005</v>
      </c>
    </row>
    <row r="26" spans="1:17" s="38" customFormat="1" ht="15" customHeight="1" x14ac:dyDescent="0.3">
      <c r="B26" s="17"/>
      <c r="C26" s="17"/>
      <c r="D26" s="5">
        <f t="shared" ref="D26:O26" si="5">IFERROR(D25/D10,0)</f>
        <v>0</v>
      </c>
      <c r="E26" s="5">
        <f t="shared" si="5"/>
        <v>0</v>
      </c>
      <c r="F26" s="5">
        <f t="shared" si="5"/>
        <v>0</v>
      </c>
      <c r="G26" s="5">
        <f t="shared" si="5"/>
        <v>0</v>
      </c>
      <c r="H26" s="5">
        <f t="shared" si="5"/>
        <v>0</v>
      </c>
      <c r="I26" s="5">
        <f t="shared" si="5"/>
        <v>0</v>
      </c>
      <c r="J26" s="5">
        <f t="shared" si="5"/>
        <v>0</v>
      </c>
      <c r="K26" s="5">
        <f t="shared" si="5"/>
        <v>0</v>
      </c>
      <c r="L26" s="5">
        <f t="shared" si="5"/>
        <v>0</v>
      </c>
      <c r="M26" s="5">
        <f t="shared" si="5"/>
        <v>0</v>
      </c>
      <c r="N26" s="5">
        <f t="shared" si="5"/>
        <v>0</v>
      </c>
      <c r="O26" s="5">
        <f t="shared" si="5"/>
        <v>0</v>
      </c>
      <c r="P26" s="19"/>
      <c r="Q26" s="5">
        <f>IFERROR(Q25/Q10,0)</f>
        <v>0</v>
      </c>
    </row>
    <row r="27" spans="1:17" ht="15" customHeight="1" x14ac:dyDescent="0.3">
      <c r="A27" s="6"/>
      <c r="B27" s="7"/>
      <c r="C27" s="6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Q27" s="4"/>
    </row>
    <row r="28" spans="1:17" s="37" customFormat="1" ht="15" customHeight="1" x14ac:dyDescent="0.3">
      <c r="A28" s="26"/>
      <c r="B28" s="7" t="s">
        <v>289</v>
      </c>
      <c r="C28" s="7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Q28" s="3">
        <f>SUM(OSRRefD28_0x)+IFERROR(SUM(OSRRefE28_0x),0)</f>
        <v>0</v>
      </c>
    </row>
    <row r="29" spans="1:17" ht="15" customHeight="1" x14ac:dyDescent="0.3">
      <c r="A29" s="6"/>
      <c r="B29" s="7"/>
      <c r="C29" s="7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Q29" s="4"/>
    </row>
    <row r="30" spans="1:17" s="37" customFormat="1" ht="15.75" customHeight="1" x14ac:dyDescent="0.3">
      <c r="A30" s="7"/>
      <c r="B30" s="18" t="s">
        <v>290</v>
      </c>
      <c r="C30" s="18"/>
      <c r="D30" s="8">
        <f t="shared" ref="D30:O30" si="6">IFERROR(+D25-D28,0)</f>
        <v>-479.29</v>
      </c>
      <c r="E30" s="8">
        <f t="shared" si="6"/>
        <v>-479.29</v>
      </c>
      <c r="F30" s="8">
        <f t="shared" si="6"/>
        <v>-479.29</v>
      </c>
      <c r="G30" s="8">
        <f t="shared" si="6"/>
        <v>-479.29</v>
      </c>
      <c r="H30" s="8">
        <f t="shared" si="6"/>
        <v>-479.29</v>
      </c>
      <c r="I30" s="8">
        <f t="shared" si="6"/>
        <v>-483.29</v>
      </c>
      <c r="J30" s="8">
        <f t="shared" si="6"/>
        <v>-479.29</v>
      </c>
      <c r="K30" s="8">
        <f t="shared" si="6"/>
        <v>-954.29</v>
      </c>
      <c r="L30" s="8">
        <f t="shared" si="6"/>
        <v>-479.29</v>
      </c>
      <c r="M30" s="8">
        <f t="shared" si="6"/>
        <v>-479.29</v>
      </c>
      <c r="N30" s="8">
        <f t="shared" si="6"/>
        <v>-479</v>
      </c>
      <c r="O30" s="8">
        <f t="shared" si="6"/>
        <v>-479</v>
      </c>
      <c r="Q30" s="8">
        <f>IFERROR(+Q25-Q28,0)</f>
        <v>-6229.9000000000005</v>
      </c>
    </row>
    <row r="31" spans="1:17" ht="15.75" customHeight="1" x14ac:dyDescent="0.3">
      <c r="A31" s="6"/>
      <c r="B31" s="6"/>
      <c r="C31" s="6"/>
      <c r="D31" s="5">
        <f t="shared" ref="D31:O31" si="7">IFERROR(D30/D10,0)</f>
        <v>0</v>
      </c>
      <c r="E31" s="5">
        <f t="shared" si="7"/>
        <v>0</v>
      </c>
      <c r="F31" s="5">
        <f t="shared" si="7"/>
        <v>0</v>
      </c>
      <c r="G31" s="5">
        <f t="shared" si="7"/>
        <v>0</v>
      </c>
      <c r="H31" s="5">
        <f t="shared" si="7"/>
        <v>0</v>
      </c>
      <c r="I31" s="5">
        <f t="shared" si="7"/>
        <v>0</v>
      </c>
      <c r="J31" s="5">
        <f t="shared" si="7"/>
        <v>0</v>
      </c>
      <c r="K31" s="5">
        <f t="shared" si="7"/>
        <v>0</v>
      </c>
      <c r="L31" s="5">
        <f t="shared" si="7"/>
        <v>0</v>
      </c>
      <c r="M31" s="5">
        <f t="shared" si="7"/>
        <v>0</v>
      </c>
      <c r="N31" s="5">
        <f t="shared" si="7"/>
        <v>0</v>
      </c>
      <c r="O31" s="5">
        <f t="shared" si="7"/>
        <v>0</v>
      </c>
      <c r="P31" s="19"/>
      <c r="Q31" s="5">
        <f>IFERROR(Q30/Q10,0)</f>
        <v>0</v>
      </c>
    </row>
    <row r="32" spans="1:17" ht="15" customHeight="1" x14ac:dyDescent="0.3">
      <c r="A32" s="6"/>
      <c r="B32" s="6"/>
      <c r="C32" s="6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Q32" s="4"/>
    </row>
    <row r="33" spans="1:17" ht="15" customHeight="1" x14ac:dyDescent="0.3">
      <c r="A33" s="6"/>
      <c r="B33" s="6"/>
      <c r="C33" s="6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Q33" s="4"/>
    </row>
    <row r="34" spans="1:17" s="37" customFormat="1" ht="15.75" customHeight="1" x14ac:dyDescent="0.3">
      <c r="A34" s="7"/>
      <c r="B34" s="18" t="s">
        <v>293</v>
      </c>
      <c r="C34" s="18"/>
      <c r="D34" s="8">
        <f t="shared" ref="D34:O34" si="8">IFERROR(SUM(D30:D33),0)</f>
        <v>-479.29</v>
      </c>
      <c r="E34" s="8">
        <f t="shared" si="8"/>
        <v>-479.29</v>
      </c>
      <c r="F34" s="8">
        <f t="shared" si="8"/>
        <v>-479.29</v>
      </c>
      <c r="G34" s="8">
        <f t="shared" si="8"/>
        <v>-479.29</v>
      </c>
      <c r="H34" s="8">
        <f t="shared" si="8"/>
        <v>-479.29</v>
      </c>
      <c r="I34" s="8">
        <f t="shared" si="8"/>
        <v>-483.29</v>
      </c>
      <c r="J34" s="8">
        <f t="shared" si="8"/>
        <v>-479.29</v>
      </c>
      <c r="K34" s="8">
        <f t="shared" si="8"/>
        <v>-954.29</v>
      </c>
      <c r="L34" s="8">
        <f t="shared" si="8"/>
        <v>-479.29</v>
      </c>
      <c r="M34" s="8">
        <f t="shared" si="8"/>
        <v>-479.29</v>
      </c>
      <c r="N34" s="8">
        <f t="shared" si="8"/>
        <v>-479</v>
      </c>
      <c r="O34" s="8">
        <f t="shared" si="8"/>
        <v>-479</v>
      </c>
      <c r="Q34" s="8">
        <f>IFERROR(SUM(Q30:Q33),0)</f>
        <v>-6229.9000000000005</v>
      </c>
    </row>
    <row r="35" spans="1:17" ht="15.75" customHeight="1" x14ac:dyDescent="0.3">
      <c r="A35" s="6"/>
      <c r="C35" s="6"/>
      <c r="D35" s="5">
        <f t="shared" ref="D35:O35" si="9">IFERROR(D34/D10,0)</f>
        <v>0</v>
      </c>
      <c r="E35" s="5">
        <f t="shared" si="9"/>
        <v>0</v>
      </c>
      <c r="F35" s="5">
        <f t="shared" si="9"/>
        <v>0</v>
      </c>
      <c r="G35" s="5">
        <f t="shared" si="9"/>
        <v>0</v>
      </c>
      <c r="H35" s="5">
        <f t="shared" si="9"/>
        <v>0</v>
      </c>
      <c r="I35" s="5">
        <f t="shared" si="9"/>
        <v>0</v>
      </c>
      <c r="J35" s="5">
        <f t="shared" si="9"/>
        <v>0</v>
      </c>
      <c r="K35" s="5">
        <f t="shared" si="9"/>
        <v>0</v>
      </c>
      <c r="L35" s="5">
        <f t="shared" si="9"/>
        <v>0</v>
      </c>
      <c r="M35" s="5">
        <f t="shared" si="9"/>
        <v>0</v>
      </c>
      <c r="N35" s="5">
        <f t="shared" si="9"/>
        <v>0</v>
      </c>
      <c r="O35" s="5">
        <f t="shared" si="9"/>
        <v>0</v>
      </c>
      <c r="P35" s="19"/>
      <c r="Q35" s="5">
        <f>IFERROR(Q34/Q10,0)</f>
        <v>0</v>
      </c>
    </row>
    <row r="36" spans="1:17" ht="15" customHeight="1" x14ac:dyDescent="0.3">
      <c r="A36" s="6"/>
      <c r="B36" s="33">
        <v>44694.892891863426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Q36" s="14"/>
    </row>
    <row r="37" spans="1:17" ht="15" customHeight="1" x14ac:dyDescent="0.3">
      <c r="A37" s="6"/>
      <c r="B37" s="31" t="s">
        <v>294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Q37" s="14"/>
    </row>
    <row r="38" spans="1:17" ht="15" customHeight="1" x14ac:dyDescent="0.3">
      <c r="A38" s="6"/>
      <c r="B38" s="27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Q38" s="14"/>
    </row>
    <row r="39" spans="1:17" ht="15" customHeight="1" x14ac:dyDescent="0.3"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Q39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6D359-F41A-89B8-A6C1-F3075AEF51DA}">
  <sheetPr>
    <tabColor rgb="FF92D050"/>
    <outlinePr summaryBelow="0" summaryRight="0"/>
    <pageSetUpPr fitToPage="1"/>
  </sheetPr>
  <dimension ref="A2:R47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","425"," - ","Events Center")</f>
        <v>Department 425 - Events Center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0</v>
      </c>
      <c r="E10" s="4">
        <f>SUM(OSRRefD11x_1)</f>
        <v>0</v>
      </c>
      <c r="F10" s="4">
        <f>SUM(OSRRefD11x_2)</f>
        <v>0</v>
      </c>
      <c r="G10" s="4">
        <f>SUM(OSRRefD11x_3)</f>
        <v>4264.84</v>
      </c>
      <c r="H10" s="4">
        <f>SUM(OSRRefD11x_4)</f>
        <v>1464.84</v>
      </c>
      <c r="I10" s="4">
        <f>SUM(OSRRefD11x_5)</f>
        <v>1649.9</v>
      </c>
      <c r="J10" s="4">
        <f>SUM(OSRRefD11x_6)</f>
        <v>1412.89</v>
      </c>
      <c r="K10" s="4">
        <f>SUM(OSRRefD11x_7)</f>
        <v>5743.27</v>
      </c>
      <c r="L10" s="4">
        <f>SUM(OSRRefD11x_8)</f>
        <v>2334.69</v>
      </c>
      <c r="M10" s="4">
        <f>SUM(OSRRefD11x_9)</f>
        <v>7381.41</v>
      </c>
      <c r="N10" s="4">
        <f>SUM(OSRRefE11x_0)</f>
        <v>0</v>
      </c>
      <c r="O10" s="4">
        <f>SUM(OSRRefE11x_1)</f>
        <v>0</v>
      </c>
      <c r="P10" s="25"/>
      <c r="Q10" s="4">
        <f>SUM(OSRRefG11x)</f>
        <v>24251.84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","4053"," - ","TAXABLE SALES-FOOD")</f>
        <v xml:space="preserve">          4053 - TAXABLE SALES-FOOD</v>
      </c>
      <c r="C11" s="23"/>
      <c r="D11" s="3">
        <f>0</f>
        <v>0</v>
      </c>
      <c r="E11" s="3">
        <f>0</f>
        <v>0</v>
      </c>
      <c r="F11" s="3">
        <f>0</f>
        <v>0</v>
      </c>
      <c r="G11" s="3">
        <f>--4264.84</f>
        <v>4264.84</v>
      </c>
      <c r="H11" s="3">
        <f>--1464.84</f>
        <v>1464.84</v>
      </c>
      <c r="I11" s="3">
        <f>--1649.9</f>
        <v>1649.9</v>
      </c>
      <c r="J11" s="3">
        <f>--1412.89</f>
        <v>1412.89</v>
      </c>
      <c r="K11" s="3">
        <f>--5743.27</f>
        <v>5743.27</v>
      </c>
      <c r="L11" s="3">
        <f>--2334.69</f>
        <v>2334.69</v>
      </c>
      <c r="M11" s="3">
        <f>--7381.41</f>
        <v>7381.41</v>
      </c>
      <c r="N11" s="3"/>
      <c r="O11" s="3"/>
      <c r="Q11" s="3">
        <f>SUM(OSRRefD11_0x)+IFERROR(SUM(OSRRefE11_0x),0)</f>
        <v>24251.84</v>
      </c>
    </row>
    <row r="12" spans="1:18" ht="15" customHeight="1" x14ac:dyDescent="0.3">
      <c r="A12" s="6"/>
      <c r="B12" s="7"/>
      <c r="C12" s="6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Q12" s="4"/>
    </row>
    <row r="13" spans="1:18" s="39" customFormat="1" ht="15" customHeight="1" collapsed="1" x14ac:dyDescent="0.3">
      <c r="A13" s="24"/>
      <c r="B13" s="17" t="s">
        <v>284</v>
      </c>
      <c r="C13" s="23"/>
      <c r="D13" s="4">
        <f>SUM(OSRRefD14x_0)</f>
        <v>-1034.73</v>
      </c>
      <c r="E13" s="4">
        <f>SUM(OSRRefD14x_1)</f>
        <v>0</v>
      </c>
      <c r="F13" s="4">
        <f>SUM(OSRRefD14x_2)</f>
        <v>0</v>
      </c>
      <c r="G13" s="4">
        <f>SUM(OSRRefD14x_3)</f>
        <v>6982.02</v>
      </c>
      <c r="H13" s="4">
        <f>SUM(OSRRefD14x_4)</f>
        <v>123.48</v>
      </c>
      <c r="I13" s="4">
        <f>SUM(OSRRefD14x_5)</f>
        <v>969</v>
      </c>
      <c r="J13" s="4">
        <f>SUM(OSRRefD14x_6)</f>
        <v>0</v>
      </c>
      <c r="K13" s="4">
        <f>SUM(OSRRefD14x_7)</f>
        <v>1127.48</v>
      </c>
      <c r="L13" s="4">
        <f>SUM(OSRRefD14x_8)</f>
        <v>-599</v>
      </c>
      <c r="M13" s="4">
        <f>SUM(OSRRefD14x_9)</f>
        <v>2943.94</v>
      </c>
      <c r="N13" s="4">
        <f>SUM(OSRRefE14x_0)</f>
        <v>0</v>
      </c>
      <c r="O13" s="4">
        <f>SUM(OSRRefE14x_1)</f>
        <v>0</v>
      </c>
      <c r="Q13" s="4">
        <f>SUM(OSRRefG14x)</f>
        <v>10512.19</v>
      </c>
    </row>
    <row r="14" spans="1:18" s="39" customFormat="1" ht="15" hidden="1" customHeight="1" outlineLevel="1" x14ac:dyDescent="0.3">
      <c r="A14" s="24"/>
      <c r="B14" s="11" t="str">
        <f>CONCATENATE("          ","5053"," - ","PURCHASES @ COST-FOOD")</f>
        <v xml:space="preserve">          5053 - PURCHASES @ COST-FOOD</v>
      </c>
      <c r="C14" s="23"/>
      <c r="D14" s="3">
        <v>-1034.73</v>
      </c>
      <c r="E14" s="3"/>
      <c r="F14" s="3"/>
      <c r="G14" s="3">
        <v>6982.02</v>
      </c>
      <c r="H14" s="3">
        <v>123.48</v>
      </c>
      <c r="I14" s="3">
        <v>969</v>
      </c>
      <c r="J14" s="3"/>
      <c r="K14" s="3">
        <v>1127.48</v>
      </c>
      <c r="L14" s="3">
        <v>-599</v>
      </c>
      <c r="M14" s="3">
        <v>2943.94</v>
      </c>
      <c r="N14" s="3"/>
      <c r="O14" s="3"/>
      <c r="Q14" s="3">
        <f>SUM(OSRRefD14_0x)+IFERROR(SUM(OSRRefE14_0x),0)</f>
        <v>10512.19</v>
      </c>
    </row>
    <row r="15" spans="1:18" ht="15" customHeight="1" x14ac:dyDescent="0.3">
      <c r="A15" s="6"/>
      <c r="B15" s="7"/>
      <c r="C15" s="7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Q15" s="4"/>
    </row>
    <row r="16" spans="1:18" s="37" customFormat="1" ht="15" customHeight="1" x14ac:dyDescent="0.3">
      <c r="A16" s="7"/>
      <c r="B16" s="18" t="s">
        <v>285</v>
      </c>
      <c r="C16" s="18"/>
      <c r="D16" s="9">
        <f t="shared" ref="D16:O16" si="0">IFERROR(+D10-D13,0)</f>
        <v>1034.73</v>
      </c>
      <c r="E16" s="9">
        <f t="shared" si="0"/>
        <v>0</v>
      </c>
      <c r="F16" s="9">
        <f t="shared" si="0"/>
        <v>0</v>
      </c>
      <c r="G16" s="9">
        <f t="shared" si="0"/>
        <v>-2717.1800000000003</v>
      </c>
      <c r="H16" s="9">
        <f t="shared" si="0"/>
        <v>1341.36</v>
      </c>
      <c r="I16" s="9">
        <f t="shared" si="0"/>
        <v>680.90000000000009</v>
      </c>
      <c r="J16" s="9">
        <f t="shared" si="0"/>
        <v>1412.89</v>
      </c>
      <c r="K16" s="9">
        <f t="shared" si="0"/>
        <v>4615.7900000000009</v>
      </c>
      <c r="L16" s="9">
        <f t="shared" si="0"/>
        <v>2933.69</v>
      </c>
      <c r="M16" s="9">
        <f t="shared" si="0"/>
        <v>4437.4699999999993</v>
      </c>
      <c r="N16" s="9">
        <f t="shared" si="0"/>
        <v>0</v>
      </c>
      <c r="O16" s="9">
        <f t="shared" si="0"/>
        <v>0</v>
      </c>
      <c r="Q16" s="9">
        <f>IFERROR(+Q10-Q13,0)</f>
        <v>13739.65</v>
      </c>
    </row>
    <row r="17" spans="1:17" s="38" customFormat="1" ht="15" customHeight="1" x14ac:dyDescent="0.3">
      <c r="B17" s="17"/>
      <c r="C17" s="17"/>
      <c r="D17" s="5">
        <f t="shared" ref="D17:O17" si="1">IFERROR(D16/D10,0)</f>
        <v>0</v>
      </c>
      <c r="E17" s="5">
        <f t="shared" si="1"/>
        <v>0</v>
      </c>
      <c r="F17" s="5">
        <f t="shared" si="1"/>
        <v>0</v>
      </c>
      <c r="G17" s="5">
        <f t="shared" si="1"/>
        <v>-0.63711182600050653</v>
      </c>
      <c r="H17" s="5">
        <f t="shared" si="1"/>
        <v>0.9157041042025067</v>
      </c>
      <c r="I17" s="5">
        <f t="shared" si="1"/>
        <v>0.41269167828353237</v>
      </c>
      <c r="J17" s="5">
        <f t="shared" si="1"/>
        <v>1</v>
      </c>
      <c r="K17" s="5">
        <f t="shared" si="1"/>
        <v>0.80368674988290656</v>
      </c>
      <c r="L17" s="5">
        <f t="shared" si="1"/>
        <v>1.2565651114280696</v>
      </c>
      <c r="M17" s="5">
        <f t="shared" si="1"/>
        <v>0.60116834046611678</v>
      </c>
      <c r="N17" s="5">
        <f t="shared" si="1"/>
        <v>0</v>
      </c>
      <c r="O17" s="5">
        <f t="shared" si="1"/>
        <v>0</v>
      </c>
      <c r="P17" s="19"/>
      <c r="Q17" s="5">
        <f>IFERROR(Q16/Q10,0)</f>
        <v>0.56654051816274553</v>
      </c>
    </row>
    <row r="18" spans="1:17" ht="15" customHeight="1" x14ac:dyDescent="0.3">
      <c r="A18" s="6"/>
      <c r="B18" s="7"/>
      <c r="C18" s="6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Q18" s="2"/>
    </row>
    <row r="19" spans="1:17" s="37" customFormat="1" ht="15" customHeight="1" x14ac:dyDescent="0.3">
      <c r="A19" s="7"/>
      <c r="B19" s="17" t="s">
        <v>286</v>
      </c>
      <c r="C19" s="7"/>
      <c r="D19" s="12" cm="1">
        <f t="array" ref="D19">SUM(OSRRefD20x_0)</f>
        <v>1000.91</v>
      </c>
      <c r="E19" s="12" cm="1">
        <f t="array" ref="E19">SUM(OSRRefD20x_1)</f>
        <v>1000.91</v>
      </c>
      <c r="F19" s="12" cm="1">
        <f t="array" ref="F19">SUM(OSRRefD20x_2)</f>
        <v>1000.91</v>
      </c>
      <c r="G19" s="12" cm="1">
        <f t="array" ref="G19">SUM(OSRRefD20x_3)</f>
        <v>4003.12</v>
      </c>
      <c r="H19" s="12" cm="1">
        <f t="array" ref="H19">SUM(OSRRefD20x_4)</f>
        <v>1401.94</v>
      </c>
      <c r="I19" s="12" cm="1">
        <f t="array" ref="I19">SUM(OSRRefD20x_5)</f>
        <v>2147.25</v>
      </c>
      <c r="J19" s="12" cm="1">
        <f t="array" ref="J19">SUM(OSRRefD20x_6)</f>
        <v>1934.57</v>
      </c>
      <c r="K19" s="12" cm="1">
        <f t="array" ref="K19">SUM(OSRRefD20x_7)</f>
        <v>3100.85</v>
      </c>
      <c r="L19" s="12" cm="1">
        <f t="array" ref="L19">SUM(OSRRefD20x_8)</f>
        <v>3019.7799999999997</v>
      </c>
      <c r="M19" s="12" cm="1">
        <f t="array" ref="M19">SUM(OSRRefD20x_9)</f>
        <v>3127.63</v>
      </c>
      <c r="N19" s="12" cm="1">
        <f t="array" ref="N19">SUM(OSRRefE20x_0)</f>
        <v>1001</v>
      </c>
      <c r="O19" s="12" cm="1">
        <f t="array" ref="O19">SUM(OSRRefE20x_1)</f>
        <v>1001</v>
      </c>
      <c r="Q19" s="12" cm="1">
        <f t="array" ref="Q19">SUM(OSRRefG20x)</f>
        <v>23739.87</v>
      </c>
    </row>
    <row r="20" spans="1:17" s="42" customFormat="1" ht="15" customHeight="1" collapsed="1" x14ac:dyDescent="0.3">
      <c r="A20" s="34"/>
      <c r="B20" s="15" t="str">
        <f>CONCATENATE("     ","Bank/card Fees                                    ")</f>
        <v xml:space="preserve">     Bank/card Fees                                    </v>
      </c>
      <c r="C20" s="15"/>
      <c r="D20" s="2">
        <f>SUM(OSRRefD21_0x_0)</f>
        <v>0</v>
      </c>
      <c r="E20" s="2">
        <f>SUM(OSRRefD21_0x_1)</f>
        <v>0</v>
      </c>
      <c r="F20" s="2">
        <f>SUM(OSRRefD21_0x_2)</f>
        <v>0</v>
      </c>
      <c r="G20" s="2">
        <f>SUM(OSRRefD21_0x_3)</f>
        <v>64.73</v>
      </c>
      <c r="H20" s="2">
        <f>SUM(OSRRefD21_0x_4)</f>
        <v>34.81</v>
      </c>
      <c r="I20" s="2">
        <f>SUM(OSRRefD21_0x_5)</f>
        <v>33.869999999999997</v>
      </c>
      <c r="J20" s="2">
        <f>SUM(OSRRefD21_0x_6)</f>
        <v>33.659999999999997</v>
      </c>
      <c r="K20" s="2">
        <f>SUM(OSRRefD21_0x_7)</f>
        <v>110.82</v>
      </c>
      <c r="L20" s="2">
        <f>SUM(OSRRefD21_0x_8)</f>
        <v>35.19</v>
      </c>
      <c r="M20" s="2">
        <f>SUM(OSRRefD21_0x_9)</f>
        <v>181.37</v>
      </c>
      <c r="N20" s="2">
        <f>SUM(OSRRefE21_0x_0)</f>
        <v>0</v>
      </c>
      <c r="O20" s="2">
        <f>SUM(OSRRefE21_0x_1)</f>
        <v>0</v>
      </c>
      <c r="Q20" s="3">
        <f>SUM(OSRRefD20_0x)+IFERROR(SUM(OSRRefE20_0x),0)</f>
        <v>494.45</v>
      </c>
    </row>
    <row r="21" spans="1:17" s="42" customFormat="1" ht="15" hidden="1" customHeight="1" outlineLevel="1" x14ac:dyDescent="0.3">
      <c r="A21" s="34"/>
      <c r="B21" s="11" t="str">
        <f>CONCATENATE("          ","6381"," - ","BANK/CREDIT CARD FEES")</f>
        <v xml:space="preserve">          6381 - BANK/CREDIT CARD FEES</v>
      </c>
      <c r="C21" s="15"/>
      <c r="D21" s="3"/>
      <c r="E21" s="3"/>
      <c r="F21" s="3"/>
      <c r="G21" s="3">
        <v>64.73</v>
      </c>
      <c r="H21" s="3">
        <v>34.81</v>
      </c>
      <c r="I21" s="3">
        <v>33.869999999999997</v>
      </c>
      <c r="J21" s="3">
        <v>33.659999999999997</v>
      </c>
      <c r="K21" s="3">
        <v>110.82</v>
      </c>
      <c r="L21" s="3">
        <v>35.19</v>
      </c>
      <c r="M21" s="3">
        <v>181.37</v>
      </c>
      <c r="N21" s="3"/>
      <c r="O21" s="3"/>
      <c r="P21" s="10"/>
      <c r="Q21" s="3">
        <f>SUM(OSRRefD21_0_0x)+IFERROR(SUM(OSRRefE21_0_0x),0)</f>
        <v>494.45</v>
      </c>
    </row>
    <row r="22" spans="1:17" s="42" customFormat="1" ht="15" customHeight="1" collapsed="1" x14ac:dyDescent="0.3">
      <c r="A22" s="34"/>
      <c r="B22" s="15" t="str">
        <f>CONCATENATE("     ","Depreciation                                      ")</f>
        <v xml:space="preserve">     Depreciation                                      </v>
      </c>
      <c r="C22" s="15"/>
      <c r="D22" s="2">
        <f>SUM(OSRRefD21_1x_0)</f>
        <v>1000.91</v>
      </c>
      <c r="E22" s="2">
        <f>SUM(OSRRefD21_1x_1)</f>
        <v>1000.91</v>
      </c>
      <c r="F22" s="2">
        <f>SUM(OSRRefD21_1x_2)</f>
        <v>1000.91</v>
      </c>
      <c r="G22" s="2">
        <f>SUM(OSRRefD21_1x_3)</f>
        <v>1000.91</v>
      </c>
      <c r="H22" s="2">
        <f>SUM(OSRRefD21_1x_4)</f>
        <v>1000.91</v>
      </c>
      <c r="I22" s="2">
        <f>SUM(OSRRefD21_1x_5)</f>
        <v>1000.91</v>
      </c>
      <c r="J22" s="2">
        <f>SUM(OSRRefD21_1x_6)</f>
        <v>1000.91</v>
      </c>
      <c r="K22" s="2">
        <f>SUM(OSRRefD21_1x_7)</f>
        <v>1000.91</v>
      </c>
      <c r="L22" s="2">
        <f>SUM(OSRRefD21_1x_8)</f>
        <v>1000.91</v>
      </c>
      <c r="M22" s="2">
        <f>SUM(OSRRefD21_1x_9)</f>
        <v>1000.91</v>
      </c>
      <c r="N22" s="2">
        <f>SUM(OSRRefE21_1x_0)</f>
        <v>1001</v>
      </c>
      <c r="O22" s="2">
        <f>SUM(OSRRefE21_1x_1)</f>
        <v>1001</v>
      </c>
      <c r="Q22" s="3">
        <f>SUM(OSRRefD20_1x)+IFERROR(SUM(OSRRefE20_1x),0)</f>
        <v>12011.1</v>
      </c>
    </row>
    <row r="23" spans="1:17" s="42" customFormat="1" ht="15" hidden="1" customHeight="1" outlineLevel="1" x14ac:dyDescent="0.3">
      <c r="A23" s="34"/>
      <c r="B23" s="11" t="str">
        <f>CONCATENATE("          ","6322"," - ","EQUIPMENT DEPRECIATION EXPENSE")</f>
        <v xml:space="preserve">          6322 - EQUIPMENT DEPRECIATION EXPENSE</v>
      </c>
      <c r="C23" s="15"/>
      <c r="D23" s="3">
        <v>1000.91</v>
      </c>
      <c r="E23" s="3">
        <v>1000.91</v>
      </c>
      <c r="F23" s="3">
        <v>1000.91</v>
      </c>
      <c r="G23" s="3">
        <v>1000.91</v>
      </c>
      <c r="H23" s="3">
        <v>1000.91</v>
      </c>
      <c r="I23" s="3">
        <v>1000.91</v>
      </c>
      <c r="J23" s="3">
        <v>1000.91</v>
      </c>
      <c r="K23" s="3">
        <v>1000.91</v>
      </c>
      <c r="L23" s="3">
        <v>1000.91</v>
      </c>
      <c r="M23" s="3">
        <v>1000.91</v>
      </c>
      <c r="N23" s="3">
        <v>1001</v>
      </c>
      <c r="O23" s="3">
        <v>1001</v>
      </c>
      <c r="P23" s="10"/>
      <c r="Q23" s="3">
        <f>SUM(OSRRefD21_1_0x)+IFERROR(SUM(OSRRefE21_1_0x),0)</f>
        <v>12011.1</v>
      </c>
    </row>
    <row r="24" spans="1:17" s="42" customFormat="1" ht="15" customHeight="1" collapsed="1" x14ac:dyDescent="0.3">
      <c r="A24" s="34"/>
      <c r="B24" s="15" t="str">
        <f>CONCATENATE("     ","General                                           ")</f>
        <v xml:space="preserve">     General                                           </v>
      </c>
      <c r="C24" s="15"/>
      <c r="D24" s="2">
        <f>SUM(OSRRefD21_2x_0)</f>
        <v>0</v>
      </c>
      <c r="E24" s="2">
        <f>SUM(OSRRefD21_2x_1)</f>
        <v>0</v>
      </c>
      <c r="F24" s="2">
        <f>SUM(OSRRefD21_2x_2)</f>
        <v>0</v>
      </c>
      <c r="G24" s="2">
        <f>SUM(OSRRefD21_2x_3)</f>
        <v>1755</v>
      </c>
      <c r="H24" s="2">
        <f>SUM(OSRRefD21_2x_4)</f>
        <v>0</v>
      </c>
      <c r="I24" s="2">
        <f>SUM(OSRRefD21_2x_5)</f>
        <v>700</v>
      </c>
      <c r="J24" s="2">
        <f>SUM(OSRRefD21_2x_6)</f>
        <v>900</v>
      </c>
      <c r="K24" s="2">
        <f>SUM(OSRRefD21_2x_7)</f>
        <v>200</v>
      </c>
      <c r="L24" s="2">
        <f>SUM(OSRRefD21_2x_8)</f>
        <v>1400</v>
      </c>
      <c r="M24" s="2">
        <f>SUM(OSRRefD21_2x_9)</f>
        <v>100</v>
      </c>
      <c r="N24" s="2">
        <f>SUM(OSRRefE21_2x_0)</f>
        <v>0</v>
      </c>
      <c r="O24" s="2">
        <f>SUM(OSRRefE21_2x_1)</f>
        <v>0</v>
      </c>
      <c r="Q24" s="3">
        <f>SUM(OSRRefD20_2x)+IFERROR(SUM(OSRRefE20_2x),0)</f>
        <v>5055</v>
      </c>
    </row>
    <row r="25" spans="1:17" s="42" customFormat="1" ht="15" hidden="1" customHeight="1" outlineLevel="1" x14ac:dyDescent="0.3">
      <c r="A25" s="34"/>
      <c r="B25" s="11" t="str">
        <f>CONCATENATE("          ","6279"," - ","GENERAL EXPENSE")</f>
        <v xml:space="preserve">          6279 - GENERAL EXPENSE</v>
      </c>
      <c r="C25" s="15"/>
      <c r="D25" s="3"/>
      <c r="E25" s="3"/>
      <c r="F25" s="3"/>
      <c r="G25" s="3">
        <v>1755</v>
      </c>
      <c r="H25" s="3"/>
      <c r="I25" s="3">
        <v>700</v>
      </c>
      <c r="J25" s="3">
        <v>900</v>
      </c>
      <c r="K25" s="3">
        <v>200</v>
      </c>
      <c r="L25" s="3">
        <v>1400</v>
      </c>
      <c r="M25" s="3">
        <v>100</v>
      </c>
      <c r="N25" s="3"/>
      <c r="O25" s="3"/>
      <c r="P25" s="10"/>
      <c r="Q25" s="3">
        <f>SUM(OSRRefD21_2_0x)+IFERROR(SUM(OSRRefE21_2_0x),0)</f>
        <v>5055</v>
      </c>
    </row>
    <row r="26" spans="1:17" s="42" customFormat="1" ht="15" customHeight="1" collapsed="1" x14ac:dyDescent="0.3">
      <c r="A26" s="34"/>
      <c r="B26" s="15" t="str">
        <f>CONCATENATE("     ","Royalty &amp; Commissions                             ")</f>
        <v xml:space="preserve">     Royalty &amp; Commissions                             </v>
      </c>
      <c r="C26" s="15"/>
      <c r="D26" s="2">
        <f>SUM(OSRRefD21_3x_0)</f>
        <v>0</v>
      </c>
      <c r="E26" s="2">
        <f>SUM(OSRRefD21_3x_1)</f>
        <v>0</v>
      </c>
      <c r="F26" s="2">
        <f>SUM(OSRRefD21_3x_2)</f>
        <v>0</v>
      </c>
      <c r="G26" s="2">
        <f>SUM(OSRRefD21_3x_3)</f>
        <v>1066.22</v>
      </c>
      <c r="H26" s="2">
        <f>SUM(OSRRefD21_3x_4)</f>
        <v>366.22</v>
      </c>
      <c r="I26" s="2">
        <f>SUM(OSRRefD21_3x_5)</f>
        <v>412.47</v>
      </c>
      <c r="J26" s="2">
        <f>SUM(OSRRefD21_3x_6)</f>
        <v>0</v>
      </c>
      <c r="K26" s="2">
        <f>SUM(OSRRefD21_3x_7)</f>
        <v>1789.12</v>
      </c>
      <c r="L26" s="2">
        <f>SUM(OSRRefD21_3x_8)</f>
        <v>583.67999999999995</v>
      </c>
      <c r="M26" s="2">
        <f>SUM(OSRRefD21_3x_9)</f>
        <v>1845.35</v>
      </c>
      <c r="N26" s="2">
        <f>SUM(OSRRefE21_3x_0)</f>
        <v>0</v>
      </c>
      <c r="O26" s="2">
        <f>SUM(OSRRefE21_3x_1)</f>
        <v>0</v>
      </c>
      <c r="Q26" s="3">
        <f>SUM(OSRRefD20_3x)+IFERROR(SUM(OSRRefE20_3x),0)</f>
        <v>6063.0599999999995</v>
      </c>
    </row>
    <row r="27" spans="1:17" s="42" customFormat="1" ht="15" hidden="1" customHeight="1" outlineLevel="1" x14ac:dyDescent="0.3">
      <c r="A27" s="34"/>
      <c r="B27" s="11" t="str">
        <f>CONCATENATE("          ","6254"," - ","ROYALTY &amp; COMMISSIONS")</f>
        <v xml:space="preserve">          6254 - ROYALTY &amp; COMMISSIONS</v>
      </c>
      <c r="C27" s="15"/>
      <c r="D27" s="3"/>
      <c r="E27" s="3"/>
      <c r="F27" s="3"/>
      <c r="G27" s="3">
        <v>1066.22</v>
      </c>
      <c r="H27" s="3">
        <v>366.22</v>
      </c>
      <c r="I27" s="3">
        <v>412.47</v>
      </c>
      <c r="J27" s="3"/>
      <c r="K27" s="3">
        <v>1789.12</v>
      </c>
      <c r="L27" s="3">
        <v>583.67999999999995</v>
      </c>
      <c r="M27" s="3">
        <v>1845.35</v>
      </c>
      <c r="N27" s="3"/>
      <c r="O27" s="3"/>
      <c r="P27" s="10"/>
      <c r="Q27" s="3">
        <f>SUM(OSRRefD21_3_0x)+IFERROR(SUM(OSRRefE21_3_0x),0)</f>
        <v>6063.0599999999995</v>
      </c>
    </row>
    <row r="28" spans="1:17" s="42" customFormat="1" ht="15" customHeight="1" collapsed="1" x14ac:dyDescent="0.3">
      <c r="A28" s="34"/>
      <c r="B28" s="15" t="str">
        <f>CONCATENATE("     ","Supplies                                          ")</f>
        <v xml:space="preserve">     Supplies                                          </v>
      </c>
      <c r="C28" s="15"/>
      <c r="D28" s="2">
        <f>SUM(OSRRefD21_4x_0)</f>
        <v>0</v>
      </c>
      <c r="E28" s="2">
        <f>SUM(OSRRefD21_4x_1)</f>
        <v>0</v>
      </c>
      <c r="F28" s="2">
        <f>SUM(OSRRefD21_4x_2)</f>
        <v>0</v>
      </c>
      <c r="G28" s="2">
        <f>SUM(OSRRefD21_4x_3)</f>
        <v>116.26</v>
      </c>
      <c r="H28" s="2">
        <f>SUM(OSRRefD21_4x_4)</f>
        <v>0</v>
      </c>
      <c r="I28" s="2">
        <f>SUM(OSRRefD21_4x_5)</f>
        <v>0</v>
      </c>
      <c r="J28" s="2">
        <f>SUM(OSRRefD21_4x_6)</f>
        <v>0</v>
      </c>
      <c r="K28" s="2">
        <f>SUM(OSRRefD21_4x_7)</f>
        <v>0</v>
      </c>
      <c r="L28" s="2">
        <f>SUM(OSRRefD21_4x_8)</f>
        <v>0</v>
      </c>
      <c r="M28" s="2">
        <f>SUM(OSRRefD21_4x_9)</f>
        <v>0</v>
      </c>
      <c r="N28" s="2">
        <f>SUM(OSRRefE21_4x_0)</f>
        <v>0</v>
      </c>
      <c r="O28" s="2">
        <f>SUM(OSRRefE21_4x_1)</f>
        <v>0</v>
      </c>
      <c r="Q28" s="3">
        <f>SUM(OSRRefD20_4x)+IFERROR(SUM(OSRRefE20_4x),0)</f>
        <v>116.26</v>
      </c>
    </row>
    <row r="29" spans="1:17" s="42" customFormat="1" ht="15" hidden="1" customHeight="1" outlineLevel="1" x14ac:dyDescent="0.3">
      <c r="A29" s="34"/>
      <c r="B29" s="11" t="str">
        <f>CONCATENATE("          ","6243"," - ","PAPER SUPPLIES")</f>
        <v xml:space="preserve">          6243 - PAPER SUPPLIES</v>
      </c>
      <c r="C29" s="15"/>
      <c r="D29" s="3"/>
      <c r="E29" s="3"/>
      <c r="F29" s="3"/>
      <c r="G29" s="3">
        <v>116.26</v>
      </c>
      <c r="H29" s="3"/>
      <c r="I29" s="3"/>
      <c r="J29" s="3"/>
      <c r="K29" s="3"/>
      <c r="L29" s="3"/>
      <c r="M29" s="3"/>
      <c r="N29" s="3"/>
      <c r="O29" s="3"/>
      <c r="P29" s="10"/>
      <c r="Q29" s="3">
        <f>SUM(OSRRefD21_4_0x)+IFERROR(SUM(OSRRefE21_4_0x),0)</f>
        <v>116.26</v>
      </c>
    </row>
    <row r="30" spans="1:17" s="40" customFormat="1" ht="15" customHeight="1" x14ac:dyDescent="0.3">
      <c r="A30" s="22"/>
      <c r="B30" s="22"/>
      <c r="C30" s="2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Q30" s="2"/>
    </row>
    <row r="31" spans="1:17" s="39" customFormat="1" ht="15" customHeight="1" x14ac:dyDescent="0.3">
      <c r="A31" s="24"/>
      <c r="B31" s="17" t="s">
        <v>287</v>
      </c>
      <c r="C31" s="23"/>
      <c r="D31" s="4">
        <f>0</f>
        <v>0</v>
      </c>
      <c r="E31" s="4">
        <f>0</f>
        <v>0</v>
      </c>
      <c r="F31" s="4">
        <f>0</f>
        <v>0</v>
      </c>
      <c r="G31" s="4">
        <f>0</f>
        <v>0</v>
      </c>
      <c r="H31" s="4">
        <f>0</f>
        <v>0</v>
      </c>
      <c r="I31" s="4">
        <f>0</f>
        <v>0</v>
      </c>
      <c r="J31" s="4">
        <f>0</f>
        <v>0</v>
      </c>
      <c r="K31" s="4">
        <f>0</f>
        <v>0</v>
      </c>
      <c r="L31" s="4">
        <f>0</f>
        <v>0</v>
      </c>
      <c r="M31" s="4">
        <f>0</f>
        <v>0</v>
      </c>
      <c r="N31" s="4"/>
      <c r="O31" s="4"/>
      <c r="Q31" s="3">
        <f>SUM(OSRRefD23_0x)+IFERROR(SUM(OSRRefE23_0x),0)</f>
        <v>0</v>
      </c>
    </row>
    <row r="32" spans="1:17" ht="15" customHeight="1" x14ac:dyDescent="0.3">
      <c r="A32" s="6"/>
      <c r="B32" s="7"/>
      <c r="C32" s="7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Q32" s="4"/>
    </row>
    <row r="33" spans="1:17" s="37" customFormat="1" ht="15" customHeight="1" x14ac:dyDescent="0.3">
      <c r="A33" s="7"/>
      <c r="B33" s="18" t="s">
        <v>288</v>
      </c>
      <c r="C33" s="18"/>
      <c r="D33" s="9">
        <f t="shared" ref="D33:O33" si="2">IFERROR(+D16-D19+D31,0)</f>
        <v>33.82000000000005</v>
      </c>
      <c r="E33" s="9">
        <f t="shared" si="2"/>
        <v>-1000.91</v>
      </c>
      <c r="F33" s="9">
        <f t="shared" si="2"/>
        <v>-1000.91</v>
      </c>
      <c r="G33" s="9">
        <f t="shared" si="2"/>
        <v>-6720.3</v>
      </c>
      <c r="H33" s="9">
        <f t="shared" si="2"/>
        <v>-60.580000000000155</v>
      </c>
      <c r="I33" s="9">
        <f t="shared" si="2"/>
        <v>-1466.35</v>
      </c>
      <c r="J33" s="9">
        <f t="shared" si="2"/>
        <v>-521.67999999999984</v>
      </c>
      <c r="K33" s="9">
        <f t="shared" si="2"/>
        <v>1514.940000000001</v>
      </c>
      <c r="L33" s="9">
        <f t="shared" si="2"/>
        <v>-86.089999999999691</v>
      </c>
      <c r="M33" s="9">
        <f t="shared" si="2"/>
        <v>1309.8399999999992</v>
      </c>
      <c r="N33" s="9">
        <f t="shared" si="2"/>
        <v>-1001</v>
      </c>
      <c r="O33" s="9">
        <f t="shared" si="2"/>
        <v>-1001</v>
      </c>
      <c r="Q33" s="9">
        <f>IFERROR(+Q16-Q19+Q31,0)</f>
        <v>-10000.219999999999</v>
      </c>
    </row>
    <row r="34" spans="1:17" s="38" customFormat="1" ht="15" customHeight="1" x14ac:dyDescent="0.3">
      <c r="B34" s="17"/>
      <c r="C34" s="17"/>
      <c r="D34" s="5">
        <f t="shared" ref="D34:O34" si="3">IFERROR(D33/D10,0)</f>
        <v>0</v>
      </c>
      <c r="E34" s="5">
        <f t="shared" si="3"/>
        <v>0</v>
      </c>
      <c r="F34" s="5">
        <f t="shared" si="3"/>
        <v>0</v>
      </c>
      <c r="G34" s="5">
        <f t="shared" si="3"/>
        <v>-1.5757449282974274</v>
      </c>
      <c r="H34" s="5">
        <f t="shared" si="3"/>
        <v>-4.135605253816127E-2</v>
      </c>
      <c r="I34" s="5">
        <f t="shared" si="3"/>
        <v>-0.88875083338384131</v>
      </c>
      <c r="J34" s="5">
        <f t="shared" si="3"/>
        <v>-0.36922902702970495</v>
      </c>
      <c r="K34" s="5">
        <f t="shared" si="3"/>
        <v>0.26377655934685307</v>
      </c>
      <c r="L34" s="5">
        <f t="shared" si="3"/>
        <v>-3.6874274528952318E-2</v>
      </c>
      <c r="M34" s="5">
        <f t="shared" si="3"/>
        <v>0.17745119157450936</v>
      </c>
      <c r="N34" s="5">
        <f t="shared" si="3"/>
        <v>0</v>
      </c>
      <c r="O34" s="5">
        <f t="shared" si="3"/>
        <v>0</v>
      </c>
      <c r="P34" s="19"/>
      <c r="Q34" s="5">
        <f>IFERROR(Q33/Q10,0)</f>
        <v>-0.41234891867998469</v>
      </c>
    </row>
    <row r="35" spans="1:17" ht="15" customHeight="1" x14ac:dyDescent="0.3">
      <c r="A35" s="6"/>
      <c r="B35" s="7"/>
      <c r="C35" s="6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Q35" s="4"/>
    </row>
    <row r="36" spans="1:17" s="37" customFormat="1" ht="15" customHeight="1" x14ac:dyDescent="0.3">
      <c r="A36" s="26"/>
      <c r="B36" s="7" t="s">
        <v>289</v>
      </c>
      <c r="C36" s="7"/>
      <c r="D36" s="4"/>
      <c r="E36" s="4"/>
      <c r="F36" s="4"/>
      <c r="G36" s="4">
        <v>492.98</v>
      </c>
      <c r="H36" s="4">
        <v>189.49</v>
      </c>
      <c r="I36" s="4">
        <v>205.82</v>
      </c>
      <c r="J36" s="4">
        <v>275.55</v>
      </c>
      <c r="K36" s="4">
        <v>650.54999999999995</v>
      </c>
      <c r="L36" s="4">
        <v>199.05</v>
      </c>
      <c r="M36" s="4">
        <v>733.9</v>
      </c>
      <c r="N36" s="4"/>
      <c r="O36" s="4"/>
      <c r="Q36" s="3">
        <f>SUM(OSRRefD28_0x)+IFERROR(SUM(OSRRefE28_0x),0)</f>
        <v>2747.3399999999997</v>
      </c>
    </row>
    <row r="37" spans="1:17" ht="15" customHeight="1" x14ac:dyDescent="0.3">
      <c r="A37" s="6"/>
      <c r="B37" s="7"/>
      <c r="C37" s="7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Q37" s="4"/>
    </row>
    <row r="38" spans="1:17" s="37" customFormat="1" ht="15.75" customHeight="1" x14ac:dyDescent="0.3">
      <c r="A38" s="7"/>
      <c r="B38" s="18" t="s">
        <v>290</v>
      </c>
      <c r="C38" s="18"/>
      <c r="D38" s="8">
        <f t="shared" ref="D38:O38" si="4">IFERROR(+D33-D36,0)</f>
        <v>33.82000000000005</v>
      </c>
      <c r="E38" s="8">
        <f t="shared" si="4"/>
        <v>-1000.91</v>
      </c>
      <c r="F38" s="8">
        <f t="shared" si="4"/>
        <v>-1000.91</v>
      </c>
      <c r="G38" s="8">
        <f t="shared" si="4"/>
        <v>-7213.2800000000007</v>
      </c>
      <c r="H38" s="8">
        <f t="shared" si="4"/>
        <v>-250.07000000000016</v>
      </c>
      <c r="I38" s="8">
        <f t="shared" si="4"/>
        <v>-1672.1699999999998</v>
      </c>
      <c r="J38" s="8">
        <f t="shared" si="4"/>
        <v>-797.22999999999979</v>
      </c>
      <c r="K38" s="8">
        <f t="shared" si="4"/>
        <v>864.39000000000101</v>
      </c>
      <c r="L38" s="8">
        <f t="shared" si="4"/>
        <v>-285.1399999999997</v>
      </c>
      <c r="M38" s="8">
        <f t="shared" si="4"/>
        <v>575.93999999999926</v>
      </c>
      <c r="N38" s="8">
        <f t="shared" si="4"/>
        <v>-1001</v>
      </c>
      <c r="O38" s="8">
        <f t="shared" si="4"/>
        <v>-1001</v>
      </c>
      <c r="Q38" s="8">
        <f>IFERROR(+Q33-Q36,0)</f>
        <v>-12747.56</v>
      </c>
    </row>
    <row r="39" spans="1:17" ht="15.75" customHeight="1" x14ac:dyDescent="0.3">
      <c r="A39" s="6"/>
      <c r="B39" s="6"/>
      <c r="C39" s="6"/>
      <c r="D39" s="5">
        <f t="shared" ref="D39:O39" si="5">IFERROR(D38/D10,0)</f>
        <v>0</v>
      </c>
      <c r="E39" s="5">
        <f t="shared" si="5"/>
        <v>0</v>
      </c>
      <c r="F39" s="5">
        <f t="shared" si="5"/>
        <v>0</v>
      </c>
      <c r="G39" s="5">
        <f t="shared" si="5"/>
        <v>-1.6913366034833663</v>
      </c>
      <c r="H39" s="5">
        <f t="shared" si="5"/>
        <v>-0.17071489036345278</v>
      </c>
      <c r="I39" s="5">
        <f t="shared" si="5"/>
        <v>-1.0134977877447116</v>
      </c>
      <c r="J39" s="5">
        <f t="shared" si="5"/>
        <v>-0.56425482521640025</v>
      </c>
      <c r="K39" s="5">
        <f t="shared" si="5"/>
        <v>0.15050485176563194</v>
      </c>
      <c r="L39" s="5">
        <f t="shared" si="5"/>
        <v>-0.12213184619799618</v>
      </c>
      <c r="M39" s="5">
        <f t="shared" si="5"/>
        <v>7.8025743049092142E-2</v>
      </c>
      <c r="N39" s="5">
        <f t="shared" si="5"/>
        <v>0</v>
      </c>
      <c r="O39" s="5">
        <f t="shared" si="5"/>
        <v>0</v>
      </c>
      <c r="P39" s="19"/>
      <c r="Q39" s="5">
        <f>IFERROR(Q38/Q10,0)</f>
        <v>-0.52563269426154879</v>
      </c>
    </row>
    <row r="40" spans="1:17" ht="15" customHeight="1" x14ac:dyDescent="0.3">
      <c r="A40" s="6"/>
      <c r="B40" s="6"/>
      <c r="C40" s="6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Q40" s="4"/>
    </row>
    <row r="41" spans="1:17" ht="15" customHeight="1" x14ac:dyDescent="0.3">
      <c r="A41" s="6"/>
      <c r="B41" s="6"/>
      <c r="C41" s="6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Q41" s="4"/>
    </row>
    <row r="42" spans="1:17" s="37" customFormat="1" ht="15.75" customHeight="1" x14ac:dyDescent="0.3">
      <c r="A42" s="7"/>
      <c r="B42" s="18" t="s">
        <v>293</v>
      </c>
      <c r="C42" s="18"/>
      <c r="D42" s="8">
        <f t="shared" ref="D42:O42" si="6">IFERROR(SUM(D38:D41),0)</f>
        <v>33.82000000000005</v>
      </c>
      <c r="E42" s="8">
        <f t="shared" si="6"/>
        <v>-1000.91</v>
      </c>
      <c r="F42" s="8">
        <f t="shared" si="6"/>
        <v>-1000.91</v>
      </c>
      <c r="G42" s="8">
        <f t="shared" si="6"/>
        <v>-7214.9713366034839</v>
      </c>
      <c r="H42" s="8">
        <f t="shared" si="6"/>
        <v>-250.24071489036362</v>
      </c>
      <c r="I42" s="8">
        <f t="shared" si="6"/>
        <v>-1673.1834977877445</v>
      </c>
      <c r="J42" s="8">
        <f t="shared" si="6"/>
        <v>-797.79425482521617</v>
      </c>
      <c r="K42" s="8">
        <f t="shared" si="6"/>
        <v>864.54050485176663</v>
      </c>
      <c r="L42" s="8">
        <f t="shared" si="6"/>
        <v>-285.26213184619769</v>
      </c>
      <c r="M42" s="8">
        <f t="shared" si="6"/>
        <v>576.01802574304838</v>
      </c>
      <c r="N42" s="8">
        <f t="shared" si="6"/>
        <v>-1001</v>
      </c>
      <c r="O42" s="8">
        <f t="shared" si="6"/>
        <v>-1001</v>
      </c>
      <c r="Q42" s="8">
        <f>IFERROR(SUM(Q38:Q41),0)</f>
        <v>-12748.085632694261</v>
      </c>
    </row>
    <row r="43" spans="1:17" ht="15.75" customHeight="1" x14ac:dyDescent="0.3">
      <c r="A43" s="6"/>
      <c r="C43" s="6"/>
      <c r="D43" s="5">
        <f t="shared" ref="D43:O43" si="7">IFERROR(D42/D10,0)</f>
        <v>0</v>
      </c>
      <c r="E43" s="5">
        <f t="shared" si="7"/>
        <v>0</v>
      </c>
      <c r="F43" s="5">
        <f t="shared" si="7"/>
        <v>0</v>
      </c>
      <c r="G43" s="5">
        <f t="shared" si="7"/>
        <v>-1.6917331802842506</v>
      </c>
      <c r="H43" s="5">
        <f t="shared" si="7"/>
        <v>-0.17083143202695422</v>
      </c>
      <c r="I43" s="5">
        <f t="shared" si="7"/>
        <v>-1.0141120660571818</v>
      </c>
      <c r="J43" s="5">
        <f t="shared" si="7"/>
        <v>-0.56465418739266049</v>
      </c>
      <c r="K43" s="5">
        <f t="shared" si="7"/>
        <v>0.15053105719420584</v>
      </c>
      <c r="L43" s="5">
        <f t="shared" si="7"/>
        <v>-0.12218415800221771</v>
      </c>
      <c r="M43" s="5">
        <f t="shared" si="7"/>
        <v>7.8036313623419964E-2</v>
      </c>
      <c r="N43" s="5">
        <f t="shared" si="7"/>
        <v>0</v>
      </c>
      <c r="O43" s="5">
        <f t="shared" si="7"/>
        <v>0</v>
      </c>
      <c r="P43" s="19"/>
      <c r="Q43" s="5">
        <f>IFERROR(Q42/Q10,0)</f>
        <v>-0.52565436819203248</v>
      </c>
    </row>
    <row r="44" spans="1:17" ht="15" customHeight="1" x14ac:dyDescent="0.3">
      <c r="A44" s="6"/>
      <c r="B44" s="33">
        <v>44694.892891863426</v>
      </c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Q44" s="14"/>
    </row>
    <row r="45" spans="1:17" ht="15" customHeight="1" x14ac:dyDescent="0.3">
      <c r="A45" s="6"/>
      <c r="B45" s="31" t="s">
        <v>294</v>
      </c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Q45" s="14"/>
    </row>
    <row r="46" spans="1:17" ht="15" customHeight="1" x14ac:dyDescent="0.3">
      <c r="A46" s="6"/>
      <c r="B46" s="27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Q46" s="14"/>
    </row>
    <row r="47" spans="1:17" ht="15" customHeight="1" x14ac:dyDescent="0.3"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Q47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05984-64D2-F412-A359-900E85A86332}">
  <sheetPr>
    <tabColor rgb="FF92D050"/>
    <outlinePr summaryBelow="0" summaryRight="0"/>
    <pageSetUpPr fitToPage="1"/>
  </sheetPr>
  <dimension ref="A2:R35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","455"," - ","Vending (old)")</f>
        <v>Department 455 - Vending (old)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9">
        <f t="shared" ref="D14:O14" si="2">IFERROR(+D10-D12,0)</f>
        <v>0</v>
      </c>
      <c r="E14" s="9">
        <f t="shared" si="2"/>
        <v>0</v>
      </c>
      <c r="F14" s="9">
        <f t="shared" si="2"/>
        <v>0</v>
      </c>
      <c r="G14" s="9">
        <f t="shared" si="2"/>
        <v>0</v>
      </c>
      <c r="H14" s="9">
        <f t="shared" si="2"/>
        <v>0</v>
      </c>
      <c r="I14" s="9">
        <f t="shared" si="2"/>
        <v>0</v>
      </c>
      <c r="J14" s="9">
        <f t="shared" si="2"/>
        <v>0</v>
      </c>
      <c r="K14" s="9">
        <f t="shared" si="2"/>
        <v>0</v>
      </c>
      <c r="L14" s="9">
        <f t="shared" si="2"/>
        <v>0</v>
      </c>
      <c r="M14" s="9">
        <f t="shared" si="2"/>
        <v>0</v>
      </c>
      <c r="N14" s="9">
        <f t="shared" si="2"/>
        <v>0</v>
      </c>
      <c r="O14" s="9">
        <f t="shared" si="2"/>
        <v>0</v>
      </c>
      <c r="Q14" s="9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2">
        <f t="shared" ref="D17:O17" si="4">SUM(0)</f>
        <v>0</v>
      </c>
      <c r="E17" s="12">
        <f t="shared" si="4"/>
        <v>0</v>
      </c>
      <c r="F17" s="12">
        <f t="shared" si="4"/>
        <v>0</v>
      </c>
      <c r="G17" s="12">
        <f t="shared" si="4"/>
        <v>0</v>
      </c>
      <c r="H17" s="12">
        <f t="shared" si="4"/>
        <v>0</v>
      </c>
      <c r="I17" s="12">
        <f t="shared" si="4"/>
        <v>0</v>
      </c>
      <c r="J17" s="12">
        <f t="shared" si="4"/>
        <v>0</v>
      </c>
      <c r="K17" s="12">
        <f t="shared" si="4"/>
        <v>0</v>
      </c>
      <c r="L17" s="12">
        <f t="shared" si="4"/>
        <v>0</v>
      </c>
      <c r="M17" s="12">
        <f t="shared" si="4"/>
        <v>0</v>
      </c>
      <c r="N17" s="12">
        <f t="shared" si="4"/>
        <v>0</v>
      </c>
      <c r="O17" s="12">
        <f t="shared" si="4"/>
        <v>0</v>
      </c>
      <c r="Q17" s="12">
        <f>SUM(0)</f>
        <v>0</v>
      </c>
    </row>
    <row r="18" spans="1:17" s="40" customFormat="1" ht="15" customHeight="1" x14ac:dyDescent="0.3">
      <c r="A18" s="22"/>
      <c r="B18" s="22"/>
      <c r="C18" s="2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Q18" s="2"/>
    </row>
    <row r="19" spans="1:17" s="39" customFormat="1" ht="15" customHeight="1" x14ac:dyDescent="0.3">
      <c r="A19" s="24"/>
      <c r="B19" s="17" t="s">
        <v>287</v>
      </c>
      <c r="C19" s="23"/>
      <c r="D19" s="4">
        <f>--1238.12</f>
        <v>1238.1199999999999</v>
      </c>
      <c r="E19" s="4">
        <f>--10505.51</f>
        <v>10505.51</v>
      </c>
      <c r="F19" s="4">
        <f>-11743.63</f>
        <v>-11743.63</v>
      </c>
      <c r="G19" s="4">
        <f>0</f>
        <v>0</v>
      </c>
      <c r="H19" s="4">
        <f>0</f>
        <v>0</v>
      </c>
      <c r="I19" s="4">
        <f>0</f>
        <v>0</v>
      </c>
      <c r="J19" s="4">
        <f>0</f>
        <v>0</v>
      </c>
      <c r="K19" s="4">
        <f>0</f>
        <v>0</v>
      </c>
      <c r="L19" s="4">
        <f>0</f>
        <v>0</v>
      </c>
      <c r="M19" s="4">
        <f>0</f>
        <v>0</v>
      </c>
      <c r="N19" s="4"/>
      <c r="O19" s="4"/>
      <c r="Q19" s="3">
        <f>SUM(OSRRefD23_0x)+IFERROR(SUM(OSRRefE23_0x),0)</f>
        <v>1.8189894035458565E-12</v>
      </c>
    </row>
    <row r="20" spans="1:17" ht="15" customHeight="1" x14ac:dyDescent="0.3">
      <c r="A20" s="6"/>
      <c r="B20" s="7"/>
      <c r="C20" s="7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Q20" s="4"/>
    </row>
    <row r="21" spans="1:17" s="37" customFormat="1" ht="15" customHeight="1" x14ac:dyDescent="0.3">
      <c r="A21" s="7"/>
      <c r="B21" s="18" t="s">
        <v>288</v>
      </c>
      <c r="C21" s="18"/>
      <c r="D21" s="9">
        <f t="shared" ref="D21:O21" si="5">IFERROR(+D14-D17+D19,0)</f>
        <v>1238.1199999999999</v>
      </c>
      <c r="E21" s="9">
        <f t="shared" si="5"/>
        <v>10505.51</v>
      </c>
      <c r="F21" s="9">
        <f t="shared" si="5"/>
        <v>-11743.63</v>
      </c>
      <c r="G21" s="9">
        <f t="shared" si="5"/>
        <v>0</v>
      </c>
      <c r="H21" s="9">
        <f t="shared" si="5"/>
        <v>0</v>
      </c>
      <c r="I21" s="9">
        <f t="shared" si="5"/>
        <v>0</v>
      </c>
      <c r="J21" s="9">
        <f t="shared" si="5"/>
        <v>0</v>
      </c>
      <c r="K21" s="9">
        <f t="shared" si="5"/>
        <v>0</v>
      </c>
      <c r="L21" s="9">
        <f t="shared" si="5"/>
        <v>0</v>
      </c>
      <c r="M21" s="9">
        <f t="shared" si="5"/>
        <v>0</v>
      </c>
      <c r="N21" s="9">
        <f t="shared" si="5"/>
        <v>0</v>
      </c>
      <c r="O21" s="9">
        <f t="shared" si="5"/>
        <v>0</v>
      </c>
      <c r="Q21" s="9">
        <f>IFERROR(+Q14-Q17+Q19,0)</f>
        <v>1.8189894035458565E-12</v>
      </c>
    </row>
    <row r="22" spans="1:17" s="38" customFormat="1" ht="15" customHeight="1" x14ac:dyDescent="0.3">
      <c r="B22" s="17"/>
      <c r="C22" s="17"/>
      <c r="D22" s="5">
        <f t="shared" ref="D22:O22" si="6">IFERROR(D21/D10,0)</f>
        <v>0</v>
      </c>
      <c r="E22" s="5">
        <f t="shared" si="6"/>
        <v>0</v>
      </c>
      <c r="F22" s="5">
        <f t="shared" si="6"/>
        <v>0</v>
      </c>
      <c r="G22" s="5">
        <f t="shared" si="6"/>
        <v>0</v>
      </c>
      <c r="H22" s="5">
        <f t="shared" si="6"/>
        <v>0</v>
      </c>
      <c r="I22" s="5">
        <f t="shared" si="6"/>
        <v>0</v>
      </c>
      <c r="J22" s="5">
        <f t="shared" si="6"/>
        <v>0</v>
      </c>
      <c r="K22" s="5">
        <f t="shared" si="6"/>
        <v>0</v>
      </c>
      <c r="L22" s="5">
        <f t="shared" si="6"/>
        <v>0</v>
      </c>
      <c r="M22" s="5">
        <f t="shared" si="6"/>
        <v>0</v>
      </c>
      <c r="N22" s="5">
        <f t="shared" si="6"/>
        <v>0</v>
      </c>
      <c r="O22" s="5">
        <f t="shared" si="6"/>
        <v>0</v>
      </c>
      <c r="P22" s="19"/>
      <c r="Q22" s="5">
        <f>IFERROR(Q21/Q10,0)</f>
        <v>0</v>
      </c>
    </row>
    <row r="23" spans="1:17" ht="15" customHeight="1" x14ac:dyDescent="0.3">
      <c r="A23" s="6"/>
      <c r="B23" s="7"/>
      <c r="C23" s="6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Q23" s="4"/>
    </row>
    <row r="24" spans="1:17" s="37" customFormat="1" ht="15" customHeight="1" x14ac:dyDescent="0.3">
      <c r="A24" s="26"/>
      <c r="B24" s="7" t="s">
        <v>289</v>
      </c>
      <c r="C24" s="7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Q24" s="3">
        <f>SUM(OSRRefD28_0x)+IFERROR(SUM(OSRRefE28_0x),0)</f>
        <v>0</v>
      </c>
    </row>
    <row r="25" spans="1:17" ht="15" customHeight="1" x14ac:dyDescent="0.3">
      <c r="A25" s="6"/>
      <c r="B25" s="7"/>
      <c r="C25" s="7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Q25" s="4"/>
    </row>
    <row r="26" spans="1:17" s="37" customFormat="1" ht="15.75" customHeight="1" x14ac:dyDescent="0.3">
      <c r="A26" s="7"/>
      <c r="B26" s="18" t="s">
        <v>290</v>
      </c>
      <c r="C26" s="18"/>
      <c r="D26" s="8">
        <f t="shared" ref="D26:O26" si="7">IFERROR(+D21-D24,0)</f>
        <v>1238.1199999999999</v>
      </c>
      <c r="E26" s="8">
        <f t="shared" si="7"/>
        <v>10505.51</v>
      </c>
      <c r="F26" s="8">
        <f t="shared" si="7"/>
        <v>-11743.63</v>
      </c>
      <c r="G26" s="8">
        <f t="shared" si="7"/>
        <v>0</v>
      </c>
      <c r="H26" s="8">
        <f t="shared" si="7"/>
        <v>0</v>
      </c>
      <c r="I26" s="8">
        <f t="shared" si="7"/>
        <v>0</v>
      </c>
      <c r="J26" s="8">
        <f t="shared" si="7"/>
        <v>0</v>
      </c>
      <c r="K26" s="8">
        <f t="shared" si="7"/>
        <v>0</v>
      </c>
      <c r="L26" s="8">
        <f t="shared" si="7"/>
        <v>0</v>
      </c>
      <c r="M26" s="8">
        <f t="shared" si="7"/>
        <v>0</v>
      </c>
      <c r="N26" s="8">
        <f t="shared" si="7"/>
        <v>0</v>
      </c>
      <c r="O26" s="8">
        <f t="shared" si="7"/>
        <v>0</v>
      </c>
      <c r="Q26" s="8">
        <f>IFERROR(+Q21-Q24,0)</f>
        <v>1.8189894035458565E-12</v>
      </c>
    </row>
    <row r="27" spans="1:17" ht="15.75" customHeight="1" x14ac:dyDescent="0.3">
      <c r="A27" s="6"/>
      <c r="B27" s="6"/>
      <c r="C27" s="6"/>
      <c r="D27" s="5">
        <f t="shared" ref="D27:O27" si="8">IFERROR(D26/D10,0)</f>
        <v>0</v>
      </c>
      <c r="E27" s="5">
        <f t="shared" si="8"/>
        <v>0</v>
      </c>
      <c r="F27" s="5">
        <f t="shared" si="8"/>
        <v>0</v>
      </c>
      <c r="G27" s="5">
        <f t="shared" si="8"/>
        <v>0</v>
      </c>
      <c r="H27" s="5">
        <f t="shared" si="8"/>
        <v>0</v>
      </c>
      <c r="I27" s="5">
        <f t="shared" si="8"/>
        <v>0</v>
      </c>
      <c r="J27" s="5">
        <f t="shared" si="8"/>
        <v>0</v>
      </c>
      <c r="K27" s="5">
        <f t="shared" si="8"/>
        <v>0</v>
      </c>
      <c r="L27" s="5">
        <f t="shared" si="8"/>
        <v>0</v>
      </c>
      <c r="M27" s="5">
        <f t="shared" si="8"/>
        <v>0</v>
      </c>
      <c r="N27" s="5">
        <f t="shared" si="8"/>
        <v>0</v>
      </c>
      <c r="O27" s="5">
        <f t="shared" si="8"/>
        <v>0</v>
      </c>
      <c r="P27" s="19"/>
      <c r="Q27" s="5">
        <f>IFERROR(Q26/Q10,0)</f>
        <v>0</v>
      </c>
    </row>
    <row r="28" spans="1:17" ht="15" customHeight="1" x14ac:dyDescent="0.3">
      <c r="A28" s="6"/>
      <c r="B28" s="6"/>
      <c r="C28" s="6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Q28" s="4"/>
    </row>
    <row r="29" spans="1:17" ht="15" customHeight="1" x14ac:dyDescent="0.3">
      <c r="A29" s="6"/>
      <c r="B29" s="6"/>
      <c r="C29" s="6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Q29" s="4"/>
    </row>
    <row r="30" spans="1:17" s="37" customFormat="1" ht="15.75" customHeight="1" x14ac:dyDescent="0.3">
      <c r="A30" s="7"/>
      <c r="B30" s="18" t="s">
        <v>293</v>
      </c>
      <c r="C30" s="18"/>
      <c r="D30" s="8">
        <f t="shared" ref="D30:O30" si="9">IFERROR(SUM(D26:D29),0)</f>
        <v>1238.1199999999999</v>
      </c>
      <c r="E30" s="8">
        <f t="shared" si="9"/>
        <v>10505.51</v>
      </c>
      <c r="F30" s="8">
        <f t="shared" si="9"/>
        <v>-11743.63</v>
      </c>
      <c r="G30" s="8">
        <f t="shared" si="9"/>
        <v>0</v>
      </c>
      <c r="H30" s="8">
        <f t="shared" si="9"/>
        <v>0</v>
      </c>
      <c r="I30" s="8">
        <f t="shared" si="9"/>
        <v>0</v>
      </c>
      <c r="J30" s="8">
        <f t="shared" si="9"/>
        <v>0</v>
      </c>
      <c r="K30" s="8">
        <f t="shared" si="9"/>
        <v>0</v>
      </c>
      <c r="L30" s="8">
        <f t="shared" si="9"/>
        <v>0</v>
      </c>
      <c r="M30" s="8">
        <f t="shared" si="9"/>
        <v>0</v>
      </c>
      <c r="N30" s="8">
        <f t="shared" si="9"/>
        <v>0</v>
      </c>
      <c r="O30" s="8">
        <f t="shared" si="9"/>
        <v>0</v>
      </c>
      <c r="Q30" s="8">
        <f>IFERROR(SUM(Q26:Q29),0)</f>
        <v>1.8189894035458565E-12</v>
      </c>
    </row>
    <row r="31" spans="1:17" ht="15.75" customHeight="1" x14ac:dyDescent="0.3">
      <c r="A31" s="6"/>
      <c r="C31" s="6"/>
      <c r="D31" s="5">
        <f t="shared" ref="D31:O31" si="10">IFERROR(D30/D10,0)</f>
        <v>0</v>
      </c>
      <c r="E31" s="5">
        <f t="shared" si="10"/>
        <v>0</v>
      </c>
      <c r="F31" s="5">
        <f t="shared" si="10"/>
        <v>0</v>
      </c>
      <c r="G31" s="5">
        <f t="shared" si="10"/>
        <v>0</v>
      </c>
      <c r="H31" s="5">
        <f t="shared" si="10"/>
        <v>0</v>
      </c>
      <c r="I31" s="5">
        <f t="shared" si="10"/>
        <v>0</v>
      </c>
      <c r="J31" s="5">
        <f t="shared" si="10"/>
        <v>0</v>
      </c>
      <c r="K31" s="5">
        <f t="shared" si="10"/>
        <v>0</v>
      </c>
      <c r="L31" s="5">
        <f t="shared" si="10"/>
        <v>0</v>
      </c>
      <c r="M31" s="5">
        <f t="shared" si="10"/>
        <v>0</v>
      </c>
      <c r="N31" s="5">
        <f t="shared" si="10"/>
        <v>0</v>
      </c>
      <c r="O31" s="5">
        <f t="shared" si="10"/>
        <v>0</v>
      </c>
      <c r="P31" s="19"/>
      <c r="Q31" s="5">
        <f>IFERROR(Q30/Q10,0)</f>
        <v>0</v>
      </c>
    </row>
    <row r="32" spans="1:17" ht="15" customHeight="1" x14ac:dyDescent="0.3">
      <c r="A32" s="6"/>
      <c r="B32" s="33">
        <v>44694.892891863426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Q32" s="14"/>
    </row>
    <row r="33" spans="1:17" ht="15" customHeight="1" x14ac:dyDescent="0.3">
      <c r="A33" s="6"/>
      <c r="B33" s="31" t="s">
        <v>294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Q33" s="14"/>
    </row>
    <row r="34" spans="1:17" ht="15" customHeight="1" x14ac:dyDescent="0.3">
      <c r="A34" s="6"/>
      <c r="B34" s="27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Q34" s="14"/>
    </row>
    <row r="35" spans="1:17" ht="15" customHeight="1" x14ac:dyDescent="0.3"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Q35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DB05A-2866-BAAB-0F9B-3BF69CB2BB5E}">
  <sheetPr>
    <tabColor rgb="FFFFFF00"/>
    <outlinePr summaryBelow="0" summaryRight="0"/>
    <pageSetUpPr fitToPage="1"/>
  </sheetPr>
  <dimension ref="A2:R113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">
        <v>312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22987.35</v>
      </c>
      <c r="E10" s="4">
        <f>SUM(OSRRefD11x_1)</f>
        <v>483224.21</v>
      </c>
      <c r="F10" s="4">
        <f>SUM(OSRRefD11x_2)</f>
        <v>1426594.0100000002</v>
      </c>
      <c r="G10" s="4">
        <f>SUM(OSRRefD11x_3)</f>
        <v>1610098.55</v>
      </c>
      <c r="H10" s="4">
        <f>SUM(OSRRefD11x_4)</f>
        <v>1285214.1499999999</v>
      </c>
      <c r="I10" s="4">
        <f>SUM(OSRRefD11x_5)</f>
        <v>964831.3600000001</v>
      </c>
      <c r="J10" s="4">
        <f>SUM(OSRRefD11x_6)</f>
        <v>633381.82999999996</v>
      </c>
      <c r="K10" s="4">
        <f>SUM(OSRRefD11x_7)</f>
        <v>1390818.4</v>
      </c>
      <c r="L10" s="4">
        <f>SUM(OSRRefD11x_8)</f>
        <v>1386070.0299999998</v>
      </c>
      <c r="M10" s="4">
        <f>SUM(OSRRefD11x_9)</f>
        <v>1722827.5100000002</v>
      </c>
      <c r="N10" s="4">
        <f>SUM(OSRRefE11x_0)</f>
        <v>604800</v>
      </c>
      <c r="O10" s="4">
        <f>SUM(OSRRefE11x_1)</f>
        <v>0</v>
      </c>
      <c r="P10" s="25"/>
      <c r="Q10" s="4">
        <f>SUM(OSRRefG11x)</f>
        <v>11530847.400000002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","4053"," - ","TAXABLE SALES-FOOD")</f>
        <v xml:space="preserve">          4053 - TAXABLE SALES-FOOD</v>
      </c>
      <c r="C11" s="23"/>
      <c r="D11" s="3">
        <f>--106.64</f>
        <v>106.64</v>
      </c>
      <c r="E11" s="3">
        <f>--384.19</f>
        <v>384.19</v>
      </c>
      <c r="F11" s="3">
        <f>--644.1</f>
        <v>644.1</v>
      </c>
      <c r="G11" s="3">
        <f>--645.73</f>
        <v>645.73</v>
      </c>
      <c r="H11" s="3">
        <f>--488.67</f>
        <v>488.67</v>
      </c>
      <c r="I11" s="3">
        <f>--314.54</f>
        <v>314.54000000000002</v>
      </c>
      <c r="J11" s="3">
        <f>--100.09</f>
        <v>100.09</v>
      </c>
      <c r="K11" s="3">
        <f>--428.28</f>
        <v>428.28</v>
      </c>
      <c r="L11" s="3">
        <f>--506.22</f>
        <v>506.22</v>
      </c>
      <c r="M11" s="3">
        <f>--702.65</f>
        <v>702.65</v>
      </c>
      <c r="N11" s="3"/>
      <c r="O11" s="3"/>
      <c r="Q11" s="3">
        <f>SUM(OSRRefD11_0x)+IFERROR(SUM(OSRRefE11_0x),0)</f>
        <v>4321.1099999999997</v>
      </c>
    </row>
    <row r="12" spans="1:18" s="39" customFormat="1" ht="15" hidden="1" customHeight="1" outlineLevel="1" x14ac:dyDescent="0.3">
      <c r="A12" s="24"/>
      <c r="B12" s="11" t="str">
        <f>CONCATENATE("          ","4055"," - ","TAXABLE SALES-FOOD")</f>
        <v xml:space="preserve">          4055 - TAXABLE SALES-FOOD</v>
      </c>
      <c r="C12" s="23"/>
      <c r="D12" s="3">
        <f>0</f>
        <v>0</v>
      </c>
      <c r="E12" s="3">
        <f>0</f>
        <v>0</v>
      </c>
      <c r="F12" s="3">
        <f>0</f>
        <v>0</v>
      </c>
      <c r="G12" s="3">
        <f>0</f>
        <v>0</v>
      </c>
      <c r="H12" s="3">
        <f>0</f>
        <v>0</v>
      </c>
      <c r="I12" s="3">
        <f>0</f>
        <v>0</v>
      </c>
      <c r="J12" s="3">
        <f>0</f>
        <v>0</v>
      </c>
      <c r="K12" s="3">
        <f>0</f>
        <v>0</v>
      </c>
      <c r="L12" s="3">
        <f>--541.27</f>
        <v>541.27</v>
      </c>
      <c r="M12" s="3">
        <f>--1014.83</f>
        <v>1014.83</v>
      </c>
      <c r="N12" s="3"/>
      <c r="O12" s="3"/>
      <c r="Q12" s="3">
        <f>SUM(OSRRefD11_1x)+IFERROR(SUM(OSRRefE11_1x),0)</f>
        <v>1556.1</v>
      </c>
    </row>
    <row r="13" spans="1:18" s="39" customFormat="1" ht="15" hidden="1" customHeight="1" outlineLevel="1" x14ac:dyDescent="0.3">
      <c r="A13" s="24"/>
      <c r="B13" s="11" t="str">
        <f>CONCATENATE("          ","4100"," - ","NON-TAXABLE SALES")</f>
        <v xml:space="preserve">          4100 - NON-TAXABLE SALES</v>
      </c>
      <c r="C13" s="23"/>
      <c r="D13" s="3">
        <f>0</f>
        <v>0</v>
      </c>
      <c r="E13" s="3">
        <f>0</f>
        <v>0</v>
      </c>
      <c r="F13" s="3">
        <f>0</f>
        <v>0</v>
      </c>
      <c r="G13" s="3">
        <f>0</f>
        <v>0</v>
      </c>
      <c r="H13" s="3">
        <f>0</f>
        <v>0</v>
      </c>
      <c r="I13" s="3">
        <f>0</f>
        <v>0</v>
      </c>
      <c r="J13" s="3">
        <f>0</f>
        <v>0</v>
      </c>
      <c r="K13" s="3">
        <f>0</f>
        <v>0</v>
      </c>
      <c r="L13" s="3">
        <f>0</f>
        <v>0</v>
      </c>
      <c r="M13" s="3">
        <f>0</f>
        <v>0</v>
      </c>
      <c r="N13" s="3">
        <v>604800</v>
      </c>
      <c r="O13" s="3"/>
      <c r="Q13" s="3">
        <f>SUM(OSRRefD11_2x)+IFERROR(SUM(OSRRefE11_2x),0)</f>
        <v>604800</v>
      </c>
    </row>
    <row r="14" spans="1:18" s="39" customFormat="1" ht="15" hidden="1" customHeight="1" outlineLevel="1" x14ac:dyDescent="0.3">
      <c r="A14" s="24"/>
      <c r="B14" s="11" t="str">
        <f>CONCATENATE("          ","4151"," - ","NON-TAXABLE SALES-FOOD")</f>
        <v xml:space="preserve">          4151 - NON-TAXABLE SALES-FOOD</v>
      </c>
      <c r="C14" s="23"/>
      <c r="D14" s="3">
        <f>--19600</f>
        <v>19600</v>
      </c>
      <c r="E14" s="3">
        <f>--467052.71</f>
        <v>467052.71</v>
      </c>
      <c r="F14" s="3">
        <f>--1412740.6</f>
        <v>1412740.6</v>
      </c>
      <c r="G14" s="3">
        <f>--1597325.45</f>
        <v>1597325.45</v>
      </c>
      <c r="H14" s="3">
        <f>--1278360.35</f>
        <v>1278360.3500000001</v>
      </c>
      <c r="I14" s="3">
        <f>--958820.66</f>
        <v>958820.66</v>
      </c>
      <c r="J14" s="3">
        <f>--628266.41</f>
        <v>628266.41</v>
      </c>
      <c r="K14" s="3">
        <f>--1371084.16</f>
        <v>1371084.16</v>
      </c>
      <c r="L14" s="3">
        <f>--1367564.89</f>
        <v>1367564.89</v>
      </c>
      <c r="M14" s="3">
        <f>--1703509.07</f>
        <v>1703509.07</v>
      </c>
      <c r="N14" s="3"/>
      <c r="O14" s="3"/>
      <c r="Q14" s="3">
        <f>SUM(OSRRefD11_3x)+IFERROR(SUM(OSRRefE11_3x),0)</f>
        <v>10804324.300000001</v>
      </c>
    </row>
    <row r="15" spans="1:18" s="39" customFormat="1" ht="15" hidden="1" customHeight="1" outlineLevel="1" x14ac:dyDescent="0.3">
      <c r="A15" s="24"/>
      <c r="B15" s="11" t="str">
        <f>CONCATENATE("          ","4153"," - ","NON-TAXABLE SALES-FOOD")</f>
        <v xml:space="preserve">          4153 - NON-TAXABLE SALES-FOOD</v>
      </c>
      <c r="C15" s="23"/>
      <c r="D15" s="3">
        <f>--3280.71</f>
        <v>3280.71</v>
      </c>
      <c r="E15" s="3">
        <f>--15787.31</f>
        <v>15787.31</v>
      </c>
      <c r="F15" s="3">
        <f>--13209.31</f>
        <v>13209.31</v>
      </c>
      <c r="G15" s="3">
        <f>--12127.37</f>
        <v>12127.37</v>
      </c>
      <c r="H15" s="3">
        <f>--6365.13</f>
        <v>6365.13</v>
      </c>
      <c r="I15" s="3">
        <f>--5696.16</f>
        <v>5696.16</v>
      </c>
      <c r="J15" s="3">
        <f>--5015.33</f>
        <v>5015.33</v>
      </c>
      <c r="K15" s="3">
        <f>--19305.96</f>
        <v>19305.96</v>
      </c>
      <c r="L15" s="3">
        <f>--15712.94</f>
        <v>15712.94</v>
      </c>
      <c r="M15" s="3">
        <f>--15546.35</f>
        <v>15546.35</v>
      </c>
      <c r="N15" s="3"/>
      <c r="O15" s="3"/>
      <c r="Q15" s="3">
        <f>SUM(OSRRefD11_4x)+IFERROR(SUM(OSRRefE11_4x),0)</f>
        <v>112046.57</v>
      </c>
    </row>
    <row r="16" spans="1:18" s="39" customFormat="1" ht="15" hidden="1" customHeight="1" outlineLevel="1" x14ac:dyDescent="0.3">
      <c r="A16" s="24"/>
      <c r="B16" s="11" t="str">
        <f>CONCATENATE("          ","4155"," - ","NON-TAXABLE SALES-FOOD")</f>
        <v xml:space="preserve">          4155 - NON-TAXABLE SALES-FOOD</v>
      </c>
      <c r="C16" s="23"/>
      <c r="D16" s="3">
        <f>0</f>
        <v>0</v>
      </c>
      <c r="E16" s="3">
        <f>0</f>
        <v>0</v>
      </c>
      <c r="F16" s="3">
        <f>0</f>
        <v>0</v>
      </c>
      <c r="G16" s="3">
        <f>0</f>
        <v>0</v>
      </c>
      <c r="H16" s="3">
        <f>0</f>
        <v>0</v>
      </c>
      <c r="I16" s="3">
        <f>0</f>
        <v>0</v>
      </c>
      <c r="J16" s="3">
        <f>0</f>
        <v>0</v>
      </c>
      <c r="K16" s="3">
        <f>0</f>
        <v>0</v>
      </c>
      <c r="L16" s="3">
        <f>--1744.71</f>
        <v>1744.71</v>
      </c>
      <c r="M16" s="3">
        <f>--2054.61</f>
        <v>2054.61</v>
      </c>
      <c r="N16" s="3"/>
      <c r="O16" s="3"/>
      <c r="Q16" s="3">
        <f>SUM(OSRRefD11_5x)+IFERROR(SUM(OSRRefE11_5x),0)</f>
        <v>3799.32</v>
      </c>
    </row>
    <row r="17" spans="1:17" ht="15" customHeight="1" x14ac:dyDescent="0.3">
      <c r="A17" s="6"/>
      <c r="B17" s="7"/>
      <c r="C17" s="6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Q17" s="4"/>
    </row>
    <row r="18" spans="1:17" s="39" customFormat="1" ht="15" customHeight="1" collapsed="1" x14ac:dyDescent="0.3">
      <c r="A18" s="24"/>
      <c r="B18" s="17" t="s">
        <v>284</v>
      </c>
      <c r="C18" s="23"/>
      <c r="D18" s="4">
        <f>SUM(OSRRefD14x_0)</f>
        <v>17128.84</v>
      </c>
      <c r="E18" s="4">
        <f>SUM(OSRRefD14x_1)</f>
        <v>175207.4</v>
      </c>
      <c r="F18" s="4">
        <f>SUM(OSRRefD14x_2)</f>
        <v>356896.83</v>
      </c>
      <c r="G18" s="4">
        <f>SUM(OSRRefD14x_3)</f>
        <v>446975.07</v>
      </c>
      <c r="H18" s="4">
        <f>SUM(OSRRefD14x_4)</f>
        <v>282361.28000000003</v>
      </c>
      <c r="I18" s="4">
        <f>SUM(OSRRefD14x_5)</f>
        <v>225578.85</v>
      </c>
      <c r="J18" s="4">
        <f>SUM(OSRRefD14x_6)</f>
        <v>98661.01999999999</v>
      </c>
      <c r="K18" s="4">
        <f>SUM(OSRRefD14x_7)</f>
        <v>308484.09000000003</v>
      </c>
      <c r="L18" s="4">
        <f>SUM(OSRRefD14x_8)</f>
        <v>327097.55</v>
      </c>
      <c r="M18" s="4">
        <f>SUM(OSRRefD14x_9)</f>
        <v>348272.43</v>
      </c>
      <c r="N18" s="4">
        <f>SUM(OSRRefE14x_0)</f>
        <v>172611</v>
      </c>
      <c r="O18" s="4">
        <f>SUM(OSRRefE14x_1)</f>
        <v>0</v>
      </c>
      <c r="Q18" s="4">
        <f>SUM(OSRRefG14x)</f>
        <v>2759274.3600000003</v>
      </c>
    </row>
    <row r="19" spans="1:17" s="39" customFormat="1" ht="15" hidden="1" customHeight="1" outlineLevel="1" x14ac:dyDescent="0.3">
      <c r="A19" s="24"/>
      <c r="B19" s="11" t="str">
        <f>CONCATENATE("          ","5000"," - ","PURCHASES @ COST")</f>
        <v xml:space="preserve">          5000 - PURCHASES @ COST</v>
      </c>
      <c r="C19" s="23"/>
      <c r="D19" s="3"/>
      <c r="E19" s="3"/>
      <c r="F19" s="3"/>
      <c r="G19" s="3"/>
      <c r="H19" s="3"/>
      <c r="I19" s="3"/>
      <c r="J19" s="3"/>
      <c r="K19" s="3"/>
      <c r="L19" s="3"/>
      <c r="M19" s="3"/>
      <c r="N19" s="3">
        <v>172611</v>
      </c>
      <c r="O19" s="3"/>
      <c r="Q19" s="3">
        <f>SUM(OSRRefD14_0x)+IFERROR(SUM(OSRRefE14_0x),0)</f>
        <v>172611</v>
      </c>
    </row>
    <row r="20" spans="1:17" s="39" customFormat="1" ht="15" hidden="1" customHeight="1" outlineLevel="1" x14ac:dyDescent="0.3">
      <c r="A20" s="24"/>
      <c r="B20" s="11" t="str">
        <f>CONCATENATE("          ","5053"," - ","PURCHASES @ COST-FOOD")</f>
        <v xml:space="preserve">          5053 - PURCHASES @ COST-FOOD</v>
      </c>
      <c r="C20" s="23"/>
      <c r="D20" s="3">
        <v>17968.84</v>
      </c>
      <c r="E20" s="3">
        <v>219629.4</v>
      </c>
      <c r="F20" s="3">
        <v>370814.83</v>
      </c>
      <c r="G20" s="3">
        <v>444320.13</v>
      </c>
      <c r="H20" s="3">
        <v>278066.28000000003</v>
      </c>
      <c r="I20" s="3">
        <v>180607.85</v>
      </c>
      <c r="J20" s="3">
        <v>131261.01999999999</v>
      </c>
      <c r="K20" s="3">
        <v>322359.09000000003</v>
      </c>
      <c r="L20" s="3">
        <v>315121.55</v>
      </c>
      <c r="M20" s="3">
        <v>346701.43</v>
      </c>
      <c r="N20" s="3"/>
      <c r="O20" s="3"/>
      <c r="Q20" s="3">
        <f>SUM(OSRRefD14_1x)+IFERROR(SUM(OSRRefE14_1x),0)</f>
        <v>2626850.4200000004</v>
      </c>
    </row>
    <row r="21" spans="1:17" s="39" customFormat="1" ht="15" hidden="1" customHeight="1" outlineLevel="1" x14ac:dyDescent="0.3">
      <c r="A21" s="24"/>
      <c r="B21" s="11" t="str">
        <f>CONCATENATE("          ","5059"," - ","PURCHASES @ COST-FOOD")</f>
        <v xml:space="preserve">          5059 - PURCHASES @ COST-FOOD</v>
      </c>
      <c r="C21" s="23"/>
      <c r="D21" s="3">
        <v>-840</v>
      </c>
      <c r="E21" s="3">
        <v>-44422</v>
      </c>
      <c r="F21" s="3">
        <v>-13918</v>
      </c>
      <c r="G21" s="3">
        <v>2654.94</v>
      </c>
      <c r="H21" s="3">
        <v>4295</v>
      </c>
      <c r="I21" s="3">
        <v>44971</v>
      </c>
      <c r="J21" s="3">
        <v>-32600</v>
      </c>
      <c r="K21" s="3">
        <v>-13875</v>
      </c>
      <c r="L21" s="3">
        <v>11976</v>
      </c>
      <c r="M21" s="3">
        <v>1571</v>
      </c>
      <c r="N21" s="3"/>
      <c r="O21" s="3"/>
      <c r="Q21" s="3">
        <f>SUM(OSRRefD14_2x)+IFERROR(SUM(OSRRefE14_2x),0)</f>
        <v>-40187.06</v>
      </c>
    </row>
    <row r="22" spans="1:17" ht="15" customHeight="1" x14ac:dyDescent="0.3">
      <c r="A22" s="6"/>
      <c r="B22" s="7"/>
      <c r="C22" s="7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Q22" s="4"/>
    </row>
    <row r="23" spans="1:17" s="37" customFormat="1" ht="15" customHeight="1" x14ac:dyDescent="0.3">
      <c r="A23" s="7"/>
      <c r="B23" s="18" t="s">
        <v>285</v>
      </c>
      <c r="C23" s="18"/>
      <c r="D23" s="9">
        <f t="shared" ref="D23:O23" si="0">IFERROR(+D10-D18,0)</f>
        <v>5858.5099999999984</v>
      </c>
      <c r="E23" s="9">
        <f t="shared" si="0"/>
        <v>308016.81000000006</v>
      </c>
      <c r="F23" s="9">
        <f t="shared" si="0"/>
        <v>1069697.1800000002</v>
      </c>
      <c r="G23" s="9">
        <f t="shared" si="0"/>
        <v>1163123.48</v>
      </c>
      <c r="H23" s="9">
        <f t="shared" si="0"/>
        <v>1002852.8699999999</v>
      </c>
      <c r="I23" s="9">
        <f t="shared" si="0"/>
        <v>739252.51000000013</v>
      </c>
      <c r="J23" s="9">
        <f t="shared" si="0"/>
        <v>534720.80999999994</v>
      </c>
      <c r="K23" s="9">
        <f t="shared" si="0"/>
        <v>1082334.3099999998</v>
      </c>
      <c r="L23" s="9">
        <f t="shared" si="0"/>
        <v>1058972.4799999997</v>
      </c>
      <c r="M23" s="9">
        <f t="shared" si="0"/>
        <v>1374555.0800000003</v>
      </c>
      <c r="N23" s="9">
        <f t="shared" si="0"/>
        <v>432189</v>
      </c>
      <c r="O23" s="9">
        <f t="shared" si="0"/>
        <v>0</v>
      </c>
      <c r="Q23" s="9">
        <f>IFERROR(+Q10-Q18,0)</f>
        <v>8771573.0400000028</v>
      </c>
    </row>
    <row r="24" spans="1:17" s="38" customFormat="1" ht="15" customHeight="1" x14ac:dyDescent="0.3">
      <c r="B24" s="17"/>
      <c r="C24" s="17"/>
      <c r="D24" s="5">
        <f t="shared" ref="D24:O24" si="1">IFERROR(D23/D10,0)</f>
        <v>0.25485799798584868</v>
      </c>
      <c r="E24" s="5">
        <f t="shared" si="1"/>
        <v>0.63742007048860416</v>
      </c>
      <c r="F24" s="5">
        <f t="shared" si="1"/>
        <v>0.74982592980325213</v>
      </c>
      <c r="G24" s="5">
        <f t="shared" si="1"/>
        <v>0.7223927255881325</v>
      </c>
      <c r="H24" s="5">
        <f t="shared" si="1"/>
        <v>0.78030020911301046</v>
      </c>
      <c r="I24" s="5">
        <f t="shared" si="1"/>
        <v>0.76619867538302244</v>
      </c>
      <c r="J24" s="5">
        <f t="shared" si="1"/>
        <v>0.84423136988315561</v>
      </c>
      <c r="K24" s="5">
        <f t="shared" si="1"/>
        <v>0.77819959097463764</v>
      </c>
      <c r="L24" s="5">
        <f t="shared" si="1"/>
        <v>0.76401080542806332</v>
      </c>
      <c r="M24" s="5">
        <f t="shared" si="1"/>
        <v>0.79784834640816715</v>
      </c>
      <c r="N24" s="5">
        <f t="shared" si="1"/>
        <v>0.71459821428571424</v>
      </c>
      <c r="O24" s="5">
        <f t="shared" si="1"/>
        <v>0</v>
      </c>
      <c r="P24" s="19"/>
      <c r="Q24" s="5">
        <f>IFERROR(Q23/Q10,0)</f>
        <v>0.76070497993061648</v>
      </c>
    </row>
    <row r="25" spans="1:17" ht="15" customHeight="1" x14ac:dyDescent="0.3">
      <c r="A25" s="6"/>
      <c r="B25" s="7"/>
      <c r="C25" s="6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Q25" s="2"/>
    </row>
    <row r="26" spans="1:17" s="37" customFormat="1" ht="15" customHeight="1" x14ac:dyDescent="0.3">
      <c r="A26" s="7"/>
      <c r="B26" s="17" t="s">
        <v>286</v>
      </c>
      <c r="C26" s="7"/>
      <c r="D26" s="12" cm="1">
        <f t="array" ref="D26">SUM(OSRRefD20x_0)</f>
        <v>194629.89</v>
      </c>
      <c r="E26" s="12" cm="1">
        <f t="array" ref="E26">SUM(OSRRefD20x_1)</f>
        <v>313685.63</v>
      </c>
      <c r="F26" s="12" cm="1">
        <f t="array" ref="F26">SUM(OSRRefD20x_2)</f>
        <v>499575.27</v>
      </c>
      <c r="G26" s="12" cm="1">
        <f t="array" ref="G26">SUM(OSRRefD20x_3)</f>
        <v>751485.87000000011</v>
      </c>
      <c r="H26" s="12" cm="1">
        <f t="array" ref="H26">SUM(OSRRefD20x_4)</f>
        <v>483116.44999999995</v>
      </c>
      <c r="I26" s="12" cm="1">
        <f t="array" ref="I26">SUM(OSRRefD20x_5)</f>
        <v>456769.11999999994</v>
      </c>
      <c r="J26" s="12" cm="1">
        <f t="array" ref="J26">SUM(OSRRefD20x_6)</f>
        <v>354706.53999999992</v>
      </c>
      <c r="K26" s="12" cm="1">
        <f t="array" ref="K26">SUM(OSRRefD20x_7)</f>
        <v>533998.94999999995</v>
      </c>
      <c r="L26" s="12" cm="1">
        <f t="array" ref="L26">SUM(OSRRefD20x_8)</f>
        <v>553462.25</v>
      </c>
      <c r="M26" s="12" cm="1">
        <f t="array" ref="M26">SUM(OSRRefD20x_9)</f>
        <v>618959.43000000005</v>
      </c>
      <c r="N26" s="12" cm="1">
        <f t="array" ref="N26">SUM(OSRRefE20x_0)</f>
        <v>432654.93823726603</v>
      </c>
      <c r="O26" s="12" cm="1">
        <f t="array" ref="O26">SUM(OSRRefE20x_1)</f>
        <v>278265.06823726604</v>
      </c>
      <c r="Q26" s="12" cm="1">
        <f t="array" ref="Q26">SUM(OSRRefG20x)</f>
        <v>5471309.4064745307</v>
      </c>
    </row>
    <row r="27" spans="1:17" s="42" customFormat="1" ht="15" customHeight="1" collapsed="1" x14ac:dyDescent="0.3">
      <c r="A27" s="34"/>
      <c r="B27" s="15" t="str">
        <f>CONCATENATE("     ","*Benefits                                         ")</f>
        <v xml:space="preserve">     *Benefits                                         </v>
      </c>
      <c r="C27" s="15"/>
      <c r="D27" s="2">
        <f>SUM(OSRRefD21_0x_0)</f>
        <v>67799.51999999999</v>
      </c>
      <c r="E27" s="2">
        <f>SUM(OSRRefD21_0x_1)</f>
        <v>75970.11</v>
      </c>
      <c r="F27" s="2">
        <f>SUM(OSRRefD21_0x_2)</f>
        <v>87088.51999999999</v>
      </c>
      <c r="G27" s="2">
        <f>SUM(OSRRefD21_0x_3)</f>
        <v>106577.24000000002</v>
      </c>
      <c r="H27" s="2">
        <f>SUM(OSRRefD21_0x_4)</f>
        <v>88817.62000000001</v>
      </c>
      <c r="I27" s="2">
        <f>SUM(OSRRefD21_0x_5)</f>
        <v>84916.609999999986</v>
      </c>
      <c r="J27" s="2">
        <f>SUM(OSRRefD21_0x_6)</f>
        <v>89533.7</v>
      </c>
      <c r="K27" s="2">
        <f>SUM(OSRRefD21_0x_7)</f>
        <v>86590.239999999991</v>
      </c>
      <c r="L27" s="2">
        <f>SUM(OSRRefD21_0x_8)</f>
        <v>86469.290000000023</v>
      </c>
      <c r="M27" s="2">
        <f>SUM(OSRRefD21_0x_9)</f>
        <v>98184.59</v>
      </c>
      <c r="N27" s="2">
        <f>SUM(OSRRefE21_0x_0)</f>
        <v>102294.70128341994</v>
      </c>
      <c r="O27" s="2">
        <f>SUM(OSRRefE21_0x_1)</f>
        <v>95598.633283419957</v>
      </c>
      <c r="Q27" s="3">
        <f>SUM(OSRRefD20_0x)+IFERROR(SUM(OSRRefE20_0x),0)</f>
        <v>1069840.7745668399</v>
      </c>
    </row>
    <row r="28" spans="1:17" s="42" customFormat="1" ht="15" hidden="1" customHeight="1" outlineLevel="1" x14ac:dyDescent="0.3">
      <c r="A28" s="34"/>
      <c r="B28" s="11" t="str">
        <f>CONCATENATE("          ","6111"," - ","F.I.C.A.")</f>
        <v xml:space="preserve">          6111 - F.I.C.A.</v>
      </c>
      <c r="C28" s="15"/>
      <c r="D28" s="3">
        <v>6629.57</v>
      </c>
      <c r="E28" s="3">
        <v>9598.31</v>
      </c>
      <c r="F28" s="3">
        <v>13826.34</v>
      </c>
      <c r="G28" s="3">
        <v>19505.12</v>
      </c>
      <c r="H28" s="3">
        <v>12270.83</v>
      </c>
      <c r="I28" s="3">
        <v>10959.95</v>
      </c>
      <c r="J28" s="3">
        <v>8909.86</v>
      </c>
      <c r="K28" s="3">
        <v>12469.87</v>
      </c>
      <c r="L28" s="3">
        <v>12667.94</v>
      </c>
      <c r="M28" s="3">
        <v>17074.03</v>
      </c>
      <c r="N28" s="3">
        <v>10848.5830418815</v>
      </c>
      <c r="O28" s="3">
        <v>10067.977041881501</v>
      </c>
      <c r="P28" s="10"/>
      <c r="Q28" s="3">
        <f>SUM(OSRRefD21_0_0x)+IFERROR(SUM(OSRRefE21_0_0x),0)</f>
        <v>144828.38008376298</v>
      </c>
    </row>
    <row r="29" spans="1:17" s="42" customFormat="1" ht="15" hidden="1" customHeight="1" outlineLevel="1" x14ac:dyDescent="0.3">
      <c r="A29" s="34"/>
      <c r="B29" s="11" t="str">
        <f>CONCATENATE("          ","6112"," - ","COMPENSATION INSURANCE")</f>
        <v xml:space="preserve">          6112 - COMPENSATION INSURANCE</v>
      </c>
      <c r="C29" s="15"/>
      <c r="D29" s="3">
        <v>3112.97</v>
      </c>
      <c r="E29" s="3">
        <v>4432.8599999999997</v>
      </c>
      <c r="F29" s="3">
        <v>7712.05</v>
      </c>
      <c r="G29" s="3">
        <v>12766.42</v>
      </c>
      <c r="H29" s="3">
        <v>8701.2900000000009</v>
      </c>
      <c r="I29" s="3">
        <v>8041.97</v>
      </c>
      <c r="J29" s="3">
        <v>4637.2700000000004</v>
      </c>
      <c r="K29" s="3">
        <v>9321.7199999999993</v>
      </c>
      <c r="L29" s="3">
        <v>10430.66</v>
      </c>
      <c r="M29" s="3">
        <v>8148.04</v>
      </c>
      <c r="N29" s="3">
        <v>8361.3294382923104</v>
      </c>
      <c r="O29" s="3">
        <v>5158.5292982923102</v>
      </c>
      <c r="P29" s="10"/>
      <c r="Q29" s="3">
        <f>SUM(OSRRefD21_0_1x)+IFERROR(SUM(OSRRefE21_0_1x),0)</f>
        <v>90825.108736584618</v>
      </c>
    </row>
    <row r="30" spans="1:17" s="42" customFormat="1" ht="15" hidden="1" customHeight="1" outlineLevel="1" x14ac:dyDescent="0.3">
      <c r="A30" s="34"/>
      <c r="B30" s="11" t="str">
        <f>CONCATENATE("          ","6113"," - ","GROUP INSURANCE")</f>
        <v xml:space="preserve">          6113 - GROUP INSURANCE</v>
      </c>
      <c r="C30" s="15"/>
      <c r="D30" s="3">
        <v>40765.769999999997</v>
      </c>
      <c r="E30" s="3">
        <v>42155.33</v>
      </c>
      <c r="F30" s="3">
        <v>44538.95</v>
      </c>
      <c r="G30" s="3">
        <v>42320.72</v>
      </c>
      <c r="H30" s="3">
        <v>44984.33</v>
      </c>
      <c r="I30" s="3">
        <v>44247.77</v>
      </c>
      <c r="J30" s="3">
        <v>41931.949999999997</v>
      </c>
      <c r="K30" s="3">
        <v>43181.120000000003</v>
      </c>
      <c r="L30" s="3">
        <v>40860.07</v>
      </c>
      <c r="M30" s="3">
        <v>41541.21</v>
      </c>
      <c r="N30" s="3">
        <v>61886.692307692298</v>
      </c>
      <c r="O30" s="3">
        <v>61886.692307692298</v>
      </c>
      <c r="P30" s="10"/>
      <c r="Q30" s="3">
        <f>SUM(OSRRefD21_0_2x)+IFERROR(SUM(OSRRefE21_0_2x),0)</f>
        <v>550300.6046153846</v>
      </c>
    </row>
    <row r="31" spans="1:17" s="42" customFormat="1" ht="15" hidden="1" customHeight="1" outlineLevel="1" x14ac:dyDescent="0.3">
      <c r="A31" s="34"/>
      <c r="B31" s="11" t="str">
        <f>CONCATENATE("          ","6114"," - ","STATE UNEMPLOYMENT INSURANCE")</f>
        <v xml:space="preserve">          6114 - STATE UNEMPLOYMENT INSURANCE</v>
      </c>
      <c r="C31" s="15"/>
      <c r="D31" s="3">
        <v>224.82</v>
      </c>
      <c r="E31" s="3">
        <v>320.16000000000003</v>
      </c>
      <c r="F31" s="3">
        <v>556.99</v>
      </c>
      <c r="G31" s="3">
        <v>922</v>
      </c>
      <c r="H31" s="3">
        <v>628.42999999999995</v>
      </c>
      <c r="I31" s="3">
        <v>580.82000000000005</v>
      </c>
      <c r="J31" s="3">
        <v>334.9</v>
      </c>
      <c r="K31" s="3">
        <v>673.26</v>
      </c>
      <c r="L31" s="3">
        <v>753.3</v>
      </c>
      <c r="M31" s="3">
        <v>588.44000000000005</v>
      </c>
      <c r="N31" s="3">
        <v>463.292660169231</v>
      </c>
      <c r="O31" s="3">
        <v>285.82880016923099</v>
      </c>
      <c r="P31" s="10"/>
      <c r="Q31" s="3">
        <f>SUM(OSRRefD21_0_3x)+IFERROR(SUM(OSRRefE21_0_3x),0)</f>
        <v>6332.2414603384623</v>
      </c>
    </row>
    <row r="32" spans="1:17" s="42" customFormat="1" ht="15" hidden="1" customHeight="1" outlineLevel="1" x14ac:dyDescent="0.3">
      <c r="A32" s="34"/>
      <c r="B32" s="11" t="str">
        <f>CONCATENATE("          ","6115"," - ","P.E.R.S.")</f>
        <v xml:space="preserve">          6115 - P.E.R.S.</v>
      </c>
      <c r="C32" s="15"/>
      <c r="D32" s="3">
        <v>3537.53</v>
      </c>
      <c r="E32" s="3">
        <v>3736.04</v>
      </c>
      <c r="F32" s="3">
        <v>4130.42</v>
      </c>
      <c r="G32" s="3">
        <v>5901.82</v>
      </c>
      <c r="H32" s="3">
        <v>4016.61</v>
      </c>
      <c r="I32" s="3">
        <v>4076.1</v>
      </c>
      <c r="J32" s="3">
        <v>4106.9799999999996</v>
      </c>
      <c r="K32" s="3">
        <v>3917.83</v>
      </c>
      <c r="L32" s="3">
        <v>4069.55</v>
      </c>
      <c r="M32" s="3">
        <v>5381.54</v>
      </c>
      <c r="N32" s="3">
        <v>3855.08832769231</v>
      </c>
      <c r="O32" s="3">
        <v>3855.08832769231</v>
      </c>
      <c r="P32" s="10"/>
      <c r="Q32" s="3">
        <f>SUM(OSRRefD21_0_4x)+IFERROR(SUM(OSRRefE21_0_4x),0)</f>
        <v>50584.596655384616</v>
      </c>
    </row>
    <row r="33" spans="1:17" s="42" customFormat="1" ht="15" hidden="1" customHeight="1" outlineLevel="1" x14ac:dyDescent="0.3">
      <c r="A33" s="34"/>
      <c r="B33" s="11" t="str">
        <f>CONCATENATE("          ","6116"," - ","EDUCATIONAL BENEFITS")</f>
        <v xml:space="preserve">          6116 - EDUCATIONAL BENEFITS</v>
      </c>
      <c r="C33" s="15"/>
      <c r="D33" s="3"/>
      <c r="E33" s="3"/>
      <c r="F33" s="3"/>
      <c r="G33" s="3"/>
      <c r="H33" s="3"/>
      <c r="I33" s="3"/>
      <c r="J33" s="3"/>
      <c r="K33" s="3"/>
      <c r="L33" s="3"/>
      <c r="M33" s="3"/>
      <c r="N33" s="3">
        <v>0</v>
      </c>
      <c r="O33" s="3">
        <v>0</v>
      </c>
      <c r="P33" s="10"/>
      <c r="Q33" s="3">
        <f>SUM(OSRRefD21_0_5x)+IFERROR(SUM(OSRRefE21_0_5x),0)</f>
        <v>0</v>
      </c>
    </row>
    <row r="34" spans="1:17" s="42" customFormat="1" ht="15" hidden="1" customHeight="1" outlineLevel="1" x14ac:dyDescent="0.3">
      <c r="A34" s="34"/>
      <c r="B34" s="11" t="str">
        <f>CONCATENATE("          ","6117"," - ","RETIREMENT STAFF HOURLY")</f>
        <v xml:space="preserve">          6117 - RETIREMENT STAFF HOURLY</v>
      </c>
      <c r="C34" s="15"/>
      <c r="D34" s="3">
        <v>1281.6400000000001</v>
      </c>
      <c r="E34" s="3">
        <v>2188.98</v>
      </c>
      <c r="F34" s="3">
        <v>1146.68</v>
      </c>
      <c r="G34" s="3">
        <v>1868.11</v>
      </c>
      <c r="H34" s="3">
        <v>1804.57</v>
      </c>
      <c r="I34" s="3">
        <v>1654.25</v>
      </c>
      <c r="J34" s="3">
        <v>2041.18</v>
      </c>
      <c r="K34" s="3">
        <v>1870.09</v>
      </c>
      <c r="L34" s="3">
        <v>1567.69</v>
      </c>
      <c r="M34" s="3">
        <v>1458.82</v>
      </c>
      <c r="N34" s="3"/>
      <c r="O34" s="3"/>
      <c r="P34" s="10"/>
      <c r="Q34" s="3">
        <f>SUM(OSRRefD21_0_6x)+IFERROR(SUM(OSRRefE21_0_6x),0)</f>
        <v>16882.010000000002</v>
      </c>
    </row>
    <row r="35" spans="1:17" s="42" customFormat="1" ht="15" hidden="1" customHeight="1" outlineLevel="1" x14ac:dyDescent="0.3">
      <c r="A35" s="34"/>
      <c r="B35" s="11" t="str">
        <f>CONCATENATE("          ","6118"," - ","VACATION")</f>
        <v xml:space="preserve">          6118 - VACATION</v>
      </c>
      <c r="C35" s="15"/>
      <c r="D35" s="3">
        <v>6030.08</v>
      </c>
      <c r="E35" s="3">
        <v>6724.79</v>
      </c>
      <c r="F35" s="3">
        <v>7138.07</v>
      </c>
      <c r="G35" s="3">
        <v>10096.67</v>
      </c>
      <c r="H35" s="3">
        <v>6734.06</v>
      </c>
      <c r="I35" s="3">
        <v>6996.26</v>
      </c>
      <c r="J35" s="3">
        <v>13200.39</v>
      </c>
      <c r="K35" s="3">
        <v>6837.23</v>
      </c>
      <c r="L35" s="3">
        <v>6757.46</v>
      </c>
      <c r="M35" s="3">
        <v>10901.12</v>
      </c>
      <c r="N35" s="3">
        <v>5681.2654538461502</v>
      </c>
      <c r="O35" s="3">
        <v>5681.2654538461502</v>
      </c>
      <c r="P35" s="10"/>
      <c r="Q35" s="3">
        <f>SUM(OSRRefD21_0_7x)+IFERROR(SUM(OSRRefE21_0_7x),0)</f>
        <v>92778.660907692305</v>
      </c>
    </row>
    <row r="36" spans="1:17" s="42" customFormat="1" ht="15" hidden="1" customHeight="1" outlineLevel="1" x14ac:dyDescent="0.3">
      <c r="A36" s="34"/>
      <c r="B36" s="11" t="str">
        <f>CONCATENATE("          ","6119"," - ","SICK LEAVE")</f>
        <v xml:space="preserve">          6119 - SICK LEAVE</v>
      </c>
      <c r="C36" s="15"/>
      <c r="D36" s="3">
        <v>3948.81</v>
      </c>
      <c r="E36" s="3">
        <v>4503.7</v>
      </c>
      <c r="F36" s="3">
        <v>5110.76</v>
      </c>
      <c r="G36" s="3">
        <v>7690.77</v>
      </c>
      <c r="H36" s="3">
        <v>5405.14</v>
      </c>
      <c r="I36" s="3">
        <v>5283.9</v>
      </c>
      <c r="J36" s="3">
        <v>12102.14</v>
      </c>
      <c r="K36" s="3">
        <v>5136.6899999999996</v>
      </c>
      <c r="L36" s="3">
        <v>5328.71</v>
      </c>
      <c r="M36" s="3">
        <v>8798.7000000000007</v>
      </c>
      <c r="N36" s="3">
        <v>6998.4500538461498</v>
      </c>
      <c r="O36" s="3">
        <v>4463.2520538461504</v>
      </c>
      <c r="P36" s="10"/>
      <c r="Q36" s="3">
        <f>SUM(OSRRefD21_0_8x)+IFERROR(SUM(OSRRefE21_0_8x),0)</f>
        <v>74771.022107692304</v>
      </c>
    </row>
    <row r="37" spans="1:17" s="42" customFormat="1" ht="15" hidden="1" customHeight="1" outlineLevel="1" x14ac:dyDescent="0.3">
      <c r="A37" s="34"/>
      <c r="B37" s="11" t="str">
        <f>CONCATENATE("          ","6156"," - ","EMPLOYEE MEALS")</f>
        <v xml:space="preserve">          6156 - EMPLOYEE MEALS</v>
      </c>
      <c r="C37" s="15"/>
      <c r="D37" s="3">
        <v>2268.33</v>
      </c>
      <c r="E37" s="3">
        <v>2309.94</v>
      </c>
      <c r="F37" s="3">
        <v>2928.26</v>
      </c>
      <c r="G37" s="3">
        <v>5505.61</v>
      </c>
      <c r="H37" s="3">
        <v>4272.3599999999997</v>
      </c>
      <c r="I37" s="3">
        <v>3075.59</v>
      </c>
      <c r="J37" s="3">
        <v>2269.0300000000002</v>
      </c>
      <c r="K37" s="3">
        <v>3182.43</v>
      </c>
      <c r="L37" s="3">
        <v>4033.91</v>
      </c>
      <c r="M37" s="3">
        <v>4292.6899999999996</v>
      </c>
      <c r="N37" s="3">
        <v>4200</v>
      </c>
      <c r="O37" s="3">
        <v>4200</v>
      </c>
      <c r="P37" s="10"/>
      <c r="Q37" s="3">
        <f>SUM(OSRRefD21_0_9x)+IFERROR(SUM(OSRRefE21_0_9x),0)</f>
        <v>42538.15</v>
      </c>
    </row>
    <row r="38" spans="1:17" s="42" customFormat="1" ht="15" customHeight="1" collapsed="1" x14ac:dyDescent="0.3">
      <c r="A38" s="34"/>
      <c r="B38" s="15" t="str">
        <f>CONCATENATE("     ","*Payroll                                          ")</f>
        <v xml:space="preserve">     *Payroll                                          </v>
      </c>
      <c r="C38" s="15"/>
      <c r="D38" s="2">
        <f>SUM(OSRRefD21_1x_0)</f>
        <v>100195.54000000001</v>
      </c>
      <c r="E38" s="2">
        <f>SUM(OSRRefD21_1x_1)</f>
        <v>141227.35</v>
      </c>
      <c r="F38" s="2">
        <f>SUM(OSRRefD21_1x_2)</f>
        <v>226549.39</v>
      </c>
      <c r="G38" s="2">
        <f>SUM(OSRRefD21_1x_3)</f>
        <v>389551.13999999996</v>
      </c>
      <c r="H38" s="2">
        <f>SUM(OSRRefD21_1x_4)</f>
        <v>237992.63</v>
      </c>
      <c r="I38" s="2">
        <f>SUM(OSRRefD21_1x_5)</f>
        <v>239115.61000000002</v>
      </c>
      <c r="J38" s="2">
        <f>SUM(OSRRefD21_1x_6)</f>
        <v>176832.12999999998</v>
      </c>
      <c r="K38" s="2">
        <f>SUM(OSRRefD21_1x_7)</f>
        <v>272080.91000000003</v>
      </c>
      <c r="L38" s="2">
        <f>SUM(OSRRefD21_1x_8)</f>
        <v>288996.98</v>
      </c>
      <c r="M38" s="2">
        <f>SUM(OSRRefD21_1x_9)</f>
        <v>300268.41000000003</v>
      </c>
      <c r="N38" s="2">
        <f>SUM(OSRRefE21_1x_0)</f>
        <v>208691.23695384609</v>
      </c>
      <c r="O38" s="2">
        <f>SUM(OSRRefE21_1x_1)</f>
        <v>125964.4349538461</v>
      </c>
      <c r="Q38" s="3">
        <f>SUM(OSRRefD20_1x)+IFERROR(SUM(OSRRefE20_1x),0)</f>
        <v>2707465.7619076921</v>
      </c>
    </row>
    <row r="39" spans="1:17" s="42" customFormat="1" ht="15" hidden="1" customHeight="1" outlineLevel="1" x14ac:dyDescent="0.3">
      <c r="A39" s="34"/>
      <c r="B39" s="11" t="str">
        <f>CONCATENATE("          ","6001"," - ","ADMINISTRATIVE SALARIES")</f>
        <v xml:space="preserve">          6001 - ADMINISTRATIVE SALARIES</v>
      </c>
      <c r="C39" s="15"/>
      <c r="D39" s="3">
        <v>11199.54</v>
      </c>
      <c r="E39" s="3">
        <v>8959.5400000000009</v>
      </c>
      <c r="F39" s="3">
        <v>7615.56</v>
      </c>
      <c r="G39" s="3">
        <v>11199.31</v>
      </c>
      <c r="H39" s="3">
        <v>7920.23</v>
      </c>
      <c r="I39" s="3">
        <v>8852.02</v>
      </c>
      <c r="J39" s="3">
        <v>9783.33</v>
      </c>
      <c r="K39" s="3">
        <v>9317.92</v>
      </c>
      <c r="L39" s="3">
        <v>9317.92</v>
      </c>
      <c r="M39" s="3">
        <v>10250.19</v>
      </c>
      <c r="N39" s="3">
        <v>0</v>
      </c>
      <c r="O39" s="3">
        <v>0</v>
      </c>
      <c r="P39" s="10"/>
      <c r="Q39" s="3">
        <f>SUM(OSRRefD21_1_0x)+IFERROR(SUM(OSRRefE21_1_0x),0)</f>
        <v>94415.560000000012</v>
      </c>
    </row>
    <row r="40" spans="1:17" s="42" customFormat="1" ht="15" hidden="1" customHeight="1" outlineLevel="1" x14ac:dyDescent="0.3">
      <c r="A40" s="34"/>
      <c r="B40" s="11" t="str">
        <f>CONCATENATE("          ","6002"," - ","STAFF SALARIES")</f>
        <v xml:space="preserve">          6002 - STAFF SALARIES</v>
      </c>
      <c r="C40" s="15"/>
      <c r="D40" s="3">
        <v>35123.440000000002</v>
      </c>
      <c r="E40" s="3">
        <v>31411.62</v>
      </c>
      <c r="F40" s="3">
        <v>41093.839999999997</v>
      </c>
      <c r="G40" s="3">
        <v>47299.56</v>
      </c>
      <c r="H40" s="3">
        <v>35697.699999999997</v>
      </c>
      <c r="I40" s="3">
        <v>34123.4</v>
      </c>
      <c r="J40" s="3">
        <v>38829.83</v>
      </c>
      <c r="K40" s="3">
        <v>34166.15</v>
      </c>
      <c r="L40" s="3">
        <v>40225.07</v>
      </c>
      <c r="M40" s="3">
        <v>39269.78</v>
      </c>
      <c r="N40" s="3">
        <v>42229.279353846097</v>
      </c>
      <c r="O40" s="3">
        <v>42229.279353846097</v>
      </c>
      <c r="P40" s="10"/>
      <c r="Q40" s="3">
        <f>SUM(OSRRefD21_1_1x)+IFERROR(SUM(OSRRefE21_1_1x),0)</f>
        <v>461698.94870769221</v>
      </c>
    </row>
    <row r="41" spans="1:17" s="42" customFormat="1" ht="15" hidden="1" customHeight="1" outlineLevel="1" x14ac:dyDescent="0.3">
      <c r="A41" s="34"/>
      <c r="B41" s="11" t="str">
        <f>CONCATENATE("          ","6003"," - ","STAFF HOURLY-9 MONTH")</f>
        <v xml:space="preserve">          6003 - STAFF HOURLY-9 MONTH</v>
      </c>
      <c r="C41" s="15"/>
      <c r="D41" s="3"/>
      <c r="E41" s="3"/>
      <c r="F41" s="3"/>
      <c r="G41" s="3"/>
      <c r="H41" s="3"/>
      <c r="I41" s="3"/>
      <c r="J41" s="3"/>
      <c r="K41" s="3"/>
      <c r="L41" s="3"/>
      <c r="M41" s="3"/>
      <c r="N41" s="3">
        <v>0</v>
      </c>
      <c r="O41" s="3">
        <v>0</v>
      </c>
      <c r="P41" s="10"/>
      <c r="Q41" s="3">
        <f>SUM(OSRRefD21_1_2x)+IFERROR(SUM(OSRRefE21_1_2x),0)</f>
        <v>0</v>
      </c>
    </row>
    <row r="42" spans="1:17" s="42" customFormat="1" ht="15" hidden="1" customHeight="1" outlineLevel="1" x14ac:dyDescent="0.3">
      <c r="A42" s="34"/>
      <c r="B42" s="11" t="str">
        <f>CONCATENATE("          ","6004"," - ","STAFF HOURLY")</f>
        <v xml:space="preserve">          6004 - STAFF HOURLY</v>
      </c>
      <c r="C42" s="15"/>
      <c r="D42" s="3">
        <v>38469.89</v>
      </c>
      <c r="E42" s="3">
        <v>48819.7</v>
      </c>
      <c r="F42" s="3">
        <v>91722.87</v>
      </c>
      <c r="G42" s="3">
        <v>132784.60999999999</v>
      </c>
      <c r="H42" s="3">
        <v>83293.38</v>
      </c>
      <c r="I42" s="3">
        <v>66624.19</v>
      </c>
      <c r="J42" s="3">
        <v>51707.72</v>
      </c>
      <c r="K42" s="3">
        <v>98582.66</v>
      </c>
      <c r="L42" s="3">
        <v>62157.46</v>
      </c>
      <c r="M42" s="3">
        <v>107469.03</v>
      </c>
      <c r="N42" s="3">
        <v>89518.745599999995</v>
      </c>
      <c r="O42" s="3">
        <v>79318.745599999995</v>
      </c>
      <c r="P42" s="10"/>
      <c r="Q42" s="3">
        <f>SUM(OSRRefD21_1_3x)+IFERROR(SUM(OSRRefE21_1_3x),0)</f>
        <v>950469.00120000006</v>
      </c>
    </row>
    <row r="43" spans="1:17" s="42" customFormat="1" ht="15" hidden="1" customHeight="1" outlineLevel="1" x14ac:dyDescent="0.3">
      <c r="A43" s="34"/>
      <c r="B43" s="11" t="str">
        <f>CONCATENATE("          ","6005"," - ","TEMPORARY WAGES-HOURLY")</f>
        <v xml:space="preserve">          6005 - TEMPORARY WAGES-HOURLY</v>
      </c>
      <c r="C43" s="15"/>
      <c r="D43" s="3">
        <v>4625.88</v>
      </c>
      <c r="E43" s="3">
        <v>11047.7</v>
      </c>
      <c r="F43" s="3">
        <v>37175.72</v>
      </c>
      <c r="G43" s="3">
        <v>125531.29</v>
      </c>
      <c r="H43" s="3">
        <v>25419.83</v>
      </c>
      <c r="I43" s="3">
        <v>45152.2</v>
      </c>
      <c r="J43" s="3">
        <v>17763.560000000001</v>
      </c>
      <c r="K43" s="3">
        <v>38938.69</v>
      </c>
      <c r="L43" s="3">
        <v>25954.73</v>
      </c>
      <c r="M43" s="3">
        <v>38191.879999999997</v>
      </c>
      <c r="N43" s="3">
        <v>12021.21</v>
      </c>
      <c r="O43" s="3">
        <v>4416.41</v>
      </c>
      <c r="P43" s="10"/>
      <c r="Q43" s="3">
        <f>SUM(OSRRefD21_1_4x)+IFERROR(SUM(OSRRefE21_1_4x),0)</f>
        <v>386239.1</v>
      </c>
    </row>
    <row r="44" spans="1:17" s="42" customFormat="1" ht="15" hidden="1" customHeight="1" outlineLevel="1" x14ac:dyDescent="0.3">
      <c r="A44" s="34"/>
      <c r="B44" s="11" t="str">
        <f>CONCATENATE("          ","6006"," - ","TEMPORARY PART TIME")</f>
        <v xml:space="preserve">          6006 - TEMPORARY PART TIME</v>
      </c>
      <c r="C44" s="15"/>
      <c r="D44" s="3"/>
      <c r="E44" s="3"/>
      <c r="F44" s="3"/>
      <c r="G44" s="3"/>
      <c r="H44" s="3"/>
      <c r="I44" s="3"/>
      <c r="J44" s="3"/>
      <c r="K44" s="3">
        <v>644.6</v>
      </c>
      <c r="L44" s="3">
        <v>2919.2</v>
      </c>
      <c r="M44" s="3">
        <v>3639.92</v>
      </c>
      <c r="N44" s="3">
        <v>0</v>
      </c>
      <c r="O44" s="3">
        <v>0</v>
      </c>
      <c r="P44" s="10"/>
      <c r="Q44" s="3">
        <f>SUM(OSRRefD21_1_5x)+IFERROR(SUM(OSRRefE21_1_5x),0)</f>
        <v>7203.7199999999993</v>
      </c>
    </row>
    <row r="45" spans="1:17" s="42" customFormat="1" ht="15" hidden="1" customHeight="1" outlineLevel="1" x14ac:dyDescent="0.3">
      <c r="A45" s="34"/>
      <c r="B45" s="11" t="str">
        <f>CONCATENATE("          ","6007"," - ","STUDENT HOURLY")</f>
        <v xml:space="preserve">          6007 - STUDENT HOURLY</v>
      </c>
      <c r="C45" s="15"/>
      <c r="D45" s="3">
        <v>10776.79</v>
      </c>
      <c r="E45" s="3">
        <v>39359.33</v>
      </c>
      <c r="F45" s="3">
        <v>45983.199999999997</v>
      </c>
      <c r="G45" s="3">
        <v>59069.15</v>
      </c>
      <c r="H45" s="3">
        <v>59538.400000000001</v>
      </c>
      <c r="I45" s="3">
        <v>53341.760000000002</v>
      </c>
      <c r="J45" s="3">
        <v>50006.36</v>
      </c>
      <c r="K45" s="3">
        <v>40492.980000000003</v>
      </c>
      <c r="L45" s="3">
        <v>115342.32</v>
      </c>
      <c r="M45" s="3">
        <v>45897.96</v>
      </c>
      <c r="N45" s="3">
        <v>0</v>
      </c>
      <c r="O45" s="3">
        <v>0</v>
      </c>
      <c r="P45" s="10"/>
      <c r="Q45" s="3">
        <f>SUM(OSRRefD21_1_6x)+IFERROR(SUM(OSRRefE21_1_6x),0)</f>
        <v>519808.25</v>
      </c>
    </row>
    <row r="46" spans="1:17" s="42" customFormat="1" ht="15" hidden="1" customHeight="1" outlineLevel="1" x14ac:dyDescent="0.3">
      <c r="A46" s="34"/>
      <c r="B46" s="11" t="str">
        <f>CONCATENATE("          ","6008"," - ","STUDENT HOURLY-FICA EXEMPT")</f>
        <v xml:space="preserve">          6008 - STUDENT HOURLY-FICA EXEMPT</v>
      </c>
      <c r="C46" s="15"/>
      <c r="D46" s="3"/>
      <c r="E46" s="3">
        <v>1629.46</v>
      </c>
      <c r="F46" s="3">
        <v>2958.2</v>
      </c>
      <c r="G46" s="3">
        <v>13667.22</v>
      </c>
      <c r="H46" s="3">
        <v>26123.09</v>
      </c>
      <c r="I46" s="3">
        <v>31022.04</v>
      </c>
      <c r="J46" s="3">
        <v>8741.33</v>
      </c>
      <c r="K46" s="3">
        <v>49937.91</v>
      </c>
      <c r="L46" s="3">
        <v>33080.28</v>
      </c>
      <c r="M46" s="3">
        <v>55549.65</v>
      </c>
      <c r="N46" s="3">
        <v>64922.002</v>
      </c>
      <c r="O46" s="3">
        <v>0</v>
      </c>
      <c r="P46" s="10"/>
      <c r="Q46" s="3">
        <f>SUM(OSRRefD21_1_7x)+IFERROR(SUM(OSRRefE21_1_7x),0)</f>
        <v>287631.18199999997</v>
      </c>
    </row>
    <row r="47" spans="1:17" s="42" customFormat="1" ht="15" hidden="1" customHeight="1" outlineLevel="1" x14ac:dyDescent="0.3">
      <c r="A47" s="34"/>
      <c r="B47" s="11" t="str">
        <f>CONCATENATE("          ","6009"," - ","TEMPORARY-SEASONAL")</f>
        <v xml:space="preserve">          6009 - TEMPORARY-SEASONAL</v>
      </c>
      <c r="C47" s="15"/>
      <c r="D47" s="3"/>
      <c r="E47" s="3"/>
      <c r="F47" s="3"/>
      <c r="G47" s="3"/>
      <c r="H47" s="3"/>
      <c r="I47" s="3"/>
      <c r="J47" s="3"/>
      <c r="K47" s="3"/>
      <c r="L47" s="3"/>
      <c r="M47" s="3"/>
      <c r="N47" s="3">
        <v>0</v>
      </c>
      <c r="O47" s="3">
        <v>0</v>
      </c>
      <c r="P47" s="10"/>
      <c r="Q47" s="3">
        <f>SUM(OSRRefD21_1_8x)+IFERROR(SUM(OSRRefE21_1_8x),0)</f>
        <v>0</v>
      </c>
    </row>
    <row r="48" spans="1:17" s="42" customFormat="1" ht="15" hidden="1" customHeight="1" outlineLevel="1" x14ac:dyDescent="0.3">
      <c r="A48" s="34"/>
      <c r="B48" s="11" t="str">
        <f>CONCATENATE("          ","6010"," - ","GRATUITY")</f>
        <v xml:space="preserve">          6010 - GRATUITY</v>
      </c>
      <c r="C48" s="15"/>
      <c r="D48" s="3"/>
      <c r="E48" s="3"/>
      <c r="F48" s="3"/>
      <c r="G48" s="3"/>
      <c r="H48" s="3"/>
      <c r="I48" s="3"/>
      <c r="J48" s="3"/>
      <c r="K48" s="3"/>
      <c r="L48" s="3"/>
      <c r="M48" s="3"/>
      <c r="N48" s="3">
        <v>0</v>
      </c>
      <c r="O48" s="3">
        <v>0</v>
      </c>
      <c r="P48" s="10"/>
      <c r="Q48" s="3">
        <f>SUM(OSRRefD21_1_9x)+IFERROR(SUM(OSRRefE21_1_9x),0)</f>
        <v>0</v>
      </c>
    </row>
    <row r="49" spans="1:17" s="42" customFormat="1" ht="15" customHeight="1" collapsed="1" x14ac:dyDescent="0.3">
      <c r="A49" s="34"/>
      <c r="B49" s="15" t="str">
        <f>CONCATENATE("     ","Advertising/Promo                                 ")</f>
        <v xml:space="preserve">     Advertising/Promo                                 </v>
      </c>
      <c r="C49" s="15"/>
      <c r="D49" s="2">
        <f>SUM(OSRRefD21_2x_0)</f>
        <v>120.94</v>
      </c>
      <c r="E49" s="2">
        <f>SUM(OSRRefD21_2x_1)</f>
        <v>1971.2</v>
      </c>
      <c r="F49" s="2">
        <f>SUM(OSRRefD21_2x_2)</f>
        <v>732.76</v>
      </c>
      <c r="G49" s="2">
        <f>SUM(OSRRefD21_2x_3)</f>
        <v>45</v>
      </c>
      <c r="H49" s="2">
        <f>SUM(OSRRefD21_2x_4)</f>
        <v>123.48</v>
      </c>
      <c r="I49" s="2">
        <f>SUM(OSRRefD21_2x_5)</f>
        <v>204.12</v>
      </c>
      <c r="J49" s="2">
        <f>SUM(OSRRefD21_2x_6)</f>
        <v>223.57</v>
      </c>
      <c r="K49" s="2">
        <f>SUM(OSRRefD21_2x_7)</f>
        <v>0</v>
      </c>
      <c r="L49" s="2">
        <f>SUM(OSRRefD21_2x_8)</f>
        <v>205.32</v>
      </c>
      <c r="M49" s="2">
        <f>SUM(OSRRefD21_2x_9)</f>
        <v>208.76</v>
      </c>
      <c r="N49" s="2">
        <f>SUM(OSRRefE21_2x_0)</f>
        <v>1319</v>
      </c>
      <c r="O49" s="2">
        <f>SUM(OSRRefE21_2x_1)</f>
        <v>969</v>
      </c>
      <c r="Q49" s="3">
        <f>SUM(OSRRefD20_2x)+IFERROR(SUM(OSRRefE20_2x),0)</f>
        <v>6123.15</v>
      </c>
    </row>
    <row r="50" spans="1:17" s="42" customFormat="1" ht="15" hidden="1" customHeight="1" outlineLevel="1" x14ac:dyDescent="0.3">
      <c r="A50" s="34"/>
      <c r="B50" s="11" t="str">
        <f>CONCATENATE("          ","6362"," - ","ADVERTISING EXPENSE")</f>
        <v xml:space="preserve">          6362 - ADVERTISING EXPENSE</v>
      </c>
      <c r="C50" s="15"/>
      <c r="D50" s="3">
        <v>120.94</v>
      </c>
      <c r="E50" s="3">
        <v>1971.2</v>
      </c>
      <c r="F50" s="3">
        <v>732.76</v>
      </c>
      <c r="G50" s="3">
        <v>45</v>
      </c>
      <c r="H50" s="3">
        <v>123.48</v>
      </c>
      <c r="I50" s="3">
        <v>204.12</v>
      </c>
      <c r="J50" s="3">
        <v>223.57</v>
      </c>
      <c r="K50" s="3"/>
      <c r="L50" s="3">
        <v>205.32</v>
      </c>
      <c r="M50" s="3">
        <v>208.76</v>
      </c>
      <c r="N50" s="3">
        <v>1319</v>
      </c>
      <c r="O50" s="3">
        <v>969</v>
      </c>
      <c r="P50" s="10"/>
      <c r="Q50" s="3">
        <f>SUM(OSRRefD21_2_0x)+IFERROR(SUM(OSRRefE21_2_0x),0)</f>
        <v>6123.15</v>
      </c>
    </row>
    <row r="51" spans="1:17" s="42" customFormat="1" ht="15" customHeight="1" collapsed="1" x14ac:dyDescent="0.3">
      <c r="A51" s="34"/>
      <c r="B51" s="15" t="str">
        <f>CONCATENATE("     ","Bad Debts/Over/Short                              ")</f>
        <v xml:space="preserve">     Bad Debts/Over/Short                              </v>
      </c>
      <c r="C51" s="15"/>
      <c r="D51" s="2">
        <f>SUM(OSRRefD21_3x_0)</f>
        <v>0</v>
      </c>
      <c r="E51" s="2">
        <f>SUM(OSRRefD21_3x_1)</f>
        <v>0</v>
      </c>
      <c r="F51" s="2">
        <f>SUM(OSRRefD21_3x_2)</f>
        <v>0.1</v>
      </c>
      <c r="G51" s="2">
        <f>SUM(OSRRefD21_3x_3)</f>
        <v>-16</v>
      </c>
      <c r="H51" s="2">
        <f>SUM(OSRRefD21_3x_4)</f>
        <v>-8</v>
      </c>
      <c r="I51" s="2">
        <f>SUM(OSRRefD21_3x_5)</f>
        <v>0</v>
      </c>
      <c r="J51" s="2">
        <f>SUM(OSRRefD21_3x_6)</f>
        <v>17.100000000000001</v>
      </c>
      <c r="K51" s="2">
        <f>SUM(OSRRefD21_3x_7)</f>
        <v>-9.1</v>
      </c>
      <c r="L51" s="2">
        <f>SUM(OSRRefD21_3x_8)</f>
        <v>0</v>
      </c>
      <c r="M51" s="2">
        <f>SUM(OSRRefD21_3x_9)</f>
        <v>-0.1</v>
      </c>
      <c r="N51" s="2">
        <f>SUM(OSRRefE21_3x_0)</f>
        <v>33</v>
      </c>
      <c r="O51" s="2">
        <f>SUM(OSRRefE21_3x_1)</f>
        <v>15</v>
      </c>
      <c r="Q51" s="3">
        <f>SUM(OSRRefD20_3x)+IFERROR(SUM(OSRRefE20_3x),0)</f>
        <v>32</v>
      </c>
    </row>
    <row r="52" spans="1:17" s="42" customFormat="1" ht="15" hidden="1" customHeight="1" outlineLevel="1" x14ac:dyDescent="0.3">
      <c r="A52" s="34"/>
      <c r="B52" s="11" t="str">
        <f>CONCATENATE("          ","6272"," - ","CASH (OVER/SHORT)")</f>
        <v xml:space="preserve">          6272 - CASH (OVER/SHORT)</v>
      </c>
      <c r="C52" s="15"/>
      <c r="D52" s="3"/>
      <c r="E52" s="3"/>
      <c r="F52" s="3">
        <v>0.1</v>
      </c>
      <c r="G52" s="3">
        <v>-16</v>
      </c>
      <c r="H52" s="3">
        <v>-8</v>
      </c>
      <c r="I52" s="3"/>
      <c r="J52" s="3">
        <v>17.100000000000001</v>
      </c>
      <c r="K52" s="3">
        <v>-9.1</v>
      </c>
      <c r="L52" s="3">
        <v>0</v>
      </c>
      <c r="M52" s="3">
        <v>-0.1</v>
      </c>
      <c r="N52" s="3">
        <v>33</v>
      </c>
      <c r="O52" s="3">
        <v>15</v>
      </c>
      <c r="P52" s="10"/>
      <c r="Q52" s="3">
        <f>SUM(OSRRefD21_3_0x)+IFERROR(SUM(OSRRefE21_3_0x),0)</f>
        <v>32</v>
      </c>
    </row>
    <row r="53" spans="1:17" s="42" customFormat="1" ht="15" customHeight="1" collapsed="1" x14ac:dyDescent="0.3">
      <c r="A53" s="34"/>
      <c r="B53" s="15" t="str">
        <f>CONCATENATE("     ","Bank/card Fees                                    ")</f>
        <v xml:space="preserve">     Bank/card Fees                                    </v>
      </c>
      <c r="C53" s="15"/>
      <c r="D53" s="2">
        <f>SUM(OSRRefD21_4x_0)</f>
        <v>77.05</v>
      </c>
      <c r="E53" s="2">
        <f>SUM(OSRRefD21_4x_1)</f>
        <v>121.67</v>
      </c>
      <c r="F53" s="2">
        <f>SUM(OSRRefD21_4x_2)</f>
        <v>162.44</v>
      </c>
      <c r="G53" s="2">
        <f>SUM(OSRRefD21_4x_3)</f>
        <v>154.16</v>
      </c>
      <c r="H53" s="2">
        <f>SUM(OSRRefD21_4x_4)</f>
        <v>123.53</v>
      </c>
      <c r="I53" s="2">
        <f>SUM(OSRRefD21_4x_5)</f>
        <v>204.84</v>
      </c>
      <c r="J53" s="2">
        <f>SUM(OSRRefD21_4x_6)</f>
        <v>58.62</v>
      </c>
      <c r="K53" s="2">
        <f>SUM(OSRRefD21_4x_7)</f>
        <v>218.88</v>
      </c>
      <c r="L53" s="2">
        <f>SUM(OSRRefD21_4x_8)</f>
        <v>273.58999999999997</v>
      </c>
      <c r="M53" s="2">
        <f>SUM(OSRRefD21_4x_9)</f>
        <v>270.32</v>
      </c>
      <c r="N53" s="2">
        <f>SUM(OSRRefE21_4x_0)</f>
        <v>410</v>
      </c>
      <c r="O53" s="2">
        <f>SUM(OSRRefE21_4x_1)</f>
        <v>385</v>
      </c>
      <c r="Q53" s="3">
        <f>SUM(OSRRefD20_4x)+IFERROR(SUM(OSRRefE20_4x),0)</f>
        <v>2460.1</v>
      </c>
    </row>
    <row r="54" spans="1:17" s="42" customFormat="1" ht="15" hidden="1" customHeight="1" outlineLevel="1" x14ac:dyDescent="0.3">
      <c r="A54" s="34"/>
      <c r="B54" s="11" t="str">
        <f>CONCATENATE("          ","6381"," - ","BANK/CREDIT CARD FEES")</f>
        <v xml:space="preserve">          6381 - BANK/CREDIT CARD FEES</v>
      </c>
      <c r="C54" s="15"/>
      <c r="D54" s="3">
        <v>77.05</v>
      </c>
      <c r="E54" s="3">
        <v>121.67</v>
      </c>
      <c r="F54" s="3">
        <v>162.44</v>
      </c>
      <c r="G54" s="3">
        <v>154.16</v>
      </c>
      <c r="H54" s="3">
        <v>123.53</v>
      </c>
      <c r="I54" s="3">
        <v>204.84</v>
      </c>
      <c r="J54" s="3">
        <v>58.62</v>
      </c>
      <c r="K54" s="3">
        <v>218.88</v>
      </c>
      <c r="L54" s="3">
        <v>273.58999999999997</v>
      </c>
      <c r="M54" s="3">
        <v>270.32</v>
      </c>
      <c r="N54" s="3">
        <v>410</v>
      </c>
      <c r="O54" s="3">
        <v>385</v>
      </c>
      <c r="P54" s="10"/>
      <c r="Q54" s="3">
        <f>SUM(OSRRefD21_4_0x)+IFERROR(SUM(OSRRefE21_4_0x),0)</f>
        <v>2460.1</v>
      </c>
    </row>
    <row r="55" spans="1:17" s="42" customFormat="1" ht="15" customHeight="1" collapsed="1" x14ac:dyDescent="0.3">
      <c r="A55" s="34"/>
      <c r="B55" s="15" t="str">
        <f>CONCATENATE("     ","Depreciation                                      ")</f>
        <v xml:space="preserve">     Depreciation                                      </v>
      </c>
      <c r="C55" s="15"/>
      <c r="D55" s="2">
        <f>SUM(OSRRefD21_5x_0)</f>
        <v>760.04</v>
      </c>
      <c r="E55" s="2">
        <f>SUM(OSRRefD21_5x_1)</f>
        <v>760.04</v>
      </c>
      <c r="F55" s="2">
        <f>SUM(OSRRefD21_5x_2)</f>
        <v>760.04</v>
      </c>
      <c r="G55" s="2">
        <f>SUM(OSRRefD21_5x_3)</f>
        <v>760.04</v>
      </c>
      <c r="H55" s="2">
        <f>SUM(OSRRefD21_5x_4)</f>
        <v>760.04</v>
      </c>
      <c r="I55" s="2">
        <f>SUM(OSRRefD21_5x_5)</f>
        <v>760.04</v>
      </c>
      <c r="J55" s="2">
        <f>SUM(OSRRefD21_5x_6)</f>
        <v>760.04</v>
      </c>
      <c r="K55" s="2">
        <f>SUM(OSRRefD21_5x_7)</f>
        <v>760.04</v>
      </c>
      <c r="L55" s="2">
        <f>SUM(OSRRefD21_5x_8)</f>
        <v>760.04</v>
      </c>
      <c r="M55" s="2">
        <f>SUM(OSRRefD21_5x_9)</f>
        <v>760.04</v>
      </c>
      <c r="N55" s="2">
        <f>SUM(OSRRefE21_5x_0)</f>
        <v>486</v>
      </c>
      <c r="O55" s="2">
        <f>SUM(OSRRefE21_5x_1)</f>
        <v>486</v>
      </c>
      <c r="Q55" s="3">
        <f>SUM(OSRRefD20_5x)+IFERROR(SUM(OSRRefE20_5x),0)</f>
        <v>8572.4</v>
      </c>
    </row>
    <row r="56" spans="1:17" s="42" customFormat="1" ht="15" hidden="1" customHeight="1" outlineLevel="1" x14ac:dyDescent="0.3">
      <c r="A56" s="34"/>
      <c r="B56" s="11" t="str">
        <f>CONCATENATE("          ","6322"," - ","EQUIPMENT DEPRECIATION EXPENSE")</f>
        <v xml:space="preserve">          6322 - EQUIPMENT DEPRECIATION EXPENSE</v>
      </c>
      <c r="C56" s="15"/>
      <c r="D56" s="3">
        <v>760.04</v>
      </c>
      <c r="E56" s="3">
        <v>760.04</v>
      </c>
      <c r="F56" s="3">
        <v>760.04</v>
      </c>
      <c r="G56" s="3">
        <v>760.04</v>
      </c>
      <c r="H56" s="3">
        <v>760.04</v>
      </c>
      <c r="I56" s="3">
        <v>760.04</v>
      </c>
      <c r="J56" s="3">
        <v>760.04</v>
      </c>
      <c r="K56" s="3">
        <v>760.04</v>
      </c>
      <c r="L56" s="3">
        <v>760.04</v>
      </c>
      <c r="M56" s="3">
        <v>760.04</v>
      </c>
      <c r="N56" s="3">
        <v>486</v>
      </c>
      <c r="O56" s="3">
        <v>486</v>
      </c>
      <c r="P56" s="10"/>
      <c r="Q56" s="3">
        <f>SUM(OSRRefD21_5_0x)+IFERROR(SUM(OSRRefE21_5_0x),0)</f>
        <v>8572.4</v>
      </c>
    </row>
    <row r="57" spans="1:17" s="42" customFormat="1" ht="15" customHeight="1" collapsed="1" x14ac:dyDescent="0.3">
      <c r="A57" s="34"/>
      <c r="B57" s="15" t="str">
        <f>CONCATENATE("     ","Donations                                         ")</f>
        <v xml:space="preserve">     Donations                                         </v>
      </c>
      <c r="C57" s="15"/>
      <c r="D57" s="2">
        <f>SUM(OSRRefD21_6x_0)</f>
        <v>0</v>
      </c>
      <c r="E57" s="2">
        <f>SUM(OSRRefD21_6x_1)</f>
        <v>4261.5600000000004</v>
      </c>
      <c r="F57" s="2">
        <f>SUM(OSRRefD21_6x_2)</f>
        <v>9653.6200000000008</v>
      </c>
      <c r="G57" s="2">
        <f>SUM(OSRRefD21_6x_3)</f>
        <v>10498.56</v>
      </c>
      <c r="H57" s="2">
        <f>SUM(OSRRefD21_6x_4)</f>
        <v>8398.85</v>
      </c>
      <c r="I57" s="2">
        <f>SUM(OSRRefD21_6x_5)</f>
        <v>3782.41</v>
      </c>
      <c r="J57" s="2">
        <f>SUM(OSRRefD21_6x_6)</f>
        <v>4031.65</v>
      </c>
      <c r="K57" s="2">
        <f>SUM(OSRRefD21_6x_7)</f>
        <v>8683.56</v>
      </c>
      <c r="L57" s="2">
        <f>SUM(OSRRefD21_6x_8)</f>
        <v>7724.92</v>
      </c>
      <c r="M57" s="2">
        <f>SUM(OSRRefD21_6x_9)</f>
        <v>9656.14</v>
      </c>
      <c r="N57" s="2">
        <f>SUM(OSRRefE21_6x_0)</f>
        <v>15500</v>
      </c>
      <c r="O57" s="2">
        <f>SUM(OSRRefE21_6x_1)</f>
        <v>0</v>
      </c>
      <c r="Q57" s="3">
        <f>SUM(OSRRefD20_6x)+IFERROR(SUM(OSRRefE20_6x),0)</f>
        <v>82191.26999999999</v>
      </c>
    </row>
    <row r="58" spans="1:17" s="42" customFormat="1" ht="15" hidden="1" customHeight="1" outlineLevel="1" x14ac:dyDescent="0.3">
      <c r="A58" s="34"/>
      <c r="B58" s="11" t="str">
        <f>CONCATENATE("          ","6399"," - ","DONATION-ON CAMPUS")</f>
        <v xml:space="preserve">          6399 - DONATION-ON CAMPUS</v>
      </c>
      <c r="C58" s="15"/>
      <c r="D58" s="3"/>
      <c r="E58" s="3">
        <v>4261.5600000000004</v>
      </c>
      <c r="F58" s="3">
        <v>9653.6200000000008</v>
      </c>
      <c r="G58" s="3">
        <v>10498.56</v>
      </c>
      <c r="H58" s="3">
        <v>8398.85</v>
      </c>
      <c r="I58" s="3">
        <v>3782.41</v>
      </c>
      <c r="J58" s="3">
        <v>4031.65</v>
      </c>
      <c r="K58" s="3">
        <v>8683.56</v>
      </c>
      <c r="L58" s="3">
        <v>7724.92</v>
      </c>
      <c r="M58" s="3">
        <v>9656.14</v>
      </c>
      <c r="N58" s="3">
        <v>15500</v>
      </c>
      <c r="O58" s="3"/>
      <c r="P58" s="10"/>
      <c r="Q58" s="3">
        <f>SUM(OSRRefD21_6_0x)+IFERROR(SUM(OSRRefE21_6_0x),0)</f>
        <v>82191.26999999999</v>
      </c>
    </row>
    <row r="59" spans="1:17" s="42" customFormat="1" ht="15" customHeight="1" collapsed="1" x14ac:dyDescent="0.3">
      <c r="A59" s="34"/>
      <c r="B59" s="15" t="str">
        <f>CONCATENATE("     ","Employees' Appreciation                           ")</f>
        <v xml:space="preserve">     Employees' Appreciation                           </v>
      </c>
      <c r="C59" s="15"/>
      <c r="D59" s="2">
        <f>SUM(OSRRefD21_7x_0)</f>
        <v>0</v>
      </c>
      <c r="E59" s="2">
        <f>SUM(OSRRefD21_7x_1)</f>
        <v>0</v>
      </c>
      <c r="F59" s="2">
        <f>SUM(OSRRefD21_7x_2)</f>
        <v>14.49</v>
      </c>
      <c r="G59" s="2">
        <f>SUM(OSRRefD21_7x_3)</f>
        <v>0</v>
      </c>
      <c r="H59" s="2">
        <f>SUM(OSRRefD21_7x_4)</f>
        <v>34.47</v>
      </c>
      <c r="I59" s="2">
        <f>SUM(OSRRefD21_7x_5)</f>
        <v>113.4</v>
      </c>
      <c r="J59" s="2">
        <f>SUM(OSRRefD21_7x_6)</f>
        <v>75.98</v>
      </c>
      <c r="K59" s="2">
        <f>SUM(OSRRefD21_7x_7)</f>
        <v>87.37</v>
      </c>
      <c r="L59" s="2">
        <f>SUM(OSRRefD21_7x_8)</f>
        <v>0</v>
      </c>
      <c r="M59" s="2">
        <f>SUM(OSRRefD21_7x_9)</f>
        <v>0</v>
      </c>
      <c r="N59" s="2">
        <f>SUM(OSRRefE21_7x_0)</f>
        <v>400</v>
      </c>
      <c r="O59" s="2">
        <f>SUM(OSRRefE21_7x_1)</f>
        <v>200</v>
      </c>
      <c r="Q59" s="3">
        <f>SUM(OSRRefD20_7x)+IFERROR(SUM(OSRRefE20_7x),0)</f>
        <v>925.71</v>
      </c>
    </row>
    <row r="60" spans="1:17" s="42" customFormat="1" ht="15" hidden="1" customHeight="1" outlineLevel="1" x14ac:dyDescent="0.3">
      <c r="A60" s="34"/>
      <c r="B60" s="11" t="str">
        <f>CONCATENATE("          ","6277"," - ","EMPLOYEE APPRECIATION")</f>
        <v xml:space="preserve">          6277 - EMPLOYEE APPRECIATION</v>
      </c>
      <c r="C60" s="15"/>
      <c r="D60" s="3"/>
      <c r="E60" s="3"/>
      <c r="F60" s="3">
        <v>14.49</v>
      </c>
      <c r="G60" s="3"/>
      <c r="H60" s="3">
        <v>34.47</v>
      </c>
      <c r="I60" s="3">
        <v>113.4</v>
      </c>
      <c r="J60" s="3">
        <v>75.98</v>
      </c>
      <c r="K60" s="3">
        <v>87.37</v>
      </c>
      <c r="L60" s="3"/>
      <c r="M60" s="3"/>
      <c r="N60" s="3">
        <v>400</v>
      </c>
      <c r="O60" s="3">
        <v>200</v>
      </c>
      <c r="P60" s="10"/>
      <c r="Q60" s="3">
        <f>SUM(OSRRefD21_7_0x)+IFERROR(SUM(OSRRefE21_7_0x),0)</f>
        <v>925.71</v>
      </c>
    </row>
    <row r="61" spans="1:17" s="42" customFormat="1" ht="15" customHeight="1" collapsed="1" x14ac:dyDescent="0.3">
      <c r="A61" s="34"/>
      <c r="B61" s="15" t="str">
        <f>CONCATENATE("     ","Equipment Rental                                  ")</f>
        <v xml:space="preserve">     Equipment Rental                                  </v>
      </c>
      <c r="C61" s="15"/>
      <c r="D61" s="2">
        <f>SUM(OSRRefD21_8x_0)</f>
        <v>857.53</v>
      </c>
      <c r="E61" s="2">
        <f>SUM(OSRRefD21_8x_1)</f>
        <v>4032.6</v>
      </c>
      <c r="F61" s="2">
        <f>SUM(OSRRefD21_8x_2)</f>
        <v>320.2</v>
      </c>
      <c r="G61" s="2">
        <f>SUM(OSRRefD21_8x_3)</f>
        <v>1589.46</v>
      </c>
      <c r="H61" s="2">
        <f>SUM(OSRRefD21_8x_4)</f>
        <v>601.92999999999995</v>
      </c>
      <c r="I61" s="2">
        <f>SUM(OSRRefD21_8x_5)</f>
        <v>862.99</v>
      </c>
      <c r="J61" s="2">
        <f>SUM(OSRRefD21_8x_6)</f>
        <v>393.42</v>
      </c>
      <c r="K61" s="2">
        <f>SUM(OSRRefD21_8x_7)</f>
        <v>471.12</v>
      </c>
      <c r="L61" s="2">
        <f>SUM(OSRRefD21_8x_8)</f>
        <v>490.12</v>
      </c>
      <c r="M61" s="2">
        <f>SUM(OSRRefD21_8x_9)</f>
        <v>1158.52</v>
      </c>
      <c r="N61" s="2">
        <f>SUM(OSRRefE21_8x_0)</f>
        <v>795</v>
      </c>
      <c r="O61" s="2">
        <f>SUM(OSRRefE21_8x_1)</f>
        <v>795</v>
      </c>
      <c r="Q61" s="3">
        <f>SUM(OSRRefD20_8x)+IFERROR(SUM(OSRRefE20_8x),0)</f>
        <v>12367.890000000003</v>
      </c>
    </row>
    <row r="62" spans="1:17" s="42" customFormat="1" ht="15" hidden="1" customHeight="1" outlineLevel="1" x14ac:dyDescent="0.3">
      <c r="A62" s="34"/>
      <c r="B62" s="11" t="str">
        <f>CONCATENATE("          ","6351"," - ","EQUIPMENT RENTAL")</f>
        <v xml:space="preserve">          6351 - EQUIPMENT RENTAL</v>
      </c>
      <c r="C62" s="15"/>
      <c r="D62" s="3">
        <v>857.53</v>
      </c>
      <c r="E62" s="3">
        <v>4032.6</v>
      </c>
      <c r="F62" s="3">
        <v>320.2</v>
      </c>
      <c r="G62" s="3">
        <v>1589.46</v>
      </c>
      <c r="H62" s="3">
        <v>601.92999999999995</v>
      </c>
      <c r="I62" s="3">
        <v>862.99</v>
      </c>
      <c r="J62" s="3">
        <v>393.42</v>
      </c>
      <c r="K62" s="3">
        <v>471.12</v>
      </c>
      <c r="L62" s="3">
        <v>490.12</v>
      </c>
      <c r="M62" s="3">
        <v>1158.52</v>
      </c>
      <c r="N62" s="3">
        <v>795</v>
      </c>
      <c r="O62" s="3">
        <v>795</v>
      </c>
      <c r="P62" s="10"/>
      <c r="Q62" s="3">
        <f>SUM(OSRRefD21_8_0x)+IFERROR(SUM(OSRRefE21_8_0x),0)</f>
        <v>12367.890000000003</v>
      </c>
    </row>
    <row r="63" spans="1:17" s="42" customFormat="1" ht="15" customHeight="1" collapsed="1" x14ac:dyDescent="0.3">
      <c r="A63" s="34"/>
      <c r="B63" s="15" t="str">
        <f>CONCATENATE("     ","General                                           ")</f>
        <v xml:space="preserve">     General                                           </v>
      </c>
      <c r="C63" s="15"/>
      <c r="D63" s="2">
        <f>SUM(OSRRefD21_9x_0)</f>
        <v>328.45</v>
      </c>
      <c r="E63" s="2">
        <f>SUM(OSRRefD21_9x_1)</f>
        <v>5273.65</v>
      </c>
      <c r="F63" s="2">
        <f>SUM(OSRRefD21_9x_2)</f>
        <v>5273</v>
      </c>
      <c r="G63" s="2">
        <f>SUM(OSRRefD21_9x_3)</f>
        <v>297.61</v>
      </c>
      <c r="H63" s="2">
        <f>SUM(OSRRefD21_9x_4)</f>
        <v>0</v>
      </c>
      <c r="I63" s="2">
        <f>SUM(OSRRefD21_9x_5)</f>
        <v>0</v>
      </c>
      <c r="J63" s="2">
        <f>SUM(OSRRefD21_9x_6)</f>
        <v>755.5</v>
      </c>
      <c r="K63" s="2">
        <f>SUM(OSRRefD21_9x_7)</f>
        <v>437.63</v>
      </c>
      <c r="L63" s="2">
        <f>SUM(OSRRefD21_9x_8)</f>
        <v>2116.59</v>
      </c>
      <c r="M63" s="2">
        <f>SUM(OSRRefD21_9x_9)</f>
        <v>5021.28</v>
      </c>
      <c r="N63" s="2">
        <f>SUM(OSRRefE21_9x_0)</f>
        <v>540</v>
      </c>
      <c r="O63" s="2">
        <f>SUM(OSRRefE21_9x_1)</f>
        <v>540</v>
      </c>
      <c r="Q63" s="3">
        <f>SUM(OSRRefD20_9x)+IFERROR(SUM(OSRRefE20_9x),0)</f>
        <v>20583.71</v>
      </c>
    </row>
    <row r="64" spans="1:17" s="42" customFormat="1" ht="15" hidden="1" customHeight="1" outlineLevel="1" x14ac:dyDescent="0.3">
      <c r="A64" s="34"/>
      <c r="B64" s="11" t="str">
        <f>CONCATENATE("          ","6279"," - ","GENERAL EXPENSE")</f>
        <v xml:space="preserve">          6279 - GENERAL EXPENSE</v>
      </c>
      <c r="C64" s="15"/>
      <c r="D64" s="3">
        <v>328.45</v>
      </c>
      <c r="E64" s="3">
        <v>5273.65</v>
      </c>
      <c r="F64" s="3">
        <v>5273</v>
      </c>
      <c r="G64" s="3">
        <v>297.61</v>
      </c>
      <c r="H64" s="3"/>
      <c r="I64" s="3"/>
      <c r="J64" s="3">
        <v>755.5</v>
      </c>
      <c r="K64" s="3">
        <v>437.63</v>
      </c>
      <c r="L64" s="3">
        <v>2116.59</v>
      </c>
      <c r="M64" s="3">
        <v>5021.28</v>
      </c>
      <c r="N64" s="3">
        <v>540</v>
      </c>
      <c r="O64" s="3">
        <v>540</v>
      </c>
      <c r="P64" s="10"/>
      <c r="Q64" s="3">
        <f>SUM(OSRRefD21_9_0x)+IFERROR(SUM(OSRRefE21_9_0x),0)</f>
        <v>20583.71</v>
      </c>
    </row>
    <row r="65" spans="1:17" s="42" customFormat="1" ht="15" customHeight="1" collapsed="1" x14ac:dyDescent="0.3">
      <c r="A65" s="34"/>
      <c r="B65" s="15" t="str">
        <f>CONCATENATE("     ","Insurance                                         ")</f>
        <v xml:space="preserve">     Insurance                                         </v>
      </c>
      <c r="C65" s="15"/>
      <c r="D65" s="2">
        <f>SUM(OSRRefD21_10x_0)</f>
        <v>5.22</v>
      </c>
      <c r="E65" s="2">
        <f>SUM(OSRRefD21_10x_1)</f>
        <v>5.21</v>
      </c>
      <c r="F65" s="2">
        <f>SUM(OSRRefD21_10x_2)</f>
        <v>5.21</v>
      </c>
      <c r="G65" s="2">
        <f>SUM(OSRRefD21_10x_3)</f>
        <v>5.21</v>
      </c>
      <c r="H65" s="2">
        <f>SUM(OSRRefD21_10x_4)</f>
        <v>5.21</v>
      </c>
      <c r="I65" s="2">
        <f>SUM(OSRRefD21_10x_5)</f>
        <v>5.21</v>
      </c>
      <c r="J65" s="2">
        <f>SUM(OSRRefD21_10x_6)</f>
        <v>5.21</v>
      </c>
      <c r="K65" s="2">
        <f>SUM(OSRRefD21_10x_7)</f>
        <v>5.21</v>
      </c>
      <c r="L65" s="2">
        <f>SUM(OSRRefD21_10x_8)</f>
        <v>5.21</v>
      </c>
      <c r="M65" s="2">
        <f>SUM(OSRRefD21_10x_9)</f>
        <v>5.21</v>
      </c>
      <c r="N65" s="2">
        <f>SUM(OSRRefE21_10x_0)</f>
        <v>10</v>
      </c>
      <c r="O65" s="2">
        <f>SUM(OSRRefE21_10x_1)</f>
        <v>10</v>
      </c>
      <c r="Q65" s="3">
        <f>SUM(OSRRefD20_10x)+IFERROR(SUM(OSRRefE20_10x),0)</f>
        <v>72.110000000000014</v>
      </c>
    </row>
    <row r="66" spans="1:17" s="42" customFormat="1" ht="15" hidden="1" customHeight="1" outlineLevel="1" x14ac:dyDescent="0.3">
      <c r="A66" s="34"/>
      <c r="B66" s="11" t="str">
        <f>CONCATENATE("          ","6314"," - ","LIABILITY INSURANCE")</f>
        <v xml:space="preserve">          6314 - LIABILITY INSURANCE</v>
      </c>
      <c r="C66" s="15"/>
      <c r="D66" s="3">
        <v>5.22</v>
      </c>
      <c r="E66" s="3">
        <v>5.21</v>
      </c>
      <c r="F66" s="3">
        <v>5.21</v>
      </c>
      <c r="G66" s="3">
        <v>5.21</v>
      </c>
      <c r="H66" s="3">
        <v>5.21</v>
      </c>
      <c r="I66" s="3">
        <v>5.21</v>
      </c>
      <c r="J66" s="3">
        <v>5.21</v>
      </c>
      <c r="K66" s="3">
        <v>5.21</v>
      </c>
      <c r="L66" s="3">
        <v>5.21</v>
      </c>
      <c r="M66" s="3">
        <v>5.21</v>
      </c>
      <c r="N66" s="3">
        <v>10</v>
      </c>
      <c r="O66" s="3">
        <v>10</v>
      </c>
      <c r="P66" s="10"/>
      <c r="Q66" s="3">
        <f>SUM(OSRRefD21_10_0x)+IFERROR(SUM(OSRRefE21_10_0x),0)</f>
        <v>72.110000000000014</v>
      </c>
    </row>
    <row r="67" spans="1:17" s="42" customFormat="1" ht="15" customHeight="1" collapsed="1" x14ac:dyDescent="0.3">
      <c r="A67" s="34"/>
      <c r="B67" s="15" t="str">
        <f>CONCATENATE("     ","R/H Commissions                                   ")</f>
        <v xml:space="preserve">     R/H Commissions                                   </v>
      </c>
      <c r="C67" s="15"/>
      <c r="D67" s="2">
        <f>SUM(OSRRefD21_11x_0)</f>
        <v>1568</v>
      </c>
      <c r="E67" s="2">
        <f>SUM(OSRRefD21_11x_1)</f>
        <v>38588</v>
      </c>
      <c r="F67" s="2">
        <f>SUM(OSRRefD21_11x_2)</f>
        <v>102646.99</v>
      </c>
      <c r="G67" s="2">
        <f>SUM(OSRRefD21_11x_3)</f>
        <v>127967.99</v>
      </c>
      <c r="H67" s="2">
        <f>SUM(OSRRefD21_11x_4)</f>
        <v>102145.22</v>
      </c>
      <c r="I67" s="2">
        <f>SUM(OSRRefD21_11x_5)</f>
        <v>76752.539999999994</v>
      </c>
      <c r="J67" s="2">
        <f>SUM(OSRRefD21_11x_6)</f>
        <v>49958.66</v>
      </c>
      <c r="K67" s="2">
        <f>SUM(OSRRefD21_11x_7)</f>
        <v>109401.29</v>
      </c>
      <c r="L67" s="2">
        <f>SUM(OSRRefD21_11x_8)</f>
        <v>111663.48</v>
      </c>
      <c r="M67" s="2">
        <f>SUM(OSRRefD21_11x_9)</f>
        <v>135508.24</v>
      </c>
      <c r="N67" s="2">
        <f>SUM(OSRRefE21_11x_0)</f>
        <v>44064</v>
      </c>
      <c r="O67" s="2">
        <f>SUM(OSRRefE21_11x_1)</f>
        <v>0</v>
      </c>
      <c r="Q67" s="3">
        <f>SUM(OSRRefD20_11x)+IFERROR(SUM(OSRRefE20_11x),0)</f>
        <v>900264.40999999992</v>
      </c>
    </row>
    <row r="68" spans="1:17" s="42" customFormat="1" ht="15" hidden="1" customHeight="1" outlineLevel="1" x14ac:dyDescent="0.3">
      <c r="A68" s="34"/>
      <c r="B68" s="11" t="str">
        <f>CONCATENATE("          ","6387"," - ","COMMISSION DUE HOUSING")</f>
        <v xml:space="preserve">          6387 - COMMISSION DUE HOUSING</v>
      </c>
      <c r="C68" s="15"/>
      <c r="D68" s="3">
        <v>1568</v>
      </c>
      <c r="E68" s="3">
        <v>38588</v>
      </c>
      <c r="F68" s="3">
        <v>102646.99</v>
      </c>
      <c r="G68" s="3">
        <v>127967.99</v>
      </c>
      <c r="H68" s="3">
        <v>102145.22</v>
      </c>
      <c r="I68" s="3">
        <v>76752.539999999994</v>
      </c>
      <c r="J68" s="3">
        <v>49958.66</v>
      </c>
      <c r="K68" s="3">
        <v>109401.29</v>
      </c>
      <c r="L68" s="3">
        <v>111663.48</v>
      </c>
      <c r="M68" s="3">
        <v>135508.24</v>
      </c>
      <c r="N68" s="3">
        <v>44064</v>
      </c>
      <c r="O68" s="3"/>
      <c r="P68" s="10"/>
      <c r="Q68" s="3">
        <f>SUM(OSRRefD21_11_0x)+IFERROR(SUM(OSRRefE21_11_0x),0)</f>
        <v>900264.40999999992</v>
      </c>
    </row>
    <row r="69" spans="1:17" s="42" customFormat="1" ht="15" customHeight="1" collapsed="1" x14ac:dyDescent="0.3">
      <c r="A69" s="34"/>
      <c r="B69" s="15" t="str">
        <f>CONCATENATE("     ","Repair and Maintenance                            ")</f>
        <v xml:space="preserve">     Repair and Maintenance                            </v>
      </c>
      <c r="C69" s="15"/>
      <c r="D69" s="2">
        <f>SUM(OSRRefD21_12x_0)</f>
        <v>4129</v>
      </c>
      <c r="E69" s="2">
        <f>SUM(OSRRefD21_12x_1)</f>
        <v>3542.3</v>
      </c>
      <c r="F69" s="2">
        <f>SUM(OSRRefD21_12x_2)</f>
        <v>3767.52</v>
      </c>
      <c r="G69" s="2">
        <f>SUM(OSRRefD21_12x_3)</f>
        <v>6998.3099999999995</v>
      </c>
      <c r="H69" s="2">
        <f>SUM(OSRRefD21_12x_4)</f>
        <v>3855.79</v>
      </c>
      <c r="I69" s="2">
        <f>SUM(OSRRefD21_12x_5)</f>
        <v>4201.8500000000004</v>
      </c>
      <c r="J69" s="2">
        <f>SUM(OSRRefD21_12x_6)</f>
        <v>3662.85</v>
      </c>
      <c r="K69" s="2">
        <f>SUM(OSRRefD21_12x_7)</f>
        <v>3809.98</v>
      </c>
      <c r="L69" s="2">
        <f>SUM(OSRRefD21_12x_8)</f>
        <v>8874.1</v>
      </c>
      <c r="M69" s="2">
        <f>SUM(OSRRefD21_12x_9)</f>
        <v>4051.82</v>
      </c>
      <c r="N69" s="2">
        <f>SUM(OSRRefE21_12x_0)</f>
        <v>5850</v>
      </c>
      <c r="O69" s="2">
        <f>SUM(OSRRefE21_12x_1)</f>
        <v>4050</v>
      </c>
      <c r="Q69" s="3">
        <f>SUM(OSRRefD20_12x)+IFERROR(SUM(OSRRefE20_12x),0)</f>
        <v>56793.52</v>
      </c>
    </row>
    <row r="70" spans="1:17" s="42" customFormat="1" ht="15" hidden="1" customHeight="1" outlineLevel="1" x14ac:dyDescent="0.3">
      <c r="A70" s="34"/>
      <c r="B70" s="11" t="str">
        <f>CONCATENATE("          ","6371"," - ","COMPUTER SOFTWARE MAINTENANCE")</f>
        <v xml:space="preserve">          6371 - COMPUTER SOFTWARE MAINTENANCE</v>
      </c>
      <c r="C70" s="15"/>
      <c r="D70" s="3">
        <v>3500</v>
      </c>
      <c r="E70" s="3">
        <v>3500</v>
      </c>
      <c r="F70" s="3">
        <v>3500</v>
      </c>
      <c r="G70" s="3">
        <v>3500</v>
      </c>
      <c r="H70" s="3">
        <v>3500</v>
      </c>
      <c r="I70" s="3">
        <v>3500</v>
      </c>
      <c r="J70" s="3">
        <v>3500</v>
      </c>
      <c r="K70" s="3">
        <v>3500</v>
      </c>
      <c r="L70" s="3">
        <v>3500</v>
      </c>
      <c r="M70" s="3">
        <v>3500</v>
      </c>
      <c r="N70" s="3">
        <v>3500</v>
      </c>
      <c r="O70" s="3">
        <v>3500</v>
      </c>
      <c r="P70" s="10"/>
      <c r="Q70" s="3">
        <f>SUM(OSRRefD21_12_0x)+IFERROR(SUM(OSRRefE21_12_0x),0)</f>
        <v>42000</v>
      </c>
    </row>
    <row r="71" spans="1:17" s="42" customFormat="1" ht="15" hidden="1" customHeight="1" outlineLevel="1" x14ac:dyDescent="0.3">
      <c r="A71" s="34"/>
      <c r="B71" s="11" t="str">
        <f>CONCATENATE("          ","6373"," - ","MAINTENANCE CONTRACTS")</f>
        <v xml:space="preserve">          6373 - MAINTENANCE CONTRACTS</v>
      </c>
      <c r="C71" s="15"/>
      <c r="D71" s="3">
        <v>14</v>
      </c>
      <c r="E71" s="3"/>
      <c r="F71" s="3">
        <v>239.52</v>
      </c>
      <c r="G71" s="3">
        <v>57.15</v>
      </c>
      <c r="H71" s="3">
        <v>26.75</v>
      </c>
      <c r="I71" s="3">
        <v>267.97000000000003</v>
      </c>
      <c r="J71" s="3">
        <v>5.35</v>
      </c>
      <c r="K71" s="3">
        <v>10.93</v>
      </c>
      <c r="L71" s="3">
        <v>3859.53</v>
      </c>
      <c r="M71" s="3">
        <v>4.67</v>
      </c>
      <c r="N71" s="3">
        <v>1800</v>
      </c>
      <c r="O71" s="3"/>
      <c r="P71" s="10"/>
      <c r="Q71" s="3">
        <f>SUM(OSRRefD21_12_1x)+IFERROR(SUM(OSRRefE21_12_1x),0)</f>
        <v>6285.8700000000008</v>
      </c>
    </row>
    <row r="72" spans="1:17" s="42" customFormat="1" ht="15" hidden="1" customHeight="1" outlineLevel="1" x14ac:dyDescent="0.3">
      <c r="A72" s="34"/>
      <c r="B72" s="11" t="str">
        <f>CONCATENATE("          ","6375"," - ","OUTSIDE REPAIRS &amp; MAINTENANCE")</f>
        <v xml:space="preserve">          6375 - OUTSIDE REPAIRS &amp; MAINTENANCE</v>
      </c>
      <c r="C72" s="15"/>
      <c r="D72" s="3">
        <v>615</v>
      </c>
      <c r="E72" s="3">
        <v>42.3</v>
      </c>
      <c r="F72" s="3">
        <v>28</v>
      </c>
      <c r="G72" s="3">
        <v>3441.16</v>
      </c>
      <c r="H72" s="3">
        <v>329.04</v>
      </c>
      <c r="I72" s="3">
        <v>433.88</v>
      </c>
      <c r="J72" s="3">
        <v>157.5</v>
      </c>
      <c r="K72" s="3">
        <v>299.05</v>
      </c>
      <c r="L72" s="3">
        <v>1514.57</v>
      </c>
      <c r="M72" s="3">
        <v>547.15</v>
      </c>
      <c r="N72" s="3">
        <v>550</v>
      </c>
      <c r="O72" s="3">
        <v>550</v>
      </c>
      <c r="P72" s="10"/>
      <c r="Q72" s="3">
        <f>SUM(OSRRefD21_12_2x)+IFERROR(SUM(OSRRefE21_12_2x),0)</f>
        <v>8507.65</v>
      </c>
    </row>
    <row r="73" spans="1:17" s="42" customFormat="1" ht="15" customHeight="1" collapsed="1" x14ac:dyDescent="0.3">
      <c r="A73" s="34"/>
      <c r="B73" s="15" t="str">
        <f>CONCATENATE("     ","Services                                          ")</f>
        <v xml:space="preserve">     Services                                          </v>
      </c>
      <c r="C73" s="15"/>
      <c r="D73" s="2">
        <f>SUM(OSRRefD21_13x_0)</f>
        <v>13078.92</v>
      </c>
      <c r="E73" s="2">
        <f>SUM(OSRRefD21_13x_1)</f>
        <v>13804.32</v>
      </c>
      <c r="F73" s="2">
        <f>SUM(OSRRefD21_13x_2)</f>
        <v>13095.319999999998</v>
      </c>
      <c r="G73" s="2">
        <f>SUM(OSRRefD21_13x_3)</f>
        <v>23044.839999999997</v>
      </c>
      <c r="H73" s="2">
        <f>SUM(OSRRefD21_13x_4)</f>
        <v>18897.68</v>
      </c>
      <c r="I73" s="2">
        <f>SUM(OSRRefD21_13x_5)</f>
        <v>15346.34</v>
      </c>
      <c r="J73" s="2">
        <f>SUM(OSRRefD21_13x_6)</f>
        <v>17762.11</v>
      </c>
      <c r="K73" s="2">
        <f>SUM(OSRRefD21_13x_7)</f>
        <v>19275.88</v>
      </c>
      <c r="L73" s="2">
        <f>SUM(OSRRefD21_13x_8)</f>
        <v>21188.89</v>
      </c>
      <c r="M73" s="2">
        <f>SUM(OSRRefD21_13x_9)</f>
        <v>20131.740000000002</v>
      </c>
      <c r="N73" s="2">
        <f>SUM(OSRRefE21_13x_0)</f>
        <v>21796</v>
      </c>
      <c r="O73" s="2">
        <f>SUM(OSRRefE21_13x_1)</f>
        <v>21792</v>
      </c>
      <c r="Q73" s="3">
        <f>SUM(OSRRefD20_13x)+IFERROR(SUM(OSRRefE20_13x),0)</f>
        <v>219214.03999999998</v>
      </c>
    </row>
    <row r="74" spans="1:17" s="42" customFormat="1" ht="15" hidden="1" customHeight="1" outlineLevel="1" x14ac:dyDescent="0.3">
      <c r="A74" s="34"/>
      <c r="B74" s="11" t="str">
        <f>CONCATENATE("          ","6282"," - ","JANITORIAL/EXTERMINATOR EXPENS")</f>
        <v xml:space="preserve">          6282 - JANITORIAL/EXTERMINATOR EXPENS</v>
      </c>
      <c r="C74" s="15"/>
      <c r="D74" s="3">
        <v>1508.5</v>
      </c>
      <c r="E74" s="3">
        <v>421.34</v>
      </c>
      <c r="F74" s="3">
        <v>2336.4699999999998</v>
      </c>
      <c r="G74" s="3">
        <v>3420.53</v>
      </c>
      <c r="H74" s="3">
        <v>1705.73</v>
      </c>
      <c r="I74" s="3">
        <v>459.25</v>
      </c>
      <c r="J74" s="3">
        <v>914.2</v>
      </c>
      <c r="K74" s="3">
        <v>2373.9</v>
      </c>
      <c r="L74" s="3">
        <v>2829.05</v>
      </c>
      <c r="M74" s="3">
        <v>914.2</v>
      </c>
      <c r="N74" s="3">
        <v>1570</v>
      </c>
      <c r="O74" s="3">
        <v>1570</v>
      </c>
      <c r="P74" s="10"/>
      <c r="Q74" s="3">
        <f>SUM(OSRRefD21_13_0x)+IFERROR(SUM(OSRRefE21_13_0x),0)</f>
        <v>20023.170000000002</v>
      </c>
    </row>
    <row r="75" spans="1:17" s="42" customFormat="1" ht="15" hidden="1" customHeight="1" outlineLevel="1" x14ac:dyDescent="0.3">
      <c r="A75" s="34"/>
      <c r="B75" s="11" t="str">
        <f>CONCATENATE("          ","6284"," - ","TRASH REMOVAL EXPENSE")</f>
        <v xml:space="preserve">          6284 - TRASH REMOVAL EXPENSE</v>
      </c>
      <c r="C75" s="15"/>
      <c r="D75" s="3"/>
      <c r="E75" s="3"/>
      <c r="F75" s="3"/>
      <c r="G75" s="3"/>
      <c r="H75" s="3"/>
      <c r="I75" s="3"/>
      <c r="J75" s="3"/>
      <c r="K75" s="3"/>
      <c r="L75" s="3"/>
      <c r="M75" s="3"/>
      <c r="N75" s="3">
        <v>600</v>
      </c>
      <c r="O75" s="3">
        <v>600</v>
      </c>
      <c r="P75" s="10"/>
      <c r="Q75" s="3">
        <f>SUM(OSRRefD21_13_1x)+IFERROR(SUM(OSRRefE21_13_1x),0)</f>
        <v>1200</v>
      </c>
    </row>
    <row r="76" spans="1:17" s="42" customFormat="1" ht="15" hidden="1" customHeight="1" outlineLevel="1" x14ac:dyDescent="0.3">
      <c r="A76" s="34"/>
      <c r="B76" s="11" t="str">
        <f>CONCATENATE("          ","6285"," - ","JANITORIAL SERVICES")</f>
        <v xml:space="preserve">          6285 - JANITORIAL SERVICES</v>
      </c>
      <c r="C76" s="15"/>
      <c r="D76" s="3">
        <v>10647.19</v>
      </c>
      <c r="E76" s="3">
        <v>11040.09</v>
      </c>
      <c r="F76" s="3">
        <v>9589.0499999999993</v>
      </c>
      <c r="G76" s="3">
        <v>13068.05</v>
      </c>
      <c r="H76" s="3">
        <v>14771.9</v>
      </c>
      <c r="I76" s="3">
        <v>13631.9</v>
      </c>
      <c r="J76" s="3">
        <v>14029.69</v>
      </c>
      <c r="K76" s="3">
        <v>14084.39</v>
      </c>
      <c r="L76" s="3">
        <v>14178.13</v>
      </c>
      <c r="M76" s="3">
        <v>14445.32</v>
      </c>
      <c r="N76" s="3">
        <v>14859</v>
      </c>
      <c r="O76" s="3">
        <v>14859</v>
      </c>
      <c r="P76" s="10"/>
      <c r="Q76" s="3">
        <f>SUM(OSRRefD21_13_2x)+IFERROR(SUM(OSRRefE21_13_2x),0)</f>
        <v>159203.71</v>
      </c>
    </row>
    <row r="77" spans="1:17" s="42" customFormat="1" ht="15" hidden="1" customHeight="1" outlineLevel="1" x14ac:dyDescent="0.3">
      <c r="A77" s="34"/>
      <c r="B77" s="11" t="str">
        <f>CONCATENATE("          ","6286"," - ","LAUNDRY EXPENSE")</f>
        <v xml:space="preserve">          6286 - LAUNDRY EXPENSE</v>
      </c>
      <c r="C77" s="15"/>
      <c r="D77" s="3">
        <v>923.23</v>
      </c>
      <c r="E77" s="3">
        <v>2342.89</v>
      </c>
      <c r="F77" s="3">
        <v>1169.8</v>
      </c>
      <c r="G77" s="3">
        <v>6556.26</v>
      </c>
      <c r="H77" s="3">
        <v>2420.0500000000002</v>
      </c>
      <c r="I77" s="3">
        <v>1255.19</v>
      </c>
      <c r="J77" s="3">
        <v>2818.22</v>
      </c>
      <c r="K77" s="3">
        <v>2817.59</v>
      </c>
      <c r="L77" s="3">
        <v>4181.71</v>
      </c>
      <c r="M77" s="3">
        <v>4772.22</v>
      </c>
      <c r="N77" s="3">
        <v>4767</v>
      </c>
      <c r="O77" s="3">
        <v>4763</v>
      </c>
      <c r="P77" s="10"/>
      <c r="Q77" s="3">
        <f>SUM(OSRRefD21_13_3x)+IFERROR(SUM(OSRRefE21_13_3x),0)</f>
        <v>38787.160000000003</v>
      </c>
    </row>
    <row r="78" spans="1:17" s="42" customFormat="1" ht="15" customHeight="1" collapsed="1" x14ac:dyDescent="0.3">
      <c r="A78" s="34"/>
      <c r="B78" s="15" t="str">
        <f>CONCATENATE("     ","Supplies                                          ")</f>
        <v xml:space="preserve">     Supplies                                          </v>
      </c>
      <c r="C78" s="15"/>
      <c r="D78" s="2">
        <f>SUM(OSRRefD21_14x_0)</f>
        <v>5210.6799999999994</v>
      </c>
      <c r="E78" s="2">
        <f>SUM(OSRRefD21_14x_1)</f>
        <v>22909.620000000003</v>
      </c>
      <c r="F78" s="2">
        <f>SUM(OSRRefD21_14x_2)</f>
        <v>48540.799999999996</v>
      </c>
      <c r="G78" s="2">
        <f>SUM(OSRRefD21_14x_3)</f>
        <v>82763.31</v>
      </c>
      <c r="H78" s="2">
        <f>SUM(OSRRefD21_14x_4)</f>
        <v>20353</v>
      </c>
      <c r="I78" s="2">
        <f>SUM(OSRRefD21_14x_5)</f>
        <v>29394.16</v>
      </c>
      <c r="J78" s="2">
        <f>SUM(OSRRefD21_14x_6)</f>
        <v>9578.130000000001</v>
      </c>
      <c r="K78" s="2">
        <f>SUM(OSRRefD21_14x_7)</f>
        <v>27451.940000000002</v>
      </c>
      <c r="L78" s="2">
        <f>SUM(OSRRefD21_14x_8)</f>
        <v>21359.600000000002</v>
      </c>
      <c r="M78" s="2">
        <f>SUM(OSRRefD21_14x_9)</f>
        <v>41614.460000000006</v>
      </c>
      <c r="N78" s="2">
        <f>SUM(OSRRefE21_14x_0)</f>
        <v>29250</v>
      </c>
      <c r="O78" s="2">
        <f>SUM(OSRRefE21_14x_1)</f>
        <v>25240</v>
      </c>
      <c r="Q78" s="3">
        <f>SUM(OSRRefD20_14x)+IFERROR(SUM(OSRRefE20_14x),0)</f>
        <v>363665.7</v>
      </c>
    </row>
    <row r="79" spans="1:17" s="42" customFormat="1" ht="15" hidden="1" customHeight="1" outlineLevel="1" x14ac:dyDescent="0.3">
      <c r="A79" s="34"/>
      <c r="B79" s="11" t="str">
        <f>CONCATENATE("          ","6234"," - ","EXPENDABLE SUPPLIES &amp; EQUIPMEN")</f>
        <v xml:space="preserve">          6234 - EXPENDABLE SUPPLIES &amp; EQUIPMEN</v>
      </c>
      <c r="C79" s="15"/>
      <c r="D79" s="3"/>
      <c r="E79" s="3"/>
      <c r="F79" s="3">
        <v>21.98</v>
      </c>
      <c r="G79" s="3"/>
      <c r="H79" s="3"/>
      <c r="I79" s="3">
        <v>315</v>
      </c>
      <c r="J79" s="3"/>
      <c r="K79" s="3"/>
      <c r="L79" s="3"/>
      <c r="M79" s="3"/>
      <c r="N79" s="3">
        <v>342</v>
      </c>
      <c r="O79" s="3">
        <v>338</v>
      </c>
      <c r="P79" s="10"/>
      <c r="Q79" s="3">
        <f>SUM(OSRRefD21_14_0x)+IFERROR(SUM(OSRRefE21_14_0x),0)</f>
        <v>1016.98</v>
      </c>
    </row>
    <row r="80" spans="1:17" s="42" customFormat="1" ht="15" hidden="1" customHeight="1" outlineLevel="1" x14ac:dyDescent="0.3">
      <c r="A80" s="34"/>
      <c r="B80" s="11" t="str">
        <f>CONCATENATE("          ","6235"," - ","COVID-19 EXPENSES")</f>
        <v xml:space="preserve">          6235 - COVID-19 EXPENSES</v>
      </c>
      <c r="C80" s="15"/>
      <c r="D80" s="3"/>
      <c r="E80" s="3"/>
      <c r="F80" s="3"/>
      <c r="G80" s="3"/>
      <c r="H80" s="3"/>
      <c r="I80" s="3"/>
      <c r="J80" s="3"/>
      <c r="K80" s="3">
        <v>158.76</v>
      </c>
      <c r="L80" s="3"/>
      <c r="M80" s="3"/>
      <c r="N80" s="3"/>
      <c r="O80" s="3"/>
      <c r="P80" s="10"/>
      <c r="Q80" s="3">
        <f>SUM(OSRRefD21_14_1x)+IFERROR(SUM(OSRRefE21_14_1x),0)</f>
        <v>158.76</v>
      </c>
    </row>
    <row r="81" spans="1:17" s="42" customFormat="1" ht="15" hidden="1" customHeight="1" outlineLevel="1" x14ac:dyDescent="0.3">
      <c r="A81" s="34"/>
      <c r="B81" s="11" t="str">
        <f>CONCATENATE("          ","6237"," - ","JANITORIAL SUPPLIES")</f>
        <v xml:space="preserve">          6237 - JANITORIAL SUPPLIES</v>
      </c>
      <c r="C81" s="15"/>
      <c r="D81" s="3">
        <v>3701.95</v>
      </c>
      <c r="E81" s="3">
        <v>2430.13</v>
      </c>
      <c r="F81" s="3">
        <v>11902.26</v>
      </c>
      <c r="G81" s="3">
        <v>4968.0200000000004</v>
      </c>
      <c r="H81" s="3">
        <v>4059.52</v>
      </c>
      <c r="I81" s="3">
        <v>4735.74</v>
      </c>
      <c r="J81" s="3">
        <v>2238.52</v>
      </c>
      <c r="K81" s="3">
        <v>9053.85</v>
      </c>
      <c r="L81" s="3">
        <v>5855.81</v>
      </c>
      <c r="M81" s="3">
        <v>22954.52</v>
      </c>
      <c r="N81" s="3">
        <v>9750</v>
      </c>
      <c r="O81" s="3">
        <v>7750</v>
      </c>
      <c r="P81" s="10"/>
      <c r="Q81" s="3">
        <f>SUM(OSRRefD21_14_2x)+IFERROR(SUM(OSRRefE21_14_2x),0)</f>
        <v>89400.319999999992</v>
      </c>
    </row>
    <row r="82" spans="1:17" s="42" customFormat="1" ht="15" hidden="1" customHeight="1" outlineLevel="1" x14ac:dyDescent="0.3">
      <c r="A82" s="34"/>
      <c r="B82" s="11" t="str">
        <f>CONCATENATE("          ","6239"," - ","KITCHEN SUPPLIES")</f>
        <v xml:space="preserve">          6239 - KITCHEN SUPPLIES</v>
      </c>
      <c r="C82" s="15"/>
      <c r="D82" s="3"/>
      <c r="E82" s="3">
        <v>2851.2</v>
      </c>
      <c r="F82" s="3">
        <v>10197.49</v>
      </c>
      <c r="G82" s="3">
        <v>10072.879999999999</v>
      </c>
      <c r="H82" s="3">
        <v>871.69</v>
      </c>
      <c r="I82" s="3">
        <v>166.67</v>
      </c>
      <c r="J82" s="3">
        <v>1268.6600000000001</v>
      </c>
      <c r="K82" s="3">
        <v>2471.66</v>
      </c>
      <c r="L82" s="3">
        <v>1417.68</v>
      </c>
      <c r="M82" s="3">
        <v>6379.92</v>
      </c>
      <c r="N82" s="3">
        <v>3300</v>
      </c>
      <c r="O82" s="3">
        <v>3300</v>
      </c>
      <c r="P82" s="10"/>
      <c r="Q82" s="3">
        <f>SUM(OSRRefD21_14_3x)+IFERROR(SUM(OSRRefE21_14_3x),0)</f>
        <v>42297.85</v>
      </c>
    </row>
    <row r="83" spans="1:17" s="42" customFormat="1" ht="15" hidden="1" customHeight="1" outlineLevel="1" x14ac:dyDescent="0.3">
      <c r="A83" s="34"/>
      <c r="B83" s="11" t="str">
        <f>CONCATENATE("          ","6241"," - ","OFFICE EXPENSE")</f>
        <v xml:space="preserve">          6241 - OFFICE EXPENSE</v>
      </c>
      <c r="C83" s="15"/>
      <c r="D83" s="3">
        <v>445.66</v>
      </c>
      <c r="E83" s="3">
        <v>3278.6</v>
      </c>
      <c r="F83" s="3">
        <v>2610.11</v>
      </c>
      <c r="G83" s="3">
        <v>4282.01</v>
      </c>
      <c r="H83" s="3">
        <v>566.19000000000005</v>
      </c>
      <c r="I83" s="3">
        <v>2479.64</v>
      </c>
      <c r="J83" s="3">
        <v>487.38</v>
      </c>
      <c r="K83" s="3">
        <v>1849.1</v>
      </c>
      <c r="L83" s="3">
        <v>958.24</v>
      </c>
      <c r="M83" s="3">
        <v>4.41</v>
      </c>
      <c r="N83" s="3">
        <v>1445</v>
      </c>
      <c r="O83" s="3">
        <v>1445</v>
      </c>
      <c r="P83" s="10"/>
      <c r="Q83" s="3">
        <f>SUM(OSRRefD21_14_4x)+IFERROR(SUM(OSRRefE21_14_4x),0)</f>
        <v>19851.34</v>
      </c>
    </row>
    <row r="84" spans="1:17" s="42" customFormat="1" ht="15" hidden="1" customHeight="1" outlineLevel="1" x14ac:dyDescent="0.3">
      <c r="A84" s="34"/>
      <c r="B84" s="11" t="str">
        <f>CONCATENATE("          ","6243"," - ","PAPER SUPPLIES")</f>
        <v xml:space="preserve">          6243 - PAPER SUPPLIES</v>
      </c>
      <c r="C84" s="15"/>
      <c r="D84" s="3">
        <v>1063.07</v>
      </c>
      <c r="E84" s="3">
        <v>14349.69</v>
      </c>
      <c r="F84" s="3">
        <v>23426.94</v>
      </c>
      <c r="G84" s="3">
        <v>57587.39</v>
      </c>
      <c r="H84" s="3">
        <v>14679.37</v>
      </c>
      <c r="I84" s="3">
        <v>21252.43</v>
      </c>
      <c r="J84" s="3">
        <v>5583.57</v>
      </c>
      <c r="K84" s="3">
        <v>13549.11</v>
      </c>
      <c r="L84" s="3">
        <v>12116.33</v>
      </c>
      <c r="M84" s="3">
        <v>12275.61</v>
      </c>
      <c r="N84" s="3">
        <v>13300</v>
      </c>
      <c r="O84" s="3">
        <v>11300</v>
      </c>
      <c r="P84" s="10"/>
      <c r="Q84" s="3">
        <f>SUM(OSRRefD21_14_5x)+IFERROR(SUM(OSRRefE21_14_5x),0)</f>
        <v>200483.51</v>
      </c>
    </row>
    <row r="85" spans="1:17" s="42" customFormat="1" ht="15" hidden="1" customHeight="1" outlineLevel="1" x14ac:dyDescent="0.3">
      <c r="A85" s="34"/>
      <c r="B85" s="11" t="str">
        <f>CONCATENATE("          ","6244"," - ","SAFETY SUPPLY EXPENSE")</f>
        <v xml:space="preserve">          6244 - SAFETY SUPPLY EXPENSE</v>
      </c>
      <c r="C85" s="15"/>
      <c r="D85" s="3"/>
      <c r="E85" s="3"/>
      <c r="F85" s="3"/>
      <c r="G85" s="3"/>
      <c r="H85" s="3"/>
      <c r="I85" s="3"/>
      <c r="J85" s="3"/>
      <c r="K85" s="3"/>
      <c r="L85" s="3"/>
      <c r="M85" s="3"/>
      <c r="N85" s="3">
        <v>525</v>
      </c>
      <c r="O85" s="3">
        <v>525</v>
      </c>
      <c r="P85" s="10"/>
      <c r="Q85" s="3">
        <f>SUM(OSRRefD21_14_6x)+IFERROR(SUM(OSRRefE21_14_6x),0)</f>
        <v>1050</v>
      </c>
    </row>
    <row r="86" spans="1:17" s="42" customFormat="1" ht="15" hidden="1" customHeight="1" outlineLevel="1" x14ac:dyDescent="0.3">
      <c r="A86" s="34"/>
      <c r="B86" s="11" t="str">
        <f>CONCATENATE("          ","6247"," - ","STORE SUPPLIES")</f>
        <v xml:space="preserve">          6247 - STORE SUPPLIES</v>
      </c>
      <c r="C86" s="15"/>
      <c r="D86" s="3"/>
      <c r="E86" s="3"/>
      <c r="F86" s="3">
        <v>382.02</v>
      </c>
      <c r="G86" s="3">
        <v>241.78</v>
      </c>
      <c r="H86" s="3">
        <v>176.23</v>
      </c>
      <c r="I86" s="3">
        <v>444.68</v>
      </c>
      <c r="J86" s="3"/>
      <c r="K86" s="3">
        <v>369.46</v>
      </c>
      <c r="L86" s="3">
        <v>79.38</v>
      </c>
      <c r="M86" s="3"/>
      <c r="N86" s="3"/>
      <c r="O86" s="3"/>
      <c r="P86" s="10"/>
      <c r="Q86" s="3">
        <f>SUM(OSRRefD21_14_7x)+IFERROR(SUM(OSRRefE21_14_7x),0)</f>
        <v>1693.5500000000002</v>
      </c>
    </row>
    <row r="87" spans="1:17" s="42" customFormat="1" ht="15" hidden="1" customHeight="1" outlineLevel="1" x14ac:dyDescent="0.3">
      <c r="A87" s="34"/>
      <c r="B87" s="11" t="str">
        <f>CONCATENATE("          ","6248"," - ","UNIFORMS")</f>
        <v xml:space="preserve">          6248 - UNIFORMS</v>
      </c>
      <c r="C87" s="15"/>
      <c r="D87" s="3"/>
      <c r="E87" s="3"/>
      <c r="F87" s="3"/>
      <c r="G87" s="3">
        <v>5611.23</v>
      </c>
      <c r="H87" s="3"/>
      <c r="I87" s="3"/>
      <c r="J87" s="3"/>
      <c r="K87" s="3"/>
      <c r="L87" s="3">
        <v>932.16</v>
      </c>
      <c r="M87" s="3"/>
      <c r="N87" s="3">
        <v>588</v>
      </c>
      <c r="O87" s="3">
        <v>582</v>
      </c>
      <c r="P87" s="10"/>
      <c r="Q87" s="3">
        <f>SUM(OSRRefD21_14_8x)+IFERROR(SUM(OSRRefE21_14_8x),0)</f>
        <v>7713.3899999999994</v>
      </c>
    </row>
    <row r="88" spans="1:17" s="42" customFormat="1" ht="15" customHeight="1" collapsed="1" x14ac:dyDescent="0.3">
      <c r="A88" s="34"/>
      <c r="B88" s="15" t="str">
        <f>CONCATENATE("     ","Telephone/Data Lines                              ")</f>
        <v xml:space="preserve">     Telephone/Data Lines                              </v>
      </c>
      <c r="C88" s="15"/>
      <c r="D88" s="2">
        <f>SUM(OSRRefD21_15x_0)</f>
        <v>499</v>
      </c>
      <c r="E88" s="2">
        <f>SUM(OSRRefD21_15x_1)</f>
        <v>623</v>
      </c>
      <c r="F88" s="2">
        <f>SUM(OSRRefD21_15x_2)</f>
        <v>860.85</v>
      </c>
      <c r="G88" s="2">
        <f>SUM(OSRRefD21_15x_3)</f>
        <v>1249</v>
      </c>
      <c r="H88" s="2">
        <f>SUM(OSRRefD21_15x_4)</f>
        <v>770</v>
      </c>
      <c r="I88" s="2">
        <f>SUM(OSRRefD21_15x_5)</f>
        <v>284</v>
      </c>
      <c r="J88" s="2">
        <f>SUM(OSRRefD21_15x_6)</f>
        <v>734</v>
      </c>
      <c r="K88" s="2">
        <f>SUM(OSRRefD21_15x_7)</f>
        <v>734</v>
      </c>
      <c r="L88" s="2">
        <f>SUM(OSRRefD21_15x_8)</f>
        <v>734</v>
      </c>
      <c r="M88" s="2">
        <f>SUM(OSRRefD21_15x_9)</f>
        <v>1184</v>
      </c>
      <c r="N88" s="2">
        <f>SUM(OSRRefE21_15x_0)</f>
        <v>601</v>
      </c>
      <c r="O88" s="2">
        <f>SUM(OSRRefE21_15x_1)</f>
        <v>605</v>
      </c>
      <c r="Q88" s="3">
        <f>SUM(OSRRefD20_15x)+IFERROR(SUM(OSRRefE20_15x),0)</f>
        <v>8877.85</v>
      </c>
    </row>
    <row r="89" spans="1:17" s="42" customFormat="1" ht="15" hidden="1" customHeight="1" outlineLevel="1" x14ac:dyDescent="0.3">
      <c r="A89" s="34"/>
      <c r="B89" s="11" t="str">
        <f>CONCATENATE("          ","6303"," - ","DATA PHONE LINES")</f>
        <v xml:space="preserve">          6303 - DATA PHONE LINES</v>
      </c>
      <c r="C89" s="15"/>
      <c r="D89" s="3"/>
      <c r="E89" s="3"/>
      <c r="F89" s="3"/>
      <c r="G89" s="3"/>
      <c r="H89" s="3"/>
      <c r="I89" s="3"/>
      <c r="J89" s="3"/>
      <c r="K89" s="3"/>
      <c r="L89" s="3"/>
      <c r="M89" s="3"/>
      <c r="N89" s="3">
        <v>58</v>
      </c>
      <c r="O89" s="3">
        <v>62</v>
      </c>
      <c r="P89" s="10"/>
      <c r="Q89" s="3">
        <f>SUM(OSRRefD21_15_0x)+IFERROR(SUM(OSRRefE21_15_0x),0)</f>
        <v>120</v>
      </c>
    </row>
    <row r="90" spans="1:17" s="42" customFormat="1" ht="15" hidden="1" customHeight="1" outlineLevel="1" x14ac:dyDescent="0.3">
      <c r="A90" s="34"/>
      <c r="B90" s="11" t="str">
        <f>CONCATENATE("          ","6309"," - ","TELEPHONE")</f>
        <v xml:space="preserve">          6309 - TELEPHONE</v>
      </c>
      <c r="C90" s="15"/>
      <c r="D90" s="3">
        <v>499</v>
      </c>
      <c r="E90" s="3">
        <v>623</v>
      </c>
      <c r="F90" s="3">
        <v>860.85</v>
      </c>
      <c r="G90" s="3">
        <v>1249</v>
      </c>
      <c r="H90" s="3">
        <v>770</v>
      </c>
      <c r="I90" s="3">
        <v>284</v>
      </c>
      <c r="J90" s="3">
        <v>734</v>
      </c>
      <c r="K90" s="3">
        <v>734</v>
      </c>
      <c r="L90" s="3">
        <v>734</v>
      </c>
      <c r="M90" s="3">
        <v>1184</v>
      </c>
      <c r="N90" s="3">
        <v>543</v>
      </c>
      <c r="O90" s="3">
        <v>543</v>
      </c>
      <c r="P90" s="10"/>
      <c r="Q90" s="3">
        <f>SUM(OSRRefD21_15_1x)+IFERROR(SUM(OSRRefE21_15_1x),0)</f>
        <v>8757.85</v>
      </c>
    </row>
    <row r="91" spans="1:17" s="42" customFormat="1" ht="15" customHeight="1" collapsed="1" x14ac:dyDescent="0.3">
      <c r="A91" s="34"/>
      <c r="B91" s="15" t="str">
        <f>CONCATENATE("     ","Training                                          ")</f>
        <v xml:space="preserve">     Training                                          </v>
      </c>
      <c r="C91" s="15"/>
      <c r="D91" s="2">
        <f>SUM(OSRRefD21_16x_0)</f>
        <v>0</v>
      </c>
      <c r="E91" s="2">
        <f>SUM(OSRRefD21_16x_1)</f>
        <v>0</v>
      </c>
      <c r="F91" s="2">
        <f>SUM(OSRRefD21_16x_2)</f>
        <v>0</v>
      </c>
      <c r="G91" s="2">
        <f>SUM(OSRRefD21_16x_3)</f>
        <v>0</v>
      </c>
      <c r="H91" s="2">
        <f>SUM(OSRRefD21_16x_4)</f>
        <v>245</v>
      </c>
      <c r="I91" s="2">
        <f>SUM(OSRRefD21_16x_5)</f>
        <v>825</v>
      </c>
      <c r="J91" s="2">
        <f>SUM(OSRRefD21_16x_6)</f>
        <v>323.87</v>
      </c>
      <c r="K91" s="2">
        <f>SUM(OSRRefD21_16x_7)</f>
        <v>4000</v>
      </c>
      <c r="L91" s="2">
        <f>SUM(OSRRefD21_16x_8)</f>
        <v>2465.1</v>
      </c>
      <c r="M91" s="2">
        <f>SUM(OSRRefD21_16x_9)</f>
        <v>936</v>
      </c>
      <c r="N91" s="2">
        <f>SUM(OSRRefE21_16x_0)</f>
        <v>615</v>
      </c>
      <c r="O91" s="2">
        <f>SUM(OSRRefE21_16x_1)</f>
        <v>1615</v>
      </c>
      <c r="Q91" s="3">
        <f>SUM(OSRRefD20_16x)+IFERROR(SUM(OSRRefE20_16x),0)</f>
        <v>11024.97</v>
      </c>
    </row>
    <row r="92" spans="1:17" s="42" customFormat="1" ht="15" hidden="1" customHeight="1" outlineLevel="1" x14ac:dyDescent="0.3">
      <c r="A92" s="34"/>
      <c r="B92" s="11" t="str">
        <f>CONCATENATE("          ","6376"," - ","TRAINING")</f>
        <v xml:space="preserve">          6376 - TRAINING</v>
      </c>
      <c r="C92" s="15"/>
      <c r="D92" s="3"/>
      <c r="E92" s="3"/>
      <c r="F92" s="3"/>
      <c r="G92" s="3"/>
      <c r="H92" s="3">
        <v>245</v>
      </c>
      <c r="I92" s="3">
        <v>825</v>
      </c>
      <c r="J92" s="3">
        <v>323.87</v>
      </c>
      <c r="K92" s="3">
        <v>4000</v>
      </c>
      <c r="L92" s="3">
        <v>2465.1</v>
      </c>
      <c r="M92" s="3">
        <v>936</v>
      </c>
      <c r="N92" s="3">
        <v>615</v>
      </c>
      <c r="O92" s="3">
        <v>1615</v>
      </c>
      <c r="P92" s="10"/>
      <c r="Q92" s="3">
        <f>SUM(OSRRefD21_16_0x)+IFERROR(SUM(OSRRefE21_16_0x),0)</f>
        <v>11024.97</v>
      </c>
    </row>
    <row r="93" spans="1:17" s="42" customFormat="1" ht="15" customHeight="1" collapsed="1" x14ac:dyDescent="0.3">
      <c r="A93" s="34"/>
      <c r="B93" s="15" t="str">
        <f>CONCATENATE("     ","Travel                                            ")</f>
        <v xml:space="preserve">     Travel                                            </v>
      </c>
      <c r="C93" s="15"/>
      <c r="D93" s="2">
        <f>SUM(OSRRefD21_17x_0)</f>
        <v>0</v>
      </c>
      <c r="E93" s="2">
        <f>SUM(OSRRefD21_17x_1)</f>
        <v>595</v>
      </c>
      <c r="F93" s="2">
        <f>SUM(OSRRefD21_17x_2)</f>
        <v>104.02</v>
      </c>
      <c r="G93" s="2">
        <f>SUM(OSRRefD21_17x_3)</f>
        <v>0</v>
      </c>
      <c r="H93" s="2">
        <f>SUM(OSRRefD21_17x_4)</f>
        <v>0</v>
      </c>
      <c r="I93" s="2">
        <f>SUM(OSRRefD21_17x_5)</f>
        <v>0</v>
      </c>
      <c r="J93" s="2">
        <f>SUM(OSRRefD21_17x_6)</f>
        <v>0</v>
      </c>
      <c r="K93" s="2">
        <f>SUM(OSRRefD21_17x_7)</f>
        <v>0</v>
      </c>
      <c r="L93" s="2">
        <f>SUM(OSRRefD21_17x_8)</f>
        <v>135.02000000000001</v>
      </c>
      <c r="M93" s="2">
        <f>SUM(OSRRefD21_17x_9)</f>
        <v>0</v>
      </c>
      <c r="N93" s="2">
        <f>SUM(OSRRefE21_17x_0)</f>
        <v>0</v>
      </c>
      <c r="O93" s="2">
        <f>SUM(OSRRefE21_17x_1)</f>
        <v>0</v>
      </c>
      <c r="Q93" s="3">
        <f>SUM(OSRRefD20_17x)+IFERROR(SUM(OSRRefE20_17x),0)</f>
        <v>834.04</v>
      </c>
    </row>
    <row r="94" spans="1:17" s="42" customFormat="1" ht="15" hidden="1" customHeight="1" outlineLevel="1" x14ac:dyDescent="0.3">
      <c r="A94" s="34"/>
      <c r="B94" s="11" t="str">
        <f>CONCATENATE("          ","6292"," - ","TRAVEL/CONFERENCE")</f>
        <v xml:space="preserve">          6292 - TRAVEL/CONFERENCE</v>
      </c>
      <c r="C94" s="15"/>
      <c r="D94" s="3"/>
      <c r="E94" s="3">
        <v>595</v>
      </c>
      <c r="F94" s="3"/>
      <c r="G94" s="3"/>
      <c r="H94" s="3"/>
      <c r="I94" s="3"/>
      <c r="J94" s="3"/>
      <c r="K94" s="3"/>
      <c r="L94" s="3"/>
      <c r="M94" s="3"/>
      <c r="N94" s="3"/>
      <c r="O94" s="3"/>
      <c r="P94" s="10"/>
      <c r="Q94" s="3">
        <f>SUM(OSRRefD21_17_0x)+IFERROR(SUM(OSRRefE21_17_0x),0)</f>
        <v>595</v>
      </c>
    </row>
    <row r="95" spans="1:17" s="42" customFormat="1" ht="15" hidden="1" customHeight="1" outlineLevel="1" x14ac:dyDescent="0.3">
      <c r="A95" s="34"/>
      <c r="B95" s="11" t="str">
        <f>CONCATENATE("          ","6298"," - ","VEHICLE MILEAGE")</f>
        <v xml:space="preserve">          6298 - VEHICLE MILEAGE</v>
      </c>
      <c r="C95" s="15"/>
      <c r="D95" s="3"/>
      <c r="E95" s="3"/>
      <c r="F95" s="3">
        <v>104.02</v>
      </c>
      <c r="G95" s="3"/>
      <c r="H95" s="3"/>
      <c r="I95" s="3"/>
      <c r="J95" s="3"/>
      <c r="K95" s="3"/>
      <c r="L95" s="3">
        <v>135.02000000000001</v>
      </c>
      <c r="M95" s="3"/>
      <c r="N95" s="3"/>
      <c r="O95" s="3"/>
      <c r="P95" s="10"/>
      <c r="Q95" s="3">
        <f>SUM(OSRRefD21_17_1x)+IFERROR(SUM(OSRRefE21_17_1x),0)</f>
        <v>239.04000000000002</v>
      </c>
    </row>
    <row r="96" spans="1:17" s="40" customFormat="1" ht="15" customHeight="1" x14ac:dyDescent="0.3">
      <c r="A96" s="22"/>
      <c r="B96" s="22"/>
      <c r="C96" s="2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Q96" s="2"/>
    </row>
    <row r="97" spans="1:17" s="39" customFormat="1" ht="15" customHeight="1" x14ac:dyDescent="0.3">
      <c r="A97" s="24"/>
      <c r="B97" s="17" t="s">
        <v>287</v>
      </c>
      <c r="C97" s="23"/>
      <c r="D97" s="4">
        <f>0</f>
        <v>0</v>
      </c>
      <c r="E97" s="4">
        <f>0</f>
        <v>0</v>
      </c>
      <c r="F97" s="4">
        <f>0</f>
        <v>0</v>
      </c>
      <c r="G97" s="4">
        <f>0</f>
        <v>0</v>
      </c>
      <c r="H97" s="4">
        <f>0</f>
        <v>0</v>
      </c>
      <c r="I97" s="4">
        <f>0</f>
        <v>0</v>
      </c>
      <c r="J97" s="4">
        <f>0</f>
        <v>0</v>
      </c>
      <c r="K97" s="4">
        <f>0</f>
        <v>0</v>
      </c>
      <c r="L97" s="4">
        <f>0</f>
        <v>0</v>
      </c>
      <c r="M97" s="4">
        <f>0</f>
        <v>0</v>
      </c>
      <c r="N97" s="4"/>
      <c r="O97" s="4"/>
      <c r="Q97" s="3">
        <f>SUM(OSRRefD23_0x)+IFERROR(SUM(OSRRefE23_0x),0)</f>
        <v>0</v>
      </c>
    </row>
    <row r="98" spans="1:17" ht="15" customHeight="1" x14ac:dyDescent="0.3">
      <c r="A98" s="6"/>
      <c r="B98" s="7"/>
      <c r="C98" s="7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Q98" s="4"/>
    </row>
    <row r="99" spans="1:17" s="37" customFormat="1" ht="15" customHeight="1" x14ac:dyDescent="0.3">
      <c r="A99" s="7"/>
      <c r="B99" s="18" t="s">
        <v>288</v>
      </c>
      <c r="C99" s="18"/>
      <c r="D99" s="9">
        <f t="shared" ref="D99:O99" si="2">IFERROR(+D23-D26+D97,0)</f>
        <v>-188771.38</v>
      </c>
      <c r="E99" s="9">
        <f t="shared" si="2"/>
        <v>-5668.8199999999488</v>
      </c>
      <c r="F99" s="9">
        <f t="shared" si="2"/>
        <v>570121.91000000015</v>
      </c>
      <c r="G99" s="9">
        <f t="shared" si="2"/>
        <v>411637.60999999987</v>
      </c>
      <c r="H99" s="9">
        <f t="shared" si="2"/>
        <v>519736.41999999993</v>
      </c>
      <c r="I99" s="9">
        <f t="shared" si="2"/>
        <v>282483.39000000019</v>
      </c>
      <c r="J99" s="9">
        <f t="shared" si="2"/>
        <v>180014.27000000002</v>
      </c>
      <c r="K99" s="9">
        <f t="shared" si="2"/>
        <v>548335.35999999987</v>
      </c>
      <c r="L99" s="9">
        <f t="shared" si="2"/>
        <v>505510.22999999975</v>
      </c>
      <c r="M99" s="9">
        <f t="shared" si="2"/>
        <v>755595.65000000026</v>
      </c>
      <c r="N99" s="9">
        <f t="shared" si="2"/>
        <v>-465.93823726603296</v>
      </c>
      <c r="O99" s="9">
        <f t="shared" si="2"/>
        <v>-278265.06823726604</v>
      </c>
      <c r="Q99" s="9">
        <f>IFERROR(+Q23-Q26+Q97,0)</f>
        <v>3300263.6335254721</v>
      </c>
    </row>
    <row r="100" spans="1:17" s="38" customFormat="1" ht="15" customHeight="1" x14ac:dyDescent="0.3">
      <c r="B100" s="17"/>
      <c r="C100" s="17"/>
      <c r="D100" s="5">
        <f t="shared" ref="D100:O100" si="3">IFERROR(D99/D10,0)</f>
        <v>-8.2119678866855033</v>
      </c>
      <c r="E100" s="5">
        <f t="shared" si="3"/>
        <v>-1.173124169420226E-2</v>
      </c>
      <c r="F100" s="5">
        <f t="shared" si="3"/>
        <v>0.39963851383337862</v>
      </c>
      <c r="G100" s="5">
        <f t="shared" si="3"/>
        <v>0.25565988491822433</v>
      </c>
      <c r="H100" s="5">
        <f t="shared" si="3"/>
        <v>0.40439674586527075</v>
      </c>
      <c r="I100" s="5">
        <f t="shared" si="3"/>
        <v>0.29278006676731583</v>
      </c>
      <c r="J100" s="5">
        <f t="shared" si="3"/>
        <v>0.28421129478880069</v>
      </c>
      <c r="K100" s="5">
        <f t="shared" si="3"/>
        <v>0.3942537429760779</v>
      </c>
      <c r="L100" s="5">
        <f t="shared" si="3"/>
        <v>0.3647075682027407</v>
      </c>
      <c r="M100" s="5">
        <f t="shared" si="3"/>
        <v>0.43857881628556078</v>
      </c>
      <c r="N100" s="5">
        <f t="shared" si="3"/>
        <v>-7.7040052458008095E-4</v>
      </c>
      <c r="O100" s="5">
        <f t="shared" si="3"/>
        <v>0</v>
      </c>
      <c r="P100" s="19"/>
      <c r="Q100" s="5">
        <f>IFERROR(Q99/Q10,0)</f>
        <v>0.28621171706126919</v>
      </c>
    </row>
    <row r="101" spans="1:17" ht="15" customHeight="1" x14ac:dyDescent="0.3">
      <c r="A101" s="6"/>
      <c r="B101" s="7"/>
      <c r="C101" s="6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Q101" s="4"/>
    </row>
    <row r="102" spans="1:17" s="37" customFormat="1" ht="15" customHeight="1" x14ac:dyDescent="0.3">
      <c r="A102" s="26"/>
      <c r="B102" s="7" t="s">
        <v>289</v>
      </c>
      <c r="C102" s="7"/>
      <c r="D102" s="4">
        <v>10620.07</v>
      </c>
      <c r="E102" s="4">
        <v>65024.65</v>
      </c>
      <c r="F102" s="4">
        <v>163589.49</v>
      </c>
      <c r="G102" s="4">
        <v>170296.23</v>
      </c>
      <c r="H102" s="4">
        <v>165555.14000000001</v>
      </c>
      <c r="I102" s="4">
        <v>122216.38</v>
      </c>
      <c r="J102" s="4">
        <v>153334.74</v>
      </c>
      <c r="K102" s="4">
        <v>125121.06</v>
      </c>
      <c r="L102" s="4">
        <v>122623.97</v>
      </c>
      <c r="M102" s="4">
        <v>139363.31</v>
      </c>
      <c r="N102" s="4">
        <v>82806</v>
      </c>
      <c r="O102" s="4">
        <v>-93744</v>
      </c>
      <c r="Q102" s="3">
        <f>SUM(OSRRefD28_0x)+IFERROR(SUM(OSRRefE28_0x),0)</f>
        <v>1226807.04</v>
      </c>
    </row>
    <row r="103" spans="1:17" ht="15" customHeight="1" x14ac:dyDescent="0.3">
      <c r="A103" s="6"/>
      <c r="B103" s="7"/>
      <c r="C103" s="7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Q103" s="4"/>
    </row>
    <row r="104" spans="1:17" s="37" customFormat="1" ht="15.75" customHeight="1" x14ac:dyDescent="0.3">
      <c r="A104" s="7"/>
      <c r="B104" s="18" t="s">
        <v>290</v>
      </c>
      <c r="C104" s="18"/>
      <c r="D104" s="8">
        <f t="shared" ref="D104:O104" si="4">IFERROR(+D99-D102,0)</f>
        <v>-199391.45</v>
      </c>
      <c r="E104" s="8">
        <f t="shared" si="4"/>
        <v>-70693.469999999943</v>
      </c>
      <c r="F104" s="8">
        <f t="shared" si="4"/>
        <v>406532.42000000016</v>
      </c>
      <c r="G104" s="8">
        <f t="shared" si="4"/>
        <v>241341.37999999986</v>
      </c>
      <c r="H104" s="8">
        <f t="shared" si="4"/>
        <v>354181.27999999991</v>
      </c>
      <c r="I104" s="8">
        <f t="shared" si="4"/>
        <v>160267.01000000018</v>
      </c>
      <c r="J104" s="8">
        <f t="shared" si="4"/>
        <v>26679.530000000028</v>
      </c>
      <c r="K104" s="8">
        <f t="shared" si="4"/>
        <v>423214.29999999987</v>
      </c>
      <c r="L104" s="8">
        <f t="shared" si="4"/>
        <v>382886.25999999978</v>
      </c>
      <c r="M104" s="8">
        <f t="shared" si="4"/>
        <v>616232.34000000032</v>
      </c>
      <c r="N104" s="8">
        <f t="shared" si="4"/>
        <v>-83271.938237266033</v>
      </c>
      <c r="O104" s="8">
        <f t="shared" si="4"/>
        <v>-184521.06823726604</v>
      </c>
      <c r="Q104" s="8">
        <f>IFERROR(+Q99-Q102,0)</f>
        <v>2073456.5935254721</v>
      </c>
    </row>
    <row r="105" spans="1:17" ht="15.75" customHeight="1" x14ac:dyDescent="0.3">
      <c r="A105" s="6"/>
      <c r="B105" s="6"/>
      <c r="C105" s="6"/>
      <c r="D105" s="5">
        <f t="shared" ref="D105:O105" si="5">IFERROR(D104/D10,0)</f>
        <v>-8.6739641585480722</v>
      </c>
      <c r="E105" s="5">
        <f t="shared" si="5"/>
        <v>-0.14629538118547483</v>
      </c>
      <c r="F105" s="5">
        <f t="shared" si="5"/>
        <v>0.28496714352529778</v>
      </c>
      <c r="G105" s="5">
        <f t="shared" si="5"/>
        <v>0.14989230317610053</v>
      </c>
      <c r="H105" s="5">
        <f t="shared" si="5"/>
        <v>0.27558152857249507</v>
      </c>
      <c r="I105" s="5">
        <f t="shared" si="5"/>
        <v>0.16610883170298296</v>
      </c>
      <c r="J105" s="5">
        <f t="shared" si="5"/>
        <v>4.2122348220819707E-2</v>
      </c>
      <c r="K105" s="5">
        <f t="shared" si="5"/>
        <v>0.30429155955946507</v>
      </c>
      <c r="L105" s="5">
        <f t="shared" si="5"/>
        <v>0.27623875541122539</v>
      </c>
      <c r="M105" s="5">
        <f t="shared" si="5"/>
        <v>0.35768661483702463</v>
      </c>
      <c r="N105" s="5">
        <f t="shared" si="5"/>
        <v>-0.13768508306426261</v>
      </c>
      <c r="O105" s="5">
        <f t="shared" si="5"/>
        <v>0</v>
      </c>
      <c r="P105" s="19"/>
      <c r="Q105" s="5">
        <f>IFERROR(Q104/Q10,0)</f>
        <v>0.17981823205165925</v>
      </c>
    </row>
    <row r="106" spans="1:17" ht="15" customHeight="1" x14ac:dyDescent="0.3">
      <c r="A106" s="6"/>
      <c r="B106" s="6"/>
      <c r="C106" s="6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Q106" s="4"/>
    </row>
    <row r="107" spans="1:17" ht="15" customHeight="1" x14ac:dyDescent="0.3">
      <c r="A107" s="6"/>
      <c r="B107" s="6"/>
      <c r="C107" s="6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Q107" s="4"/>
    </row>
    <row r="108" spans="1:17" s="37" customFormat="1" ht="15.75" customHeight="1" x14ac:dyDescent="0.3">
      <c r="A108" s="7"/>
      <c r="B108" s="18" t="s">
        <v>293</v>
      </c>
      <c r="C108" s="18"/>
      <c r="D108" s="8">
        <f t="shared" ref="D108:O108" si="6">IFERROR(SUM(D104:D107),0)</f>
        <v>-199400.12396415856</v>
      </c>
      <c r="E108" s="8">
        <f t="shared" si="6"/>
        <v>-70693.616295381129</v>
      </c>
      <c r="F108" s="8">
        <f t="shared" si="6"/>
        <v>406532.70496714371</v>
      </c>
      <c r="G108" s="8">
        <f t="shared" si="6"/>
        <v>241341.52989230305</v>
      </c>
      <c r="H108" s="8">
        <f t="shared" si="6"/>
        <v>354181.55558152846</v>
      </c>
      <c r="I108" s="8">
        <f t="shared" si="6"/>
        <v>160267.17610883189</v>
      </c>
      <c r="J108" s="8">
        <f t="shared" si="6"/>
        <v>26679.572122348251</v>
      </c>
      <c r="K108" s="8">
        <f t="shared" si="6"/>
        <v>423214.60429155943</v>
      </c>
      <c r="L108" s="8">
        <f t="shared" si="6"/>
        <v>382886.53623875522</v>
      </c>
      <c r="M108" s="8">
        <f t="shared" si="6"/>
        <v>616232.69768661517</v>
      </c>
      <c r="N108" s="8">
        <f t="shared" si="6"/>
        <v>-83272.075922349104</v>
      </c>
      <c r="O108" s="8">
        <f t="shared" si="6"/>
        <v>-184521.06823726604</v>
      </c>
      <c r="Q108" s="8">
        <f>IFERROR(SUM(Q104:Q107),0)</f>
        <v>2073456.7733437042</v>
      </c>
    </row>
    <row r="109" spans="1:17" ht="15.75" customHeight="1" x14ac:dyDescent="0.3">
      <c r="A109" s="6"/>
      <c r="C109" s="6"/>
      <c r="D109" s="5">
        <f t="shared" ref="D109:O109" si="7">IFERROR(D108/D10,0)</f>
        <v>-8.6743414949595561</v>
      </c>
      <c r="E109" s="5">
        <f t="shared" si="7"/>
        <v>-0.14629568393392609</v>
      </c>
      <c r="F109" s="5">
        <f t="shared" si="7"/>
        <v>0.28496734327879564</v>
      </c>
      <c r="G109" s="5">
        <f t="shared" si="7"/>
        <v>0.14989239627121151</v>
      </c>
      <c r="H109" s="5">
        <f t="shared" si="7"/>
        <v>0.27558174299709387</v>
      </c>
      <c r="I109" s="5">
        <f t="shared" si="7"/>
        <v>0.16610900386657401</v>
      </c>
      <c r="J109" s="5">
        <f t="shared" si="7"/>
        <v>4.2122414724698139E-2</v>
      </c>
      <c r="K109" s="5">
        <f t="shared" si="7"/>
        <v>0.30429177834543997</v>
      </c>
      <c r="L109" s="5">
        <f t="shared" si="7"/>
        <v>0.27623895470761695</v>
      </c>
      <c r="M109" s="5">
        <f t="shared" si="7"/>
        <v>0.35768682245305861</v>
      </c>
      <c r="N109" s="5">
        <f t="shared" si="7"/>
        <v>-0.13768531071816981</v>
      </c>
      <c r="O109" s="5">
        <f t="shared" si="7"/>
        <v>0</v>
      </c>
      <c r="P109" s="19"/>
      <c r="Q109" s="5">
        <f>IFERROR(Q108/Q10,0)</f>
        <v>0.17981824764619675</v>
      </c>
    </row>
    <row r="110" spans="1:17" ht="15" customHeight="1" x14ac:dyDescent="0.3">
      <c r="A110" s="6"/>
      <c r="B110" s="33">
        <v>44694.892828900462</v>
      </c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Q110" s="14"/>
    </row>
    <row r="111" spans="1:17" ht="15" customHeight="1" x14ac:dyDescent="0.3">
      <c r="A111" s="6"/>
      <c r="B111" s="31" t="s">
        <v>294</v>
      </c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Q111" s="14"/>
    </row>
    <row r="112" spans="1:17" ht="15" customHeight="1" x14ac:dyDescent="0.3">
      <c r="A112" s="6"/>
      <c r="B112" s="27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Q112" s="14"/>
    </row>
    <row r="113" spans="4:17" ht="15" customHeight="1" x14ac:dyDescent="0.3"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Q113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44B04-8CCB-5EF8-F1D3-79764820F3C7}">
  <sheetPr>
    <tabColor rgb="FF92D050"/>
    <outlinePr summaryBelow="0" summaryRight="0"/>
    <pageSetUpPr fitToPage="1"/>
  </sheetPr>
  <dimension ref="A2:R72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","430"," - ","Res Hall Management")</f>
        <v>Department 430 - Res Hall Management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x14ac:dyDescent="0.3">
      <c r="A10" s="6"/>
      <c r="B10" s="17" t="s">
        <v>283</v>
      </c>
      <c r="C10" s="6"/>
      <c r="D10" s="4">
        <f t="shared" ref="D10:O10" si="0">SUM(0)</f>
        <v>0</v>
      </c>
      <c r="E10" s="4">
        <f t="shared" si="0"/>
        <v>0</v>
      </c>
      <c r="F10" s="4">
        <f t="shared" si="0"/>
        <v>0</v>
      </c>
      <c r="G10" s="4">
        <f t="shared" si="0"/>
        <v>0</v>
      </c>
      <c r="H10" s="4">
        <f t="shared" si="0"/>
        <v>0</v>
      </c>
      <c r="I10" s="4">
        <f t="shared" si="0"/>
        <v>0</v>
      </c>
      <c r="J10" s="4">
        <f t="shared" si="0"/>
        <v>0</v>
      </c>
      <c r="K10" s="4">
        <f t="shared" si="0"/>
        <v>0</v>
      </c>
      <c r="L10" s="4">
        <f t="shared" si="0"/>
        <v>0</v>
      </c>
      <c r="M10" s="4">
        <f t="shared" si="0"/>
        <v>0</v>
      </c>
      <c r="N10" s="4">
        <f t="shared" si="0"/>
        <v>0</v>
      </c>
      <c r="O10" s="4">
        <f t="shared" si="0"/>
        <v>0</v>
      </c>
      <c r="P10" s="25"/>
      <c r="Q10" s="4">
        <f>SUM(0)</f>
        <v>0</v>
      </c>
      <c r="R10" s="25"/>
    </row>
    <row r="11" spans="1:18" ht="15" customHeight="1" x14ac:dyDescent="0.3">
      <c r="A11" s="6"/>
      <c r="B11" s="7"/>
      <c r="C11" s="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Q11" s="4"/>
    </row>
    <row r="12" spans="1:18" s="39" customFormat="1" ht="15" customHeight="1" x14ac:dyDescent="0.3">
      <c r="A12" s="24"/>
      <c r="B12" s="17" t="s">
        <v>284</v>
      </c>
      <c r="C12" s="23"/>
      <c r="D12" s="4">
        <f t="shared" ref="D12:O12" si="1">SUM(0)</f>
        <v>0</v>
      </c>
      <c r="E12" s="4">
        <f t="shared" si="1"/>
        <v>0</v>
      </c>
      <c r="F12" s="4">
        <f t="shared" si="1"/>
        <v>0</v>
      </c>
      <c r="G12" s="4">
        <f t="shared" si="1"/>
        <v>0</v>
      </c>
      <c r="H12" s="4">
        <f t="shared" si="1"/>
        <v>0</v>
      </c>
      <c r="I12" s="4">
        <f t="shared" si="1"/>
        <v>0</v>
      </c>
      <c r="J12" s="4">
        <f t="shared" si="1"/>
        <v>0</v>
      </c>
      <c r="K12" s="4">
        <f t="shared" si="1"/>
        <v>0</v>
      </c>
      <c r="L12" s="4">
        <f t="shared" si="1"/>
        <v>0</v>
      </c>
      <c r="M12" s="4">
        <f t="shared" si="1"/>
        <v>0</v>
      </c>
      <c r="N12" s="4">
        <f t="shared" si="1"/>
        <v>0</v>
      </c>
      <c r="O12" s="4">
        <f t="shared" si="1"/>
        <v>0</v>
      </c>
      <c r="Q12" s="4">
        <f>SUM(0)</f>
        <v>0</v>
      </c>
    </row>
    <row r="13" spans="1:18" ht="15" customHeight="1" x14ac:dyDescent="0.3">
      <c r="A13" s="6"/>
      <c r="B13" s="7"/>
      <c r="C13" s="7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7" customFormat="1" ht="15" customHeight="1" x14ac:dyDescent="0.3">
      <c r="A14" s="7"/>
      <c r="B14" s="18" t="s">
        <v>285</v>
      </c>
      <c r="C14" s="18"/>
      <c r="D14" s="9">
        <f t="shared" ref="D14:O14" si="2">IFERROR(+D10-D12,0)</f>
        <v>0</v>
      </c>
      <c r="E14" s="9">
        <f t="shared" si="2"/>
        <v>0</v>
      </c>
      <c r="F14" s="9">
        <f t="shared" si="2"/>
        <v>0</v>
      </c>
      <c r="G14" s="9">
        <f t="shared" si="2"/>
        <v>0</v>
      </c>
      <c r="H14" s="9">
        <f t="shared" si="2"/>
        <v>0</v>
      </c>
      <c r="I14" s="9">
        <f t="shared" si="2"/>
        <v>0</v>
      </c>
      <c r="J14" s="9">
        <f t="shared" si="2"/>
        <v>0</v>
      </c>
      <c r="K14" s="9">
        <f t="shared" si="2"/>
        <v>0</v>
      </c>
      <c r="L14" s="9">
        <f t="shared" si="2"/>
        <v>0</v>
      </c>
      <c r="M14" s="9">
        <f t="shared" si="2"/>
        <v>0</v>
      </c>
      <c r="N14" s="9">
        <f t="shared" si="2"/>
        <v>0</v>
      </c>
      <c r="O14" s="9">
        <f t="shared" si="2"/>
        <v>0</v>
      </c>
      <c r="Q14" s="9">
        <f>IFERROR(+Q10-Q12,0)</f>
        <v>0</v>
      </c>
    </row>
    <row r="15" spans="1:18" s="38" customFormat="1" ht="15" customHeight="1" x14ac:dyDescent="0.3">
      <c r="B15" s="17"/>
      <c r="C15" s="17"/>
      <c r="D15" s="5">
        <f t="shared" ref="D15:O15" si="3">IFERROR(D14/D10,0)</f>
        <v>0</v>
      </c>
      <c r="E15" s="5">
        <f t="shared" si="3"/>
        <v>0</v>
      </c>
      <c r="F15" s="5">
        <f t="shared" si="3"/>
        <v>0</v>
      </c>
      <c r="G15" s="5">
        <f t="shared" si="3"/>
        <v>0</v>
      </c>
      <c r="H15" s="5">
        <f t="shared" si="3"/>
        <v>0</v>
      </c>
      <c r="I15" s="5">
        <f t="shared" si="3"/>
        <v>0</v>
      </c>
      <c r="J15" s="5">
        <f t="shared" si="3"/>
        <v>0</v>
      </c>
      <c r="K15" s="5">
        <f t="shared" si="3"/>
        <v>0</v>
      </c>
      <c r="L15" s="5">
        <f t="shared" si="3"/>
        <v>0</v>
      </c>
      <c r="M15" s="5">
        <f t="shared" si="3"/>
        <v>0</v>
      </c>
      <c r="N15" s="5">
        <f t="shared" si="3"/>
        <v>0</v>
      </c>
      <c r="O15" s="5">
        <f t="shared" si="3"/>
        <v>0</v>
      </c>
      <c r="P15" s="19"/>
      <c r="Q15" s="5">
        <f>IFERROR(Q14/Q10,0)</f>
        <v>0</v>
      </c>
    </row>
    <row r="16" spans="1:18" ht="15" customHeight="1" x14ac:dyDescent="0.3">
      <c r="A16" s="6"/>
      <c r="B16" s="7"/>
      <c r="C16" s="6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Q16" s="2"/>
    </row>
    <row r="17" spans="1:17" s="37" customFormat="1" ht="15" customHeight="1" x14ac:dyDescent="0.3">
      <c r="A17" s="7"/>
      <c r="B17" s="17" t="s">
        <v>286</v>
      </c>
      <c r="C17" s="7"/>
      <c r="D17" s="12" cm="1">
        <f t="array" ref="D17">SUM(OSRRefD20x_0)</f>
        <v>20675.600000000002</v>
      </c>
      <c r="E17" s="12" cm="1">
        <f t="array" ref="E17">SUM(OSRRefD20x_1)</f>
        <v>18878.86</v>
      </c>
      <c r="F17" s="12" cm="1">
        <f t="array" ref="F17">SUM(OSRRefD20x_2)</f>
        <v>16881.870000000003</v>
      </c>
      <c r="G17" s="12" cm="1">
        <f t="array" ref="G17">SUM(OSRRefD20x_3)</f>
        <v>22630.600000000002</v>
      </c>
      <c r="H17" s="12" cm="1">
        <f t="array" ref="H17">SUM(OSRRefD20x_4)</f>
        <v>17012.580000000002</v>
      </c>
      <c r="I17" s="12" cm="1">
        <f t="array" ref="I17">SUM(OSRRefD20x_5)</f>
        <v>20870.63</v>
      </c>
      <c r="J17" s="12" cm="1">
        <f t="array" ref="J17">SUM(OSRRefD20x_6)</f>
        <v>20905.3</v>
      </c>
      <c r="K17" s="12" cm="1">
        <f t="array" ref="K17">SUM(OSRRefD20x_7)</f>
        <v>22910.55</v>
      </c>
      <c r="L17" s="12" cm="1">
        <f t="array" ref="L17">SUM(OSRRefD20x_8)</f>
        <v>20910.62</v>
      </c>
      <c r="M17" s="12" cm="1">
        <f t="array" ref="M17">SUM(OSRRefD20x_9)</f>
        <v>20612.510000000002</v>
      </c>
      <c r="N17" s="12" cm="1">
        <f t="array" ref="N17">SUM(OSRRefE20x_0)</f>
        <v>17497.431652200001</v>
      </c>
      <c r="O17" s="12" cm="1">
        <f t="array" ref="O17">SUM(OSRRefE20x_1)</f>
        <v>17497.431652200001</v>
      </c>
      <c r="Q17" s="12" cm="1">
        <f t="array" ref="Q17">SUM(OSRRefG20x)</f>
        <v>237283.9833044</v>
      </c>
    </row>
    <row r="18" spans="1:17" s="42" customFormat="1" ht="15" customHeight="1" collapsed="1" x14ac:dyDescent="0.3">
      <c r="A18" s="34"/>
      <c r="B18" s="15" t="str">
        <f>CONCATENATE("     ","*Benefits                                         ")</f>
        <v xml:space="preserve">     *Benefits                                         </v>
      </c>
      <c r="C18" s="15"/>
      <c r="D18" s="2">
        <f>SUM(OSRRefD21_0x_0)</f>
        <v>5748.06</v>
      </c>
      <c r="E18" s="2">
        <f>SUM(OSRRefD21_0x_1)</f>
        <v>5704.79</v>
      </c>
      <c r="F18" s="2">
        <f>SUM(OSRRefD21_0x_2)</f>
        <v>5691.31</v>
      </c>
      <c r="G18" s="2">
        <f>SUM(OSRRefD21_0x_3)</f>
        <v>7252.41</v>
      </c>
      <c r="H18" s="2">
        <f>SUM(OSRRefD21_0x_4)</f>
        <v>5517.35</v>
      </c>
      <c r="I18" s="2">
        <f>SUM(OSRRefD21_0x_5)</f>
        <v>5868.99</v>
      </c>
      <c r="J18" s="2">
        <f>SUM(OSRRefD21_0x_6)</f>
        <v>7223.1</v>
      </c>
      <c r="K18" s="2">
        <f>SUM(OSRRefD21_0x_7)</f>
        <v>5639.1399999999994</v>
      </c>
      <c r="L18" s="2">
        <f>SUM(OSRRefD21_0x_8)</f>
        <v>5552.5999999999995</v>
      </c>
      <c r="M18" s="2">
        <f>SUM(OSRRefD21_0x_9)</f>
        <v>6490.3200000000006</v>
      </c>
      <c r="N18" s="2">
        <f>SUM(OSRRefE21_0x_0)</f>
        <v>4307.0286522000006</v>
      </c>
      <c r="O18" s="2">
        <f>SUM(OSRRefE21_0x_1)</f>
        <v>4307.0286522000006</v>
      </c>
      <c r="Q18" s="3">
        <f>SUM(OSRRefD20_0x)+IFERROR(SUM(OSRRefE20_0x),0)</f>
        <v>69302.127304399997</v>
      </c>
    </row>
    <row r="19" spans="1:17" s="42" customFormat="1" ht="15" hidden="1" customHeight="1" outlineLevel="1" x14ac:dyDescent="0.3">
      <c r="A19" s="34"/>
      <c r="B19" s="11" t="str">
        <f>CONCATENATE("          ","6111"," - ","F.I.C.A.")</f>
        <v xml:space="preserve">          6111 - F.I.C.A.</v>
      </c>
      <c r="C19" s="15"/>
      <c r="D19" s="3">
        <v>685.42</v>
      </c>
      <c r="E19" s="3">
        <v>691.15</v>
      </c>
      <c r="F19" s="3">
        <v>691.15</v>
      </c>
      <c r="G19" s="3">
        <v>1039.5899999999999</v>
      </c>
      <c r="H19" s="3">
        <v>718.56</v>
      </c>
      <c r="I19" s="3">
        <v>730.45</v>
      </c>
      <c r="J19" s="3">
        <v>718.56</v>
      </c>
      <c r="K19" s="3">
        <v>718.56</v>
      </c>
      <c r="L19" s="3">
        <v>718.56</v>
      </c>
      <c r="M19" s="3">
        <v>1080.71</v>
      </c>
      <c r="N19" s="3">
        <v>706.12241219999999</v>
      </c>
      <c r="O19" s="3">
        <v>706.12241219999999</v>
      </c>
      <c r="P19" s="10"/>
      <c r="Q19" s="3">
        <f>SUM(OSRRefD21_0_0x)+IFERROR(SUM(OSRRefE21_0_0x),0)</f>
        <v>9204.954824399998</v>
      </c>
    </row>
    <row r="20" spans="1:17" s="42" customFormat="1" ht="15" hidden="1" customHeight="1" outlineLevel="1" x14ac:dyDescent="0.3">
      <c r="A20" s="34"/>
      <c r="B20" s="11" t="str">
        <f>CONCATENATE("          ","6112"," - ","COMPENSATION INSURANCE")</f>
        <v xml:space="preserve">          6112 - COMPENSATION INSURANCE</v>
      </c>
      <c r="C20" s="15"/>
      <c r="D20" s="3">
        <v>322.54000000000002</v>
      </c>
      <c r="E20" s="3">
        <v>325.24</v>
      </c>
      <c r="F20" s="3">
        <v>325.24</v>
      </c>
      <c r="G20" s="3">
        <v>489.22</v>
      </c>
      <c r="H20" s="3">
        <v>338.15</v>
      </c>
      <c r="I20" s="3">
        <v>335.45</v>
      </c>
      <c r="J20" s="3">
        <v>338.15</v>
      </c>
      <c r="K20" s="3">
        <v>338.15</v>
      </c>
      <c r="L20" s="3">
        <v>338.15</v>
      </c>
      <c r="M20" s="3">
        <v>338.15</v>
      </c>
      <c r="N20" s="3">
        <v>349.69344599999999</v>
      </c>
      <c r="O20" s="3">
        <v>349.69344599999999</v>
      </c>
      <c r="P20" s="10"/>
      <c r="Q20" s="3">
        <f>SUM(OSRRefD21_0_1x)+IFERROR(SUM(OSRRefE21_0_1x),0)</f>
        <v>4187.826892</v>
      </c>
    </row>
    <row r="21" spans="1:17" s="42" customFormat="1" ht="15" hidden="1" customHeight="1" outlineLevel="1" x14ac:dyDescent="0.3">
      <c r="A21" s="34"/>
      <c r="B21" s="11" t="str">
        <f>CONCATENATE("          ","6113"," - ","GROUP INSURANCE")</f>
        <v xml:space="preserve">          6113 - GROUP INSURANCE</v>
      </c>
      <c r="C21" s="15"/>
      <c r="D21" s="3">
        <v>2687.98</v>
      </c>
      <c r="E21" s="3">
        <v>2687.98</v>
      </c>
      <c r="F21" s="3">
        <v>2699.23</v>
      </c>
      <c r="G21" s="3">
        <v>2687.98</v>
      </c>
      <c r="H21" s="3">
        <v>2687.98</v>
      </c>
      <c r="I21" s="3">
        <v>2687.98</v>
      </c>
      <c r="J21" s="3">
        <v>2467.5700000000002</v>
      </c>
      <c r="K21" s="3">
        <v>2467.5700000000002</v>
      </c>
      <c r="L21" s="3">
        <v>2467.5700000000002</v>
      </c>
      <c r="M21" s="3">
        <v>2467.5700000000002</v>
      </c>
      <c r="N21" s="3">
        <v>1977</v>
      </c>
      <c r="O21" s="3">
        <v>1977</v>
      </c>
      <c r="P21" s="10"/>
      <c r="Q21" s="3">
        <f>SUM(OSRRefD21_0_2x)+IFERROR(SUM(OSRRefE21_0_2x),0)</f>
        <v>29963.41</v>
      </c>
    </row>
    <row r="22" spans="1:17" s="42" customFormat="1" ht="15" hidden="1" customHeight="1" outlineLevel="1" x14ac:dyDescent="0.3">
      <c r="A22" s="34"/>
      <c r="B22" s="11" t="str">
        <f>CONCATENATE("          ","6114"," - ","STATE UNEMPLOYMENT INSURANCE")</f>
        <v xml:space="preserve">          6114 - STATE UNEMPLOYMENT INSURANCE</v>
      </c>
      <c r="C22" s="15"/>
      <c r="D22" s="3">
        <v>23.29</v>
      </c>
      <c r="E22" s="3">
        <v>23.49</v>
      </c>
      <c r="F22" s="3">
        <v>23.49</v>
      </c>
      <c r="G22" s="3">
        <v>35.33</v>
      </c>
      <c r="H22" s="3">
        <v>24.42</v>
      </c>
      <c r="I22" s="3">
        <v>24.23</v>
      </c>
      <c r="J22" s="3">
        <v>24.42</v>
      </c>
      <c r="K22" s="3">
        <v>24.42</v>
      </c>
      <c r="L22" s="3">
        <v>24.42</v>
      </c>
      <c r="M22" s="3">
        <v>24.42</v>
      </c>
      <c r="N22" s="3">
        <v>19.376154</v>
      </c>
      <c r="O22" s="3">
        <v>19.376154</v>
      </c>
      <c r="P22" s="10"/>
      <c r="Q22" s="3">
        <f>SUM(OSRRefD21_0_3x)+IFERROR(SUM(OSRRefE21_0_3x),0)</f>
        <v>290.68230800000003</v>
      </c>
    </row>
    <row r="23" spans="1:17" s="42" customFormat="1" ht="15" hidden="1" customHeight="1" outlineLevel="1" x14ac:dyDescent="0.3">
      <c r="A23" s="34"/>
      <c r="B23" s="11" t="str">
        <f>CONCATENATE("          ","6115"," - ","P.E.R.S.")</f>
        <v xml:space="preserve">          6115 - P.E.R.S.</v>
      </c>
      <c r="C23" s="15"/>
      <c r="D23" s="3">
        <v>680.03</v>
      </c>
      <c r="E23" s="3">
        <v>680.03</v>
      </c>
      <c r="F23" s="3">
        <v>680.03</v>
      </c>
      <c r="G23" s="3">
        <v>1020.04</v>
      </c>
      <c r="H23" s="3">
        <v>707.23</v>
      </c>
      <c r="I23" s="3">
        <v>707.23</v>
      </c>
      <c r="J23" s="3">
        <v>707.23</v>
      </c>
      <c r="K23" s="3">
        <v>707.23</v>
      </c>
      <c r="L23" s="3">
        <v>707.23</v>
      </c>
      <c r="M23" s="3">
        <v>919.39</v>
      </c>
      <c r="N23" s="3">
        <v>793.49964</v>
      </c>
      <c r="O23" s="3">
        <v>793.49964</v>
      </c>
      <c r="P23" s="10"/>
      <c r="Q23" s="3">
        <f>SUM(OSRRefD21_0_4x)+IFERROR(SUM(OSRRefE21_0_4x),0)</f>
        <v>9102.6692799999983</v>
      </c>
    </row>
    <row r="24" spans="1:17" s="42" customFormat="1" ht="15" hidden="1" customHeight="1" outlineLevel="1" x14ac:dyDescent="0.3">
      <c r="A24" s="34"/>
      <c r="B24" s="11" t="str">
        <f>CONCATENATE("          ","6116"," - ","EDUCATIONAL BENEFITS")</f>
        <v xml:space="preserve">          6116 - EDUCATIONAL BENEFITS</v>
      </c>
      <c r="C24" s="15"/>
      <c r="D24" s="3"/>
      <c r="E24" s="3"/>
      <c r="F24" s="3"/>
      <c r="G24" s="3"/>
      <c r="H24" s="3"/>
      <c r="I24" s="3"/>
      <c r="J24" s="3"/>
      <c r="K24" s="3"/>
      <c r="L24" s="3"/>
      <c r="M24" s="3"/>
      <c r="N24" s="3">
        <v>0</v>
      </c>
      <c r="O24" s="3">
        <v>0</v>
      </c>
      <c r="P24" s="10"/>
      <c r="Q24" s="3">
        <f>SUM(OSRRefD21_0_5x)+IFERROR(SUM(OSRRefE21_0_5x),0)</f>
        <v>0</v>
      </c>
    </row>
    <row r="25" spans="1:17" s="42" customFormat="1" ht="15" hidden="1" customHeight="1" outlineLevel="1" x14ac:dyDescent="0.3">
      <c r="A25" s="34"/>
      <c r="B25" s="11" t="str">
        <f>CONCATENATE("          ","6118"," - ","VACATION")</f>
        <v xml:space="preserve">          6118 - VACATION</v>
      </c>
      <c r="C25" s="15"/>
      <c r="D25" s="3">
        <v>827.64</v>
      </c>
      <c r="E25" s="3">
        <v>827.64</v>
      </c>
      <c r="F25" s="3">
        <v>827.64</v>
      </c>
      <c r="G25" s="3">
        <v>1241.46</v>
      </c>
      <c r="H25" s="3">
        <v>497.34</v>
      </c>
      <c r="I25" s="3">
        <v>860.74</v>
      </c>
      <c r="J25" s="3">
        <v>1718.28</v>
      </c>
      <c r="K25" s="3">
        <v>860.74</v>
      </c>
      <c r="L25" s="3">
        <v>714.57</v>
      </c>
      <c r="M25" s="3">
        <v>860.74</v>
      </c>
      <c r="N25" s="3">
        <v>276.80220000000003</v>
      </c>
      <c r="O25" s="3">
        <v>276.80220000000003</v>
      </c>
      <c r="P25" s="10"/>
      <c r="Q25" s="3">
        <f>SUM(OSRRefD21_0_6x)+IFERROR(SUM(OSRRefE21_0_6x),0)</f>
        <v>9790.3943999999992</v>
      </c>
    </row>
    <row r="26" spans="1:17" s="42" customFormat="1" ht="15" hidden="1" customHeight="1" outlineLevel="1" x14ac:dyDescent="0.3">
      <c r="A26" s="34"/>
      <c r="B26" s="11" t="str">
        <f>CONCATENATE("          ","6119"," - ","SICK LEAVE")</f>
        <v xml:space="preserve">          6119 - SICK LEAVE</v>
      </c>
      <c r="C26" s="15"/>
      <c r="D26" s="3">
        <v>413.26</v>
      </c>
      <c r="E26" s="3">
        <v>413.26</v>
      </c>
      <c r="F26" s="3">
        <v>413.26</v>
      </c>
      <c r="G26" s="3">
        <v>619.89</v>
      </c>
      <c r="H26" s="3">
        <v>429.78</v>
      </c>
      <c r="I26" s="3">
        <v>429.78</v>
      </c>
      <c r="J26" s="3">
        <v>1174.6300000000001</v>
      </c>
      <c r="K26" s="3">
        <v>429.78</v>
      </c>
      <c r="L26" s="3">
        <v>429.78</v>
      </c>
      <c r="M26" s="3">
        <v>644.66999999999996</v>
      </c>
      <c r="N26" s="3">
        <v>184.53479999999999</v>
      </c>
      <c r="O26" s="3">
        <v>184.53479999999999</v>
      </c>
      <c r="P26" s="10"/>
      <c r="Q26" s="3">
        <f>SUM(OSRRefD21_0_7x)+IFERROR(SUM(OSRRefE21_0_7x),0)</f>
        <v>5767.159599999999</v>
      </c>
    </row>
    <row r="27" spans="1:17" s="42" customFormat="1" ht="15" hidden="1" customHeight="1" outlineLevel="1" x14ac:dyDescent="0.3">
      <c r="A27" s="34"/>
      <c r="B27" s="11" t="str">
        <f>CONCATENATE("          ","6156"," - ","EMPLOYEE MEALS")</f>
        <v xml:space="preserve">          6156 - EMPLOYEE MEALS</v>
      </c>
      <c r="C27" s="15"/>
      <c r="D27" s="3">
        <v>107.9</v>
      </c>
      <c r="E27" s="3">
        <v>56</v>
      </c>
      <c r="F27" s="3">
        <v>31.27</v>
      </c>
      <c r="G27" s="3">
        <v>118.9</v>
      </c>
      <c r="H27" s="3">
        <v>113.89</v>
      </c>
      <c r="I27" s="3">
        <v>93.13</v>
      </c>
      <c r="J27" s="3">
        <v>74.260000000000005</v>
      </c>
      <c r="K27" s="3">
        <v>92.69</v>
      </c>
      <c r="L27" s="3">
        <v>152.32</v>
      </c>
      <c r="M27" s="3">
        <v>154.66999999999999</v>
      </c>
      <c r="N27" s="3"/>
      <c r="O27" s="3"/>
      <c r="P27" s="10"/>
      <c r="Q27" s="3">
        <f>SUM(OSRRefD21_0_8x)+IFERROR(SUM(OSRRefE21_0_8x),0)</f>
        <v>995.02999999999986</v>
      </c>
    </row>
    <row r="28" spans="1:17" s="42" customFormat="1" ht="15" customHeight="1" collapsed="1" x14ac:dyDescent="0.3">
      <c r="A28" s="34"/>
      <c r="B28" s="15" t="str">
        <f>CONCATENATE("     ","*Payroll                                          ")</f>
        <v xml:space="preserve">     *Payroll                                          </v>
      </c>
      <c r="C28" s="15"/>
      <c r="D28" s="2">
        <f>SUM(OSRRefD21_1x_0)</f>
        <v>11199.54</v>
      </c>
      <c r="E28" s="2">
        <f>SUM(OSRRefD21_1x_1)</f>
        <v>8959.5400000000009</v>
      </c>
      <c r="F28" s="2">
        <f>SUM(OSRRefD21_1x_2)</f>
        <v>7615.56</v>
      </c>
      <c r="G28" s="2">
        <f>SUM(OSRRefD21_1x_3)</f>
        <v>11199.31</v>
      </c>
      <c r="H28" s="2">
        <f>SUM(OSRRefD21_1x_4)</f>
        <v>7920.23</v>
      </c>
      <c r="I28" s="2">
        <f>SUM(OSRRefD21_1x_5)</f>
        <v>8852.02</v>
      </c>
      <c r="J28" s="2">
        <f>SUM(OSRRefD21_1x_6)</f>
        <v>9783.33</v>
      </c>
      <c r="K28" s="2">
        <f>SUM(OSRRefD21_1x_7)</f>
        <v>9317.92</v>
      </c>
      <c r="L28" s="2">
        <f>SUM(OSRRefD21_1x_8)</f>
        <v>9317.92</v>
      </c>
      <c r="M28" s="2">
        <f>SUM(OSRRefD21_1x_9)</f>
        <v>10250.19</v>
      </c>
      <c r="N28" s="2">
        <f>SUM(OSRRefE21_1x_0)</f>
        <v>8765.4030000000002</v>
      </c>
      <c r="O28" s="2">
        <f>SUM(OSRRefE21_1x_1)</f>
        <v>8765.4030000000002</v>
      </c>
      <c r="Q28" s="3">
        <f>SUM(OSRRefD20_1x)+IFERROR(SUM(OSRRefE20_1x),0)</f>
        <v>111946.36600000001</v>
      </c>
    </row>
    <row r="29" spans="1:17" s="42" customFormat="1" ht="15" hidden="1" customHeight="1" outlineLevel="1" x14ac:dyDescent="0.3">
      <c r="A29" s="34"/>
      <c r="B29" s="11" t="str">
        <f>CONCATENATE("          ","6001"," - ","ADMINISTRATIVE SALARIES")</f>
        <v xml:space="preserve">          6001 - ADMINISTRATIVE SALARIES</v>
      </c>
      <c r="C29" s="15"/>
      <c r="D29" s="3">
        <v>11199.54</v>
      </c>
      <c r="E29" s="3">
        <v>8959.5400000000009</v>
      </c>
      <c r="F29" s="3">
        <v>7615.56</v>
      </c>
      <c r="G29" s="3">
        <v>11199.31</v>
      </c>
      <c r="H29" s="3">
        <v>7920.23</v>
      </c>
      <c r="I29" s="3">
        <v>8852.02</v>
      </c>
      <c r="J29" s="3">
        <v>9783.33</v>
      </c>
      <c r="K29" s="3">
        <v>9317.92</v>
      </c>
      <c r="L29" s="3">
        <v>9317.92</v>
      </c>
      <c r="M29" s="3">
        <v>10250.19</v>
      </c>
      <c r="N29" s="3">
        <v>0</v>
      </c>
      <c r="O29" s="3">
        <v>0</v>
      </c>
      <c r="P29" s="10"/>
      <c r="Q29" s="3">
        <f>SUM(OSRRefD21_1_0x)+IFERROR(SUM(OSRRefE21_1_0x),0)</f>
        <v>94415.560000000012</v>
      </c>
    </row>
    <row r="30" spans="1:17" s="42" customFormat="1" ht="15" hidden="1" customHeight="1" outlineLevel="1" x14ac:dyDescent="0.3">
      <c r="A30" s="34"/>
      <c r="B30" s="11" t="str">
        <f>CONCATENATE("          ","6002"," - ","STAFF SALARIES")</f>
        <v xml:space="preserve">          6002 - STAFF SALARIES</v>
      </c>
      <c r="C30" s="15"/>
      <c r="D30" s="3"/>
      <c r="E30" s="3"/>
      <c r="F30" s="3"/>
      <c r="G30" s="3"/>
      <c r="H30" s="3"/>
      <c r="I30" s="3"/>
      <c r="J30" s="3"/>
      <c r="K30" s="3"/>
      <c r="L30" s="3"/>
      <c r="M30" s="3"/>
      <c r="N30" s="3">
        <v>8765.4030000000002</v>
      </c>
      <c r="O30" s="3">
        <v>8765.4030000000002</v>
      </c>
      <c r="P30" s="10"/>
      <c r="Q30" s="3">
        <f>SUM(OSRRefD21_1_1x)+IFERROR(SUM(OSRRefE21_1_1x),0)</f>
        <v>17530.806</v>
      </c>
    </row>
    <row r="31" spans="1:17" s="42" customFormat="1" ht="15" hidden="1" customHeight="1" outlineLevel="1" x14ac:dyDescent="0.3">
      <c r="A31" s="34"/>
      <c r="B31" s="11" t="str">
        <f>CONCATENATE("          ","6003"," - ","STAFF HOURLY-9 MONTH")</f>
        <v xml:space="preserve">          6003 - STAFF HOURLY-9 MONTH</v>
      </c>
      <c r="C31" s="15"/>
      <c r="D31" s="3"/>
      <c r="E31" s="3"/>
      <c r="F31" s="3"/>
      <c r="G31" s="3"/>
      <c r="H31" s="3"/>
      <c r="I31" s="3"/>
      <c r="J31" s="3"/>
      <c r="K31" s="3"/>
      <c r="L31" s="3"/>
      <c r="M31" s="3"/>
      <c r="N31" s="3">
        <v>0</v>
      </c>
      <c r="O31" s="3">
        <v>0</v>
      </c>
      <c r="P31" s="10"/>
      <c r="Q31" s="3">
        <f>SUM(OSRRefD21_1_2x)+IFERROR(SUM(OSRRefE21_1_2x),0)</f>
        <v>0</v>
      </c>
    </row>
    <row r="32" spans="1:17" s="42" customFormat="1" ht="15" hidden="1" customHeight="1" outlineLevel="1" x14ac:dyDescent="0.3">
      <c r="A32" s="34"/>
      <c r="B32" s="11" t="str">
        <f>CONCATENATE("          ","6004"," - ","STAFF HOURLY")</f>
        <v xml:space="preserve">          6004 - STAFF HOURLY</v>
      </c>
      <c r="C32" s="15"/>
      <c r="D32" s="3"/>
      <c r="E32" s="3"/>
      <c r="F32" s="3"/>
      <c r="G32" s="3"/>
      <c r="H32" s="3"/>
      <c r="I32" s="3"/>
      <c r="J32" s="3"/>
      <c r="K32" s="3"/>
      <c r="L32" s="3"/>
      <c r="M32" s="3"/>
      <c r="N32" s="3">
        <v>0</v>
      </c>
      <c r="O32" s="3">
        <v>0</v>
      </c>
      <c r="P32" s="10"/>
      <c r="Q32" s="3">
        <f>SUM(OSRRefD21_1_3x)+IFERROR(SUM(OSRRefE21_1_3x),0)</f>
        <v>0</v>
      </c>
    </row>
    <row r="33" spans="1:17" s="42" customFormat="1" ht="15" hidden="1" customHeight="1" outlineLevel="1" x14ac:dyDescent="0.3">
      <c r="A33" s="34"/>
      <c r="B33" s="11" t="str">
        <f>CONCATENATE("          ","6005"," - ","TEMPORARY WAGES-HOURLY")</f>
        <v xml:space="preserve">          6005 - TEMPORARY WAGES-HOURLY</v>
      </c>
      <c r="C33" s="15"/>
      <c r="D33" s="3"/>
      <c r="E33" s="3"/>
      <c r="F33" s="3"/>
      <c r="G33" s="3"/>
      <c r="H33" s="3"/>
      <c r="I33" s="3"/>
      <c r="J33" s="3"/>
      <c r="K33" s="3"/>
      <c r="L33" s="3"/>
      <c r="M33" s="3"/>
      <c r="N33" s="3">
        <v>0</v>
      </c>
      <c r="O33" s="3">
        <v>0</v>
      </c>
      <c r="P33" s="10"/>
      <c r="Q33" s="3">
        <f>SUM(OSRRefD21_1_4x)+IFERROR(SUM(OSRRefE21_1_4x),0)</f>
        <v>0</v>
      </c>
    </row>
    <row r="34" spans="1:17" s="42" customFormat="1" ht="15" hidden="1" customHeight="1" outlineLevel="1" x14ac:dyDescent="0.3">
      <c r="A34" s="34"/>
      <c r="B34" s="11" t="str">
        <f>CONCATENATE("          ","6006"," - ","TEMPORARY PART TIME")</f>
        <v xml:space="preserve">          6006 - TEMPORARY PART TIME</v>
      </c>
      <c r="C34" s="15"/>
      <c r="D34" s="3"/>
      <c r="E34" s="3"/>
      <c r="F34" s="3"/>
      <c r="G34" s="3"/>
      <c r="H34" s="3"/>
      <c r="I34" s="3"/>
      <c r="J34" s="3"/>
      <c r="K34" s="3"/>
      <c r="L34" s="3"/>
      <c r="M34" s="3"/>
      <c r="N34" s="3">
        <v>0</v>
      </c>
      <c r="O34" s="3">
        <v>0</v>
      </c>
      <c r="P34" s="10"/>
      <c r="Q34" s="3">
        <f>SUM(OSRRefD21_1_5x)+IFERROR(SUM(OSRRefE21_1_5x),0)</f>
        <v>0</v>
      </c>
    </row>
    <row r="35" spans="1:17" s="42" customFormat="1" ht="15" hidden="1" customHeight="1" outlineLevel="1" x14ac:dyDescent="0.3">
      <c r="A35" s="34"/>
      <c r="B35" s="11" t="str">
        <f>CONCATENATE("          ","6007"," - ","STUDENT HOURLY")</f>
        <v xml:space="preserve">          6007 - STUDENT HOURLY</v>
      </c>
      <c r="C35" s="15"/>
      <c r="D35" s="3"/>
      <c r="E35" s="3"/>
      <c r="F35" s="3"/>
      <c r="G35" s="3"/>
      <c r="H35" s="3"/>
      <c r="I35" s="3"/>
      <c r="J35" s="3"/>
      <c r="K35" s="3"/>
      <c r="L35" s="3"/>
      <c r="M35" s="3"/>
      <c r="N35" s="3">
        <v>0</v>
      </c>
      <c r="O35" s="3">
        <v>0</v>
      </c>
      <c r="P35" s="10"/>
      <c r="Q35" s="3">
        <f>SUM(OSRRefD21_1_6x)+IFERROR(SUM(OSRRefE21_1_6x),0)</f>
        <v>0</v>
      </c>
    </row>
    <row r="36" spans="1:17" s="42" customFormat="1" ht="15" hidden="1" customHeight="1" outlineLevel="1" x14ac:dyDescent="0.3">
      <c r="A36" s="34"/>
      <c r="B36" s="11" t="str">
        <f>CONCATENATE("          ","6008"," - ","STUDENT HOURLY-FICA EXEMPT")</f>
        <v xml:space="preserve">          6008 - STUDENT HOURLY-FICA EXEMPT</v>
      </c>
      <c r="C36" s="15"/>
      <c r="D36" s="3"/>
      <c r="E36" s="3"/>
      <c r="F36" s="3"/>
      <c r="G36" s="3"/>
      <c r="H36" s="3"/>
      <c r="I36" s="3"/>
      <c r="J36" s="3"/>
      <c r="K36" s="3"/>
      <c r="L36" s="3"/>
      <c r="M36" s="3"/>
      <c r="N36" s="3">
        <v>0</v>
      </c>
      <c r="O36" s="3">
        <v>0</v>
      </c>
      <c r="P36" s="10"/>
      <c r="Q36" s="3">
        <f>SUM(OSRRefD21_1_7x)+IFERROR(SUM(OSRRefE21_1_7x),0)</f>
        <v>0</v>
      </c>
    </row>
    <row r="37" spans="1:17" s="42" customFormat="1" ht="15" hidden="1" customHeight="1" outlineLevel="1" x14ac:dyDescent="0.3">
      <c r="A37" s="34"/>
      <c r="B37" s="11" t="str">
        <f>CONCATENATE("          ","6009"," - ","TEMPORARY-SEASONAL")</f>
        <v xml:space="preserve">          6009 - TEMPORARY-SEASONAL</v>
      </c>
      <c r="C37" s="15"/>
      <c r="D37" s="3"/>
      <c r="E37" s="3"/>
      <c r="F37" s="3"/>
      <c r="G37" s="3"/>
      <c r="H37" s="3"/>
      <c r="I37" s="3"/>
      <c r="J37" s="3"/>
      <c r="K37" s="3"/>
      <c r="L37" s="3"/>
      <c r="M37" s="3"/>
      <c r="N37" s="3">
        <v>0</v>
      </c>
      <c r="O37" s="3">
        <v>0</v>
      </c>
      <c r="P37" s="10"/>
      <c r="Q37" s="3">
        <f>SUM(OSRRefD21_1_8x)+IFERROR(SUM(OSRRefE21_1_8x),0)</f>
        <v>0</v>
      </c>
    </row>
    <row r="38" spans="1:17" s="42" customFormat="1" ht="15" hidden="1" customHeight="1" outlineLevel="1" x14ac:dyDescent="0.3">
      <c r="A38" s="34"/>
      <c r="B38" s="11" t="str">
        <f>CONCATENATE("          ","6010"," - ","GRATUITY")</f>
        <v xml:space="preserve">          6010 - GRATUITY</v>
      </c>
      <c r="C38" s="15"/>
      <c r="D38" s="3"/>
      <c r="E38" s="3"/>
      <c r="F38" s="3"/>
      <c r="G38" s="3"/>
      <c r="H38" s="3"/>
      <c r="I38" s="3"/>
      <c r="J38" s="3"/>
      <c r="K38" s="3"/>
      <c r="L38" s="3"/>
      <c r="M38" s="3"/>
      <c r="N38" s="3">
        <v>0</v>
      </c>
      <c r="O38" s="3">
        <v>0</v>
      </c>
      <c r="P38" s="10"/>
      <c r="Q38" s="3">
        <f>SUM(OSRRefD21_1_9x)+IFERROR(SUM(OSRRefE21_1_9x),0)</f>
        <v>0</v>
      </c>
    </row>
    <row r="39" spans="1:17" s="42" customFormat="1" ht="15" customHeight="1" collapsed="1" x14ac:dyDescent="0.3">
      <c r="A39" s="34"/>
      <c r="B39" s="15" t="str">
        <f>CONCATENATE("     ","Advertising/Promo                                 ")</f>
        <v xml:space="preserve">     Advertising/Promo                                 </v>
      </c>
      <c r="C39" s="15"/>
      <c r="D39" s="2">
        <f>SUM(OSRRefD21_2x_0)</f>
        <v>0</v>
      </c>
      <c r="E39" s="2">
        <f>SUM(OSRRefD21_2x_1)</f>
        <v>0</v>
      </c>
      <c r="F39" s="2">
        <f>SUM(OSRRefD21_2x_2)</f>
        <v>0</v>
      </c>
      <c r="G39" s="2">
        <f>SUM(OSRRefD21_2x_3)</f>
        <v>45</v>
      </c>
      <c r="H39" s="2">
        <f>SUM(OSRRefD21_2x_4)</f>
        <v>0</v>
      </c>
      <c r="I39" s="2">
        <f>SUM(OSRRefD21_2x_5)</f>
        <v>0</v>
      </c>
      <c r="J39" s="2">
        <f>SUM(OSRRefD21_2x_6)</f>
        <v>0</v>
      </c>
      <c r="K39" s="2">
        <f>SUM(OSRRefD21_2x_7)</f>
        <v>0</v>
      </c>
      <c r="L39" s="2">
        <f>SUM(OSRRefD21_2x_8)</f>
        <v>0</v>
      </c>
      <c r="M39" s="2">
        <f>SUM(OSRRefD21_2x_9)</f>
        <v>0</v>
      </c>
      <c r="N39" s="2">
        <f>SUM(OSRRefE21_2x_0)</f>
        <v>0</v>
      </c>
      <c r="O39" s="2">
        <f>SUM(OSRRefE21_2x_1)</f>
        <v>0</v>
      </c>
      <c r="Q39" s="3">
        <f>SUM(OSRRefD20_2x)+IFERROR(SUM(OSRRefE20_2x),0)</f>
        <v>45</v>
      </c>
    </row>
    <row r="40" spans="1:17" s="42" customFormat="1" ht="15" hidden="1" customHeight="1" outlineLevel="1" x14ac:dyDescent="0.3">
      <c r="A40" s="34"/>
      <c r="B40" s="11" t="str">
        <f>CONCATENATE("          ","6362"," - ","ADVERTISING EXPENSE")</f>
        <v xml:space="preserve">          6362 - ADVERTISING EXPENSE</v>
      </c>
      <c r="C40" s="15"/>
      <c r="D40" s="3"/>
      <c r="E40" s="3"/>
      <c r="F40" s="3"/>
      <c r="G40" s="3">
        <v>45</v>
      </c>
      <c r="H40" s="3"/>
      <c r="I40" s="3"/>
      <c r="J40" s="3"/>
      <c r="K40" s="3"/>
      <c r="L40" s="3"/>
      <c r="M40" s="3"/>
      <c r="N40" s="3"/>
      <c r="O40" s="3"/>
      <c r="P40" s="10"/>
      <c r="Q40" s="3">
        <f>SUM(OSRRefD21_2_0x)+IFERROR(SUM(OSRRefE21_2_0x),0)</f>
        <v>45</v>
      </c>
    </row>
    <row r="41" spans="1:17" s="42" customFormat="1" ht="15" customHeight="1" collapsed="1" x14ac:dyDescent="0.3">
      <c r="A41" s="34"/>
      <c r="B41" s="15" t="str">
        <f>CONCATENATE("     ","General                                           ")</f>
        <v xml:space="preserve">     General                                           </v>
      </c>
      <c r="C41" s="15"/>
      <c r="D41" s="2">
        <f>SUM(OSRRefD21_3x_0)</f>
        <v>170</v>
      </c>
      <c r="E41" s="2">
        <f>SUM(OSRRefD21_3x_1)</f>
        <v>0</v>
      </c>
      <c r="F41" s="2">
        <f>SUM(OSRRefD21_3x_2)</f>
        <v>0</v>
      </c>
      <c r="G41" s="2">
        <f>SUM(OSRRefD21_3x_3)</f>
        <v>0</v>
      </c>
      <c r="H41" s="2">
        <f>SUM(OSRRefD21_3x_4)</f>
        <v>0</v>
      </c>
      <c r="I41" s="2">
        <f>SUM(OSRRefD21_3x_5)</f>
        <v>0</v>
      </c>
      <c r="J41" s="2">
        <f>SUM(OSRRefD21_3x_6)</f>
        <v>0</v>
      </c>
      <c r="K41" s="2">
        <f>SUM(OSRRefD21_3x_7)</f>
        <v>360</v>
      </c>
      <c r="L41" s="2">
        <f>SUM(OSRRefD21_3x_8)</f>
        <v>0</v>
      </c>
      <c r="M41" s="2">
        <f>SUM(OSRRefD21_3x_9)</f>
        <v>222</v>
      </c>
      <c r="N41" s="2">
        <f>SUM(OSRRefE21_3x_0)</f>
        <v>200</v>
      </c>
      <c r="O41" s="2">
        <f>SUM(OSRRefE21_3x_1)</f>
        <v>200</v>
      </c>
      <c r="Q41" s="3">
        <f>SUM(OSRRefD20_3x)+IFERROR(SUM(OSRRefE20_3x),0)</f>
        <v>1152</v>
      </c>
    </row>
    <row r="42" spans="1:17" s="42" customFormat="1" ht="15" hidden="1" customHeight="1" outlineLevel="1" x14ac:dyDescent="0.3">
      <c r="A42" s="34"/>
      <c r="B42" s="11" t="str">
        <f>CONCATENATE("          ","6279"," - ","GENERAL EXPENSE")</f>
        <v xml:space="preserve">          6279 - GENERAL EXPENSE</v>
      </c>
      <c r="C42" s="15"/>
      <c r="D42" s="3">
        <v>170</v>
      </c>
      <c r="E42" s="3"/>
      <c r="F42" s="3"/>
      <c r="G42" s="3"/>
      <c r="H42" s="3"/>
      <c r="I42" s="3"/>
      <c r="J42" s="3"/>
      <c r="K42" s="3">
        <v>360</v>
      </c>
      <c r="L42" s="3"/>
      <c r="M42" s="3">
        <v>222</v>
      </c>
      <c r="N42" s="3">
        <v>200</v>
      </c>
      <c r="O42" s="3">
        <v>200</v>
      </c>
      <c r="P42" s="10"/>
      <c r="Q42" s="3">
        <f>SUM(OSRRefD21_3_0x)+IFERROR(SUM(OSRRefE21_3_0x),0)</f>
        <v>1152</v>
      </c>
    </row>
    <row r="43" spans="1:17" s="42" customFormat="1" ht="15" customHeight="1" collapsed="1" x14ac:dyDescent="0.3">
      <c r="A43" s="34"/>
      <c r="B43" s="15" t="str">
        <f>CONCATENATE("     ","Repair and Maintenance                            ")</f>
        <v xml:space="preserve">     Repair and Maintenance                            </v>
      </c>
      <c r="C43" s="15"/>
      <c r="D43" s="2">
        <f>SUM(OSRRefD21_4x_0)</f>
        <v>3500</v>
      </c>
      <c r="E43" s="2">
        <f>SUM(OSRRefD21_4x_1)</f>
        <v>3500</v>
      </c>
      <c r="F43" s="2">
        <f>SUM(OSRRefD21_4x_2)</f>
        <v>3500</v>
      </c>
      <c r="G43" s="2">
        <f>SUM(OSRRefD21_4x_3)</f>
        <v>3500</v>
      </c>
      <c r="H43" s="2">
        <f>SUM(OSRRefD21_4x_4)</f>
        <v>3500</v>
      </c>
      <c r="I43" s="2">
        <f>SUM(OSRRefD21_4x_5)</f>
        <v>3500</v>
      </c>
      <c r="J43" s="2">
        <f>SUM(OSRRefD21_4x_6)</f>
        <v>3500</v>
      </c>
      <c r="K43" s="2">
        <f>SUM(OSRRefD21_4x_7)</f>
        <v>3500</v>
      </c>
      <c r="L43" s="2">
        <f>SUM(OSRRefD21_4x_8)</f>
        <v>3500</v>
      </c>
      <c r="M43" s="2">
        <f>SUM(OSRRefD21_4x_9)</f>
        <v>3500</v>
      </c>
      <c r="N43" s="2">
        <f>SUM(OSRRefE21_4x_0)</f>
        <v>3500</v>
      </c>
      <c r="O43" s="2">
        <f>SUM(OSRRefE21_4x_1)</f>
        <v>3500</v>
      </c>
      <c r="Q43" s="3">
        <f>SUM(OSRRefD20_4x)+IFERROR(SUM(OSRRefE20_4x),0)</f>
        <v>42000</v>
      </c>
    </row>
    <row r="44" spans="1:17" s="42" customFormat="1" ht="15" hidden="1" customHeight="1" outlineLevel="1" x14ac:dyDescent="0.3">
      <c r="A44" s="34"/>
      <c r="B44" s="11" t="str">
        <f>CONCATENATE("          ","6371"," - ","COMPUTER SOFTWARE MAINTENANCE")</f>
        <v xml:space="preserve">          6371 - COMPUTER SOFTWARE MAINTENANCE</v>
      </c>
      <c r="C44" s="15"/>
      <c r="D44" s="3">
        <v>3500</v>
      </c>
      <c r="E44" s="3">
        <v>3500</v>
      </c>
      <c r="F44" s="3">
        <v>3500</v>
      </c>
      <c r="G44" s="3">
        <v>3500</v>
      </c>
      <c r="H44" s="3">
        <v>3500</v>
      </c>
      <c r="I44" s="3">
        <v>3500</v>
      </c>
      <c r="J44" s="3">
        <v>3500</v>
      </c>
      <c r="K44" s="3">
        <v>3500</v>
      </c>
      <c r="L44" s="3">
        <v>3500</v>
      </c>
      <c r="M44" s="3">
        <v>3500</v>
      </c>
      <c r="N44" s="3">
        <v>3500</v>
      </c>
      <c r="O44" s="3">
        <v>3500</v>
      </c>
      <c r="P44" s="10"/>
      <c r="Q44" s="3">
        <f>SUM(OSRRefD21_4_0x)+IFERROR(SUM(OSRRefE21_4_0x),0)</f>
        <v>42000</v>
      </c>
    </row>
    <row r="45" spans="1:17" s="42" customFormat="1" ht="15" customHeight="1" collapsed="1" x14ac:dyDescent="0.3">
      <c r="A45" s="34"/>
      <c r="B45" s="15" t="str">
        <f>CONCATENATE("     ","Supplies                                          ")</f>
        <v xml:space="preserve">     Supplies                                          </v>
      </c>
      <c r="C45" s="15"/>
      <c r="D45" s="2">
        <f>SUM(OSRRefD21_5x_0)</f>
        <v>0</v>
      </c>
      <c r="E45" s="2">
        <f>SUM(OSRRefD21_5x_1)</f>
        <v>44.53</v>
      </c>
      <c r="F45" s="2">
        <f>SUM(OSRRefD21_5x_2)</f>
        <v>0</v>
      </c>
      <c r="G45" s="2">
        <f>SUM(OSRRefD21_5x_3)</f>
        <v>483.88</v>
      </c>
      <c r="H45" s="2">
        <f>SUM(OSRRefD21_5x_4)</f>
        <v>0</v>
      </c>
      <c r="I45" s="2">
        <f>SUM(OSRRefD21_5x_5)</f>
        <v>1824.62</v>
      </c>
      <c r="J45" s="2">
        <f>SUM(OSRRefD21_5x_6)</f>
        <v>0</v>
      </c>
      <c r="K45" s="2">
        <f>SUM(OSRRefD21_5x_7)</f>
        <v>18.489999999999998</v>
      </c>
      <c r="L45" s="2">
        <f>SUM(OSRRefD21_5x_8)</f>
        <v>0</v>
      </c>
      <c r="M45" s="2">
        <f>SUM(OSRRefD21_5x_9)</f>
        <v>0</v>
      </c>
      <c r="N45" s="2">
        <f>SUM(OSRRefE21_5x_0)</f>
        <v>342</v>
      </c>
      <c r="O45" s="2">
        <f>SUM(OSRRefE21_5x_1)</f>
        <v>338</v>
      </c>
      <c r="Q45" s="3">
        <f>SUM(OSRRefD20_5x)+IFERROR(SUM(OSRRefE20_5x),0)</f>
        <v>3051.5199999999995</v>
      </c>
    </row>
    <row r="46" spans="1:17" s="42" customFormat="1" ht="15" hidden="1" customHeight="1" outlineLevel="1" x14ac:dyDescent="0.3">
      <c r="A46" s="34"/>
      <c r="B46" s="11" t="str">
        <f>CONCATENATE("          ","6234"," - ","EXPENDABLE SUPPLIES &amp; EQUIPMEN")</f>
        <v xml:space="preserve">          6234 - EXPENDABLE SUPPLIES &amp; EQUIPMEN</v>
      </c>
      <c r="C46" s="15"/>
      <c r="D46" s="3"/>
      <c r="E46" s="3"/>
      <c r="F46" s="3"/>
      <c r="G46" s="3"/>
      <c r="H46" s="3"/>
      <c r="I46" s="3"/>
      <c r="J46" s="3"/>
      <c r="K46" s="3"/>
      <c r="L46" s="3"/>
      <c r="M46" s="3"/>
      <c r="N46" s="3">
        <v>342</v>
      </c>
      <c r="O46" s="3">
        <v>338</v>
      </c>
      <c r="P46" s="10"/>
      <c r="Q46" s="3">
        <f>SUM(OSRRefD21_5_0x)+IFERROR(SUM(OSRRefE21_5_0x),0)</f>
        <v>680</v>
      </c>
    </row>
    <row r="47" spans="1:17" s="42" customFormat="1" ht="15" hidden="1" customHeight="1" outlineLevel="1" x14ac:dyDescent="0.3">
      <c r="A47" s="34"/>
      <c r="B47" s="11" t="str">
        <f>CONCATENATE("          ","6241"," - ","OFFICE EXPENSE")</f>
        <v xml:space="preserve">          6241 - OFFICE EXPENSE</v>
      </c>
      <c r="C47" s="15"/>
      <c r="D47" s="3"/>
      <c r="E47" s="3">
        <v>44.53</v>
      </c>
      <c r="F47" s="3"/>
      <c r="G47" s="3">
        <v>483.88</v>
      </c>
      <c r="H47" s="3"/>
      <c r="I47" s="3">
        <v>1824.62</v>
      </c>
      <c r="J47" s="3"/>
      <c r="K47" s="3">
        <v>18.489999999999998</v>
      </c>
      <c r="L47" s="3"/>
      <c r="M47" s="3"/>
      <c r="N47" s="3"/>
      <c r="O47" s="3"/>
      <c r="P47" s="10"/>
      <c r="Q47" s="3">
        <f>SUM(OSRRefD21_5_1x)+IFERROR(SUM(OSRRefE21_5_1x),0)</f>
        <v>2371.5199999999995</v>
      </c>
    </row>
    <row r="48" spans="1:17" s="42" customFormat="1" ht="15" customHeight="1" collapsed="1" x14ac:dyDescent="0.3">
      <c r="A48" s="34"/>
      <c r="B48" s="15" t="str">
        <f>CONCATENATE("     ","Telephone/Data Lines                              ")</f>
        <v xml:space="preserve">     Telephone/Data Lines                              </v>
      </c>
      <c r="C48" s="15"/>
      <c r="D48" s="2">
        <f>SUM(OSRRefD21_6x_0)</f>
        <v>58</v>
      </c>
      <c r="E48" s="2">
        <f>SUM(OSRRefD21_6x_1)</f>
        <v>75</v>
      </c>
      <c r="F48" s="2">
        <f>SUM(OSRRefD21_6x_2)</f>
        <v>75</v>
      </c>
      <c r="G48" s="2">
        <f>SUM(OSRRefD21_6x_3)</f>
        <v>150</v>
      </c>
      <c r="H48" s="2">
        <f>SUM(OSRRefD21_6x_4)</f>
        <v>75</v>
      </c>
      <c r="I48" s="2">
        <f>SUM(OSRRefD21_6x_5)</f>
        <v>0</v>
      </c>
      <c r="J48" s="2">
        <f>SUM(OSRRefD21_6x_6)</f>
        <v>75</v>
      </c>
      <c r="K48" s="2">
        <f>SUM(OSRRefD21_6x_7)</f>
        <v>75</v>
      </c>
      <c r="L48" s="2">
        <f>SUM(OSRRefD21_6x_8)</f>
        <v>75</v>
      </c>
      <c r="M48" s="2">
        <f>SUM(OSRRefD21_6x_9)</f>
        <v>150</v>
      </c>
      <c r="N48" s="2">
        <f>SUM(OSRRefE21_6x_0)</f>
        <v>83</v>
      </c>
      <c r="O48" s="2">
        <f>SUM(OSRRefE21_6x_1)</f>
        <v>87</v>
      </c>
      <c r="Q48" s="3">
        <f>SUM(OSRRefD20_6x)+IFERROR(SUM(OSRRefE20_6x),0)</f>
        <v>978</v>
      </c>
    </row>
    <row r="49" spans="1:17" s="42" customFormat="1" ht="15" hidden="1" customHeight="1" outlineLevel="1" x14ac:dyDescent="0.3">
      <c r="A49" s="34"/>
      <c r="B49" s="11" t="str">
        <f>CONCATENATE("          ","6303"," - ","DATA PHONE LINES")</f>
        <v xml:space="preserve">          6303 - DATA PHONE LINES</v>
      </c>
      <c r="C49" s="15"/>
      <c r="D49" s="3"/>
      <c r="E49" s="3"/>
      <c r="F49" s="3"/>
      <c r="G49" s="3"/>
      <c r="H49" s="3"/>
      <c r="I49" s="3"/>
      <c r="J49" s="3"/>
      <c r="K49" s="3"/>
      <c r="L49" s="3"/>
      <c r="M49" s="3"/>
      <c r="N49" s="3">
        <v>58</v>
      </c>
      <c r="O49" s="3">
        <v>62</v>
      </c>
      <c r="P49" s="10"/>
      <c r="Q49" s="3">
        <f>SUM(OSRRefD21_6_0x)+IFERROR(SUM(OSRRefE21_6_0x),0)</f>
        <v>120</v>
      </c>
    </row>
    <row r="50" spans="1:17" s="42" customFormat="1" ht="15" hidden="1" customHeight="1" outlineLevel="1" x14ac:dyDescent="0.3">
      <c r="A50" s="34"/>
      <c r="B50" s="11" t="str">
        <f>CONCATENATE("          ","6309"," - ","TELEPHONE")</f>
        <v xml:space="preserve">          6309 - TELEPHONE</v>
      </c>
      <c r="C50" s="15"/>
      <c r="D50" s="3">
        <v>58</v>
      </c>
      <c r="E50" s="3">
        <v>75</v>
      </c>
      <c r="F50" s="3">
        <v>75</v>
      </c>
      <c r="G50" s="3">
        <v>150</v>
      </c>
      <c r="H50" s="3">
        <v>75</v>
      </c>
      <c r="I50" s="3">
        <v>0</v>
      </c>
      <c r="J50" s="3">
        <v>75</v>
      </c>
      <c r="K50" s="3">
        <v>75</v>
      </c>
      <c r="L50" s="3">
        <v>75</v>
      </c>
      <c r="M50" s="3">
        <v>150</v>
      </c>
      <c r="N50" s="3">
        <v>25</v>
      </c>
      <c r="O50" s="3">
        <v>25</v>
      </c>
      <c r="P50" s="10"/>
      <c r="Q50" s="3">
        <f>SUM(OSRRefD21_6_1x)+IFERROR(SUM(OSRRefE21_6_1x),0)</f>
        <v>858</v>
      </c>
    </row>
    <row r="51" spans="1:17" s="42" customFormat="1" ht="15" customHeight="1" collapsed="1" x14ac:dyDescent="0.3">
      <c r="A51" s="34"/>
      <c r="B51" s="15" t="str">
        <f>CONCATENATE("     ","Training                                          ")</f>
        <v xml:space="preserve">     Training                                          </v>
      </c>
      <c r="C51" s="15"/>
      <c r="D51" s="2">
        <f>SUM(OSRRefD21_7x_0)</f>
        <v>0</v>
      </c>
      <c r="E51" s="2">
        <f>SUM(OSRRefD21_7x_1)</f>
        <v>0</v>
      </c>
      <c r="F51" s="2">
        <f>SUM(OSRRefD21_7x_2)</f>
        <v>0</v>
      </c>
      <c r="G51" s="2">
        <f>SUM(OSRRefD21_7x_3)</f>
        <v>0</v>
      </c>
      <c r="H51" s="2">
        <f>SUM(OSRRefD21_7x_4)</f>
        <v>0</v>
      </c>
      <c r="I51" s="2">
        <f>SUM(OSRRefD21_7x_5)</f>
        <v>825</v>
      </c>
      <c r="J51" s="2">
        <f>SUM(OSRRefD21_7x_6)</f>
        <v>323.87</v>
      </c>
      <c r="K51" s="2">
        <f>SUM(OSRRefD21_7x_7)</f>
        <v>4000</v>
      </c>
      <c r="L51" s="2">
        <f>SUM(OSRRefD21_7x_8)</f>
        <v>2465.1</v>
      </c>
      <c r="M51" s="2">
        <f>SUM(OSRRefD21_7x_9)</f>
        <v>0</v>
      </c>
      <c r="N51" s="2">
        <f>SUM(OSRRefE21_7x_0)</f>
        <v>300</v>
      </c>
      <c r="O51" s="2">
        <f>SUM(OSRRefE21_7x_1)</f>
        <v>300</v>
      </c>
      <c r="Q51" s="3">
        <f>SUM(OSRRefD20_7x)+IFERROR(SUM(OSRRefE20_7x),0)</f>
        <v>8213.9699999999993</v>
      </c>
    </row>
    <row r="52" spans="1:17" s="42" customFormat="1" ht="15" hidden="1" customHeight="1" outlineLevel="1" x14ac:dyDescent="0.3">
      <c r="A52" s="34"/>
      <c r="B52" s="11" t="str">
        <f>CONCATENATE("          ","6376"," - ","TRAINING")</f>
        <v xml:space="preserve">          6376 - TRAINING</v>
      </c>
      <c r="C52" s="15"/>
      <c r="D52" s="3"/>
      <c r="E52" s="3"/>
      <c r="F52" s="3"/>
      <c r="G52" s="3"/>
      <c r="H52" s="3"/>
      <c r="I52" s="3">
        <v>825</v>
      </c>
      <c r="J52" s="3">
        <v>323.87</v>
      </c>
      <c r="K52" s="3">
        <v>4000</v>
      </c>
      <c r="L52" s="3">
        <v>2465.1</v>
      </c>
      <c r="M52" s="3"/>
      <c r="N52" s="3">
        <v>300</v>
      </c>
      <c r="O52" s="3">
        <v>300</v>
      </c>
      <c r="P52" s="10"/>
      <c r="Q52" s="3">
        <f>SUM(OSRRefD21_7_0x)+IFERROR(SUM(OSRRefE21_7_0x),0)</f>
        <v>8213.9699999999993</v>
      </c>
    </row>
    <row r="53" spans="1:17" s="42" customFormat="1" ht="15" customHeight="1" collapsed="1" x14ac:dyDescent="0.3">
      <c r="A53" s="34"/>
      <c r="B53" s="15" t="str">
        <f>CONCATENATE("     ","Travel                                            ")</f>
        <v xml:space="preserve">     Travel                                            </v>
      </c>
      <c r="C53" s="15"/>
      <c r="D53" s="2">
        <f>SUM(OSRRefD21_8x_0)</f>
        <v>0</v>
      </c>
      <c r="E53" s="2">
        <f>SUM(OSRRefD21_8x_1)</f>
        <v>595</v>
      </c>
      <c r="F53" s="2">
        <f>SUM(OSRRefD21_8x_2)</f>
        <v>0</v>
      </c>
      <c r="G53" s="2">
        <f>SUM(OSRRefD21_8x_3)</f>
        <v>0</v>
      </c>
      <c r="H53" s="2">
        <f>SUM(OSRRefD21_8x_4)</f>
        <v>0</v>
      </c>
      <c r="I53" s="2">
        <f>SUM(OSRRefD21_8x_5)</f>
        <v>0</v>
      </c>
      <c r="J53" s="2">
        <f>SUM(OSRRefD21_8x_6)</f>
        <v>0</v>
      </c>
      <c r="K53" s="2">
        <f>SUM(OSRRefD21_8x_7)</f>
        <v>0</v>
      </c>
      <c r="L53" s="2">
        <f>SUM(OSRRefD21_8x_8)</f>
        <v>0</v>
      </c>
      <c r="M53" s="2">
        <f>SUM(OSRRefD21_8x_9)</f>
        <v>0</v>
      </c>
      <c r="N53" s="2">
        <f>SUM(OSRRefE21_8x_0)</f>
        <v>0</v>
      </c>
      <c r="O53" s="2">
        <f>SUM(OSRRefE21_8x_1)</f>
        <v>0</v>
      </c>
      <c r="Q53" s="3">
        <f>SUM(OSRRefD20_8x)+IFERROR(SUM(OSRRefE20_8x),0)</f>
        <v>595</v>
      </c>
    </row>
    <row r="54" spans="1:17" s="42" customFormat="1" ht="15" hidden="1" customHeight="1" outlineLevel="1" x14ac:dyDescent="0.3">
      <c r="A54" s="34"/>
      <c r="B54" s="11" t="str">
        <f>CONCATENATE("          ","6292"," - ","TRAVEL/CONFERENCE")</f>
        <v xml:space="preserve">          6292 - TRAVEL/CONFERENCE</v>
      </c>
      <c r="C54" s="15"/>
      <c r="D54" s="3"/>
      <c r="E54" s="3">
        <v>595</v>
      </c>
      <c r="F54" s="3"/>
      <c r="G54" s="3"/>
      <c r="H54" s="3"/>
      <c r="I54" s="3"/>
      <c r="J54" s="3"/>
      <c r="K54" s="3"/>
      <c r="L54" s="3"/>
      <c r="M54" s="3"/>
      <c r="N54" s="3"/>
      <c r="O54" s="3"/>
      <c r="P54" s="10"/>
      <c r="Q54" s="3">
        <f>SUM(OSRRefD21_8_0x)+IFERROR(SUM(OSRRefE21_8_0x),0)</f>
        <v>595</v>
      </c>
    </row>
    <row r="55" spans="1:17" s="40" customFormat="1" ht="15" customHeight="1" x14ac:dyDescent="0.3">
      <c r="A55" s="22"/>
      <c r="B55" s="22"/>
      <c r="C55" s="2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Q55" s="2"/>
    </row>
    <row r="56" spans="1:17" s="39" customFormat="1" ht="15" customHeight="1" x14ac:dyDescent="0.3">
      <c r="A56" s="24"/>
      <c r="B56" s="17" t="s">
        <v>287</v>
      </c>
      <c r="C56" s="23"/>
      <c r="D56" s="4">
        <f>0</f>
        <v>0</v>
      </c>
      <c r="E56" s="4">
        <f>0</f>
        <v>0</v>
      </c>
      <c r="F56" s="4">
        <f>0</f>
        <v>0</v>
      </c>
      <c r="G56" s="4">
        <f>0</f>
        <v>0</v>
      </c>
      <c r="H56" s="4">
        <f>0</f>
        <v>0</v>
      </c>
      <c r="I56" s="4">
        <f>0</f>
        <v>0</v>
      </c>
      <c r="J56" s="4">
        <f>0</f>
        <v>0</v>
      </c>
      <c r="K56" s="4">
        <f>0</f>
        <v>0</v>
      </c>
      <c r="L56" s="4">
        <f>0</f>
        <v>0</v>
      </c>
      <c r="M56" s="4">
        <f>0</f>
        <v>0</v>
      </c>
      <c r="N56" s="4"/>
      <c r="O56" s="4"/>
      <c r="Q56" s="3">
        <f>SUM(OSRRefD23_0x)+IFERROR(SUM(OSRRefE23_0x),0)</f>
        <v>0</v>
      </c>
    </row>
    <row r="57" spans="1:17" ht="15" customHeight="1" x14ac:dyDescent="0.3">
      <c r="A57" s="6"/>
      <c r="B57" s="7"/>
      <c r="C57" s="7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Q57" s="4"/>
    </row>
    <row r="58" spans="1:17" s="37" customFormat="1" ht="15" customHeight="1" x14ac:dyDescent="0.3">
      <c r="A58" s="7"/>
      <c r="B58" s="18" t="s">
        <v>288</v>
      </c>
      <c r="C58" s="18"/>
      <c r="D58" s="9">
        <f t="shared" ref="D58:O58" si="4">IFERROR(+D14-D17+D56,0)</f>
        <v>-20675.600000000002</v>
      </c>
      <c r="E58" s="9">
        <f t="shared" si="4"/>
        <v>-18878.86</v>
      </c>
      <c r="F58" s="9">
        <f t="shared" si="4"/>
        <v>-16881.870000000003</v>
      </c>
      <c r="G58" s="9">
        <f t="shared" si="4"/>
        <v>-22630.600000000002</v>
      </c>
      <c r="H58" s="9">
        <f t="shared" si="4"/>
        <v>-17012.580000000002</v>
      </c>
      <c r="I58" s="9">
        <f t="shared" si="4"/>
        <v>-20870.63</v>
      </c>
      <c r="J58" s="9">
        <f t="shared" si="4"/>
        <v>-20905.3</v>
      </c>
      <c r="K58" s="9">
        <f t="shared" si="4"/>
        <v>-22910.55</v>
      </c>
      <c r="L58" s="9">
        <f t="shared" si="4"/>
        <v>-20910.62</v>
      </c>
      <c r="M58" s="9">
        <f t="shared" si="4"/>
        <v>-20612.510000000002</v>
      </c>
      <c r="N58" s="9">
        <f t="shared" si="4"/>
        <v>-17497.431652200001</v>
      </c>
      <c r="O58" s="9">
        <f t="shared" si="4"/>
        <v>-17497.431652200001</v>
      </c>
      <c r="Q58" s="9">
        <f>IFERROR(+Q14-Q17+Q56,0)</f>
        <v>-237283.9833044</v>
      </c>
    </row>
    <row r="59" spans="1:17" s="38" customFormat="1" ht="15" customHeight="1" x14ac:dyDescent="0.3">
      <c r="B59" s="17"/>
      <c r="C59" s="17"/>
      <c r="D59" s="5">
        <f t="shared" ref="D59:O59" si="5">IFERROR(D58/D10,0)</f>
        <v>0</v>
      </c>
      <c r="E59" s="5">
        <f t="shared" si="5"/>
        <v>0</v>
      </c>
      <c r="F59" s="5">
        <f t="shared" si="5"/>
        <v>0</v>
      </c>
      <c r="G59" s="5">
        <f t="shared" si="5"/>
        <v>0</v>
      </c>
      <c r="H59" s="5">
        <f t="shared" si="5"/>
        <v>0</v>
      </c>
      <c r="I59" s="5">
        <f t="shared" si="5"/>
        <v>0</v>
      </c>
      <c r="J59" s="5">
        <f t="shared" si="5"/>
        <v>0</v>
      </c>
      <c r="K59" s="5">
        <f t="shared" si="5"/>
        <v>0</v>
      </c>
      <c r="L59" s="5">
        <f t="shared" si="5"/>
        <v>0</v>
      </c>
      <c r="M59" s="5">
        <f t="shared" si="5"/>
        <v>0</v>
      </c>
      <c r="N59" s="5">
        <f t="shared" si="5"/>
        <v>0</v>
      </c>
      <c r="O59" s="5">
        <f t="shared" si="5"/>
        <v>0</v>
      </c>
      <c r="P59" s="19"/>
      <c r="Q59" s="5">
        <f>IFERROR(Q58/Q10,0)</f>
        <v>0</v>
      </c>
    </row>
    <row r="60" spans="1:17" ht="15" customHeight="1" x14ac:dyDescent="0.3">
      <c r="A60" s="6"/>
      <c r="B60" s="7"/>
      <c r="C60" s="6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Q60" s="4"/>
    </row>
    <row r="61" spans="1:17" s="37" customFormat="1" ht="15" customHeight="1" x14ac:dyDescent="0.3">
      <c r="A61" s="26"/>
      <c r="B61" s="7" t="s">
        <v>289</v>
      </c>
      <c r="C61" s="7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Q61" s="3">
        <f>SUM(OSRRefD28_0x)+IFERROR(SUM(OSRRefE28_0x),0)</f>
        <v>0</v>
      </c>
    </row>
    <row r="62" spans="1:17" ht="15" customHeight="1" x14ac:dyDescent="0.3">
      <c r="A62" s="6"/>
      <c r="B62" s="7"/>
      <c r="C62" s="7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Q62" s="4"/>
    </row>
    <row r="63" spans="1:17" s="37" customFormat="1" ht="15.75" customHeight="1" x14ac:dyDescent="0.3">
      <c r="A63" s="7"/>
      <c r="B63" s="18" t="s">
        <v>290</v>
      </c>
      <c r="C63" s="18"/>
      <c r="D63" s="8">
        <f t="shared" ref="D63:O63" si="6">IFERROR(+D58-D61,0)</f>
        <v>-20675.600000000002</v>
      </c>
      <c r="E63" s="8">
        <f t="shared" si="6"/>
        <v>-18878.86</v>
      </c>
      <c r="F63" s="8">
        <f t="shared" si="6"/>
        <v>-16881.870000000003</v>
      </c>
      <c r="G63" s="8">
        <f t="shared" si="6"/>
        <v>-22630.600000000002</v>
      </c>
      <c r="H63" s="8">
        <f t="shared" si="6"/>
        <v>-17012.580000000002</v>
      </c>
      <c r="I63" s="8">
        <f t="shared" si="6"/>
        <v>-20870.63</v>
      </c>
      <c r="J63" s="8">
        <f t="shared" si="6"/>
        <v>-20905.3</v>
      </c>
      <c r="K63" s="8">
        <f t="shared" si="6"/>
        <v>-22910.55</v>
      </c>
      <c r="L63" s="8">
        <f t="shared" si="6"/>
        <v>-20910.62</v>
      </c>
      <c r="M63" s="8">
        <f t="shared" si="6"/>
        <v>-20612.510000000002</v>
      </c>
      <c r="N63" s="8">
        <f t="shared" si="6"/>
        <v>-17497.431652200001</v>
      </c>
      <c r="O63" s="8">
        <f t="shared" si="6"/>
        <v>-17497.431652200001</v>
      </c>
      <c r="Q63" s="8">
        <f>IFERROR(+Q58-Q61,0)</f>
        <v>-237283.9833044</v>
      </c>
    </row>
    <row r="64" spans="1:17" ht="15.75" customHeight="1" x14ac:dyDescent="0.3">
      <c r="A64" s="6"/>
      <c r="B64" s="6"/>
      <c r="C64" s="6"/>
      <c r="D64" s="5">
        <f t="shared" ref="D64:O64" si="7">IFERROR(D63/D10,0)</f>
        <v>0</v>
      </c>
      <c r="E64" s="5">
        <f t="shared" si="7"/>
        <v>0</v>
      </c>
      <c r="F64" s="5">
        <f t="shared" si="7"/>
        <v>0</v>
      </c>
      <c r="G64" s="5">
        <f t="shared" si="7"/>
        <v>0</v>
      </c>
      <c r="H64" s="5">
        <f t="shared" si="7"/>
        <v>0</v>
      </c>
      <c r="I64" s="5">
        <f t="shared" si="7"/>
        <v>0</v>
      </c>
      <c r="J64" s="5">
        <f t="shared" si="7"/>
        <v>0</v>
      </c>
      <c r="K64" s="5">
        <f t="shared" si="7"/>
        <v>0</v>
      </c>
      <c r="L64" s="5">
        <f t="shared" si="7"/>
        <v>0</v>
      </c>
      <c r="M64" s="5">
        <f t="shared" si="7"/>
        <v>0</v>
      </c>
      <c r="N64" s="5">
        <f t="shared" si="7"/>
        <v>0</v>
      </c>
      <c r="O64" s="5">
        <f t="shared" si="7"/>
        <v>0</v>
      </c>
      <c r="P64" s="19"/>
      <c r="Q64" s="5">
        <f>IFERROR(Q63/Q10,0)</f>
        <v>0</v>
      </c>
    </row>
    <row r="65" spans="1:17" ht="15" customHeight="1" x14ac:dyDescent="0.3">
      <c r="A65" s="6"/>
      <c r="B65" s="6"/>
      <c r="C65" s="6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Q65" s="4"/>
    </row>
    <row r="66" spans="1:17" ht="15" customHeight="1" x14ac:dyDescent="0.3">
      <c r="A66" s="6"/>
      <c r="B66" s="6"/>
      <c r="C66" s="6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Q66" s="4"/>
    </row>
    <row r="67" spans="1:17" s="37" customFormat="1" ht="15.75" customHeight="1" x14ac:dyDescent="0.3">
      <c r="A67" s="7"/>
      <c r="B67" s="18" t="s">
        <v>293</v>
      </c>
      <c r="C67" s="18"/>
      <c r="D67" s="8">
        <f t="shared" ref="D67:O67" si="8">IFERROR(SUM(D63:D66),0)</f>
        <v>-20675.600000000002</v>
      </c>
      <c r="E67" s="8">
        <f t="shared" si="8"/>
        <v>-18878.86</v>
      </c>
      <c r="F67" s="8">
        <f t="shared" si="8"/>
        <v>-16881.870000000003</v>
      </c>
      <c r="G67" s="8">
        <f t="shared" si="8"/>
        <v>-22630.600000000002</v>
      </c>
      <c r="H67" s="8">
        <f t="shared" si="8"/>
        <v>-17012.580000000002</v>
      </c>
      <c r="I67" s="8">
        <f t="shared" si="8"/>
        <v>-20870.63</v>
      </c>
      <c r="J67" s="8">
        <f t="shared" si="8"/>
        <v>-20905.3</v>
      </c>
      <c r="K67" s="8">
        <f t="shared" si="8"/>
        <v>-22910.55</v>
      </c>
      <c r="L67" s="8">
        <f t="shared" si="8"/>
        <v>-20910.62</v>
      </c>
      <c r="M67" s="8">
        <f t="shared" si="8"/>
        <v>-20612.510000000002</v>
      </c>
      <c r="N67" s="8">
        <f t="shared" si="8"/>
        <v>-17497.431652200001</v>
      </c>
      <c r="O67" s="8">
        <f t="shared" si="8"/>
        <v>-17497.431652200001</v>
      </c>
      <c r="Q67" s="8">
        <f>IFERROR(SUM(Q63:Q66),0)</f>
        <v>-237283.9833044</v>
      </c>
    </row>
    <row r="68" spans="1:17" ht="15.75" customHeight="1" x14ac:dyDescent="0.3">
      <c r="A68" s="6"/>
      <c r="C68" s="6"/>
      <c r="D68" s="5">
        <f t="shared" ref="D68:O68" si="9">IFERROR(D67/D10,0)</f>
        <v>0</v>
      </c>
      <c r="E68" s="5">
        <f t="shared" si="9"/>
        <v>0</v>
      </c>
      <c r="F68" s="5">
        <f t="shared" si="9"/>
        <v>0</v>
      </c>
      <c r="G68" s="5">
        <f t="shared" si="9"/>
        <v>0</v>
      </c>
      <c r="H68" s="5">
        <f t="shared" si="9"/>
        <v>0</v>
      </c>
      <c r="I68" s="5">
        <f t="shared" si="9"/>
        <v>0</v>
      </c>
      <c r="J68" s="5">
        <f t="shared" si="9"/>
        <v>0</v>
      </c>
      <c r="K68" s="5">
        <f t="shared" si="9"/>
        <v>0</v>
      </c>
      <c r="L68" s="5">
        <f t="shared" si="9"/>
        <v>0</v>
      </c>
      <c r="M68" s="5">
        <f t="shared" si="9"/>
        <v>0</v>
      </c>
      <c r="N68" s="5">
        <f t="shared" si="9"/>
        <v>0</v>
      </c>
      <c r="O68" s="5">
        <f t="shared" si="9"/>
        <v>0</v>
      </c>
      <c r="P68" s="19"/>
      <c r="Q68" s="5">
        <f>IFERROR(Q67/Q10,0)</f>
        <v>0</v>
      </c>
    </row>
    <row r="69" spans="1:17" ht="15" customHeight="1" x14ac:dyDescent="0.3">
      <c r="A69" s="6"/>
      <c r="B69" s="33">
        <v>44694.892891863426</v>
      </c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Q69" s="14"/>
    </row>
    <row r="70" spans="1:17" ht="15" customHeight="1" x14ac:dyDescent="0.3">
      <c r="A70" s="6"/>
      <c r="B70" s="31" t="s">
        <v>294</v>
      </c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Q70" s="14"/>
    </row>
    <row r="71" spans="1:17" ht="15" customHeight="1" x14ac:dyDescent="0.3">
      <c r="A71" s="6"/>
      <c r="B71" s="27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Q71" s="14"/>
    </row>
    <row r="72" spans="1:17" ht="15" customHeight="1" x14ac:dyDescent="0.3"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Q72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97E0C-0DDE-6974-035B-5151FE3076DA}">
  <sheetPr>
    <tabColor rgb="FF92D050"/>
    <outlinePr summaryBelow="0" summaryRight="0"/>
    <pageSetUpPr fitToPage="1"/>
  </sheetPr>
  <dimension ref="A2:R104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","433"," - ","Hillside Dining Hall")</f>
        <v>Department 433 - Hillside Dining Hall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0</v>
      </c>
      <c r="E10" s="4">
        <f>SUM(OSRRefD11x_1)</f>
        <v>210442.61</v>
      </c>
      <c r="F10" s="4">
        <f>SUM(OSRRefD11x_2)</f>
        <v>578043.58000000007</v>
      </c>
      <c r="G10" s="4">
        <f>SUM(OSRRefD11x_3)</f>
        <v>521058.73</v>
      </c>
      <c r="H10" s="4">
        <f>SUM(OSRRefD11x_4)</f>
        <v>414220.14</v>
      </c>
      <c r="I10" s="4">
        <f>SUM(OSRRefD11x_5)</f>
        <v>310634.16000000003</v>
      </c>
      <c r="J10" s="4">
        <f>SUM(OSRRefD11x_6)</f>
        <v>205863.21</v>
      </c>
      <c r="K10" s="4">
        <f>SUM(OSRRefD11x_7)</f>
        <v>457105.72000000003</v>
      </c>
      <c r="L10" s="4">
        <f>SUM(OSRRefD11x_8)</f>
        <v>449188.75</v>
      </c>
      <c r="M10" s="4">
        <f>SUM(OSRRefD11x_9)</f>
        <v>557666.16</v>
      </c>
      <c r="N10" s="4">
        <f>SUM(OSRRefE11x_0)</f>
        <v>243000</v>
      </c>
      <c r="O10" s="4">
        <f>SUM(OSRRefE11x_1)</f>
        <v>0</v>
      </c>
      <c r="P10" s="25"/>
      <c r="Q10" s="4">
        <f>SUM(OSRRefG11x)</f>
        <v>3947223.0600000005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","4053"," - ","TAXABLE SALES-FOOD")</f>
        <v xml:space="preserve">          4053 - TAXABLE SALES-FOOD</v>
      </c>
      <c r="C11" s="23"/>
      <c r="D11" s="3">
        <f>0</f>
        <v>0</v>
      </c>
      <c r="E11" s="3">
        <f>--303.31</f>
        <v>303.31</v>
      </c>
      <c r="F11" s="3">
        <f>--570.15</f>
        <v>570.15</v>
      </c>
      <c r="G11" s="3">
        <f>--439.11</f>
        <v>439.11</v>
      </c>
      <c r="H11" s="3">
        <f>--359.71</f>
        <v>359.71</v>
      </c>
      <c r="I11" s="3">
        <f>--171.71</f>
        <v>171.71</v>
      </c>
      <c r="J11" s="3">
        <f>--11.12</f>
        <v>11.12</v>
      </c>
      <c r="K11" s="3">
        <f>--264.59</f>
        <v>264.58999999999997</v>
      </c>
      <c r="L11" s="3">
        <f>--269.85</f>
        <v>269.85000000000002</v>
      </c>
      <c r="M11" s="3">
        <f>--453.18</f>
        <v>453.18</v>
      </c>
      <c r="N11" s="3"/>
      <c r="O11" s="3"/>
      <c r="Q11" s="3">
        <f>SUM(OSRRefD11_0x)+IFERROR(SUM(OSRRefE11_0x),0)</f>
        <v>2842.73</v>
      </c>
    </row>
    <row r="12" spans="1:18" s="39" customFormat="1" ht="15" hidden="1" customHeight="1" outlineLevel="1" x14ac:dyDescent="0.3">
      <c r="A12" s="24"/>
      <c r="B12" s="11" t="str">
        <f>CONCATENATE("          ","4100"," - ","NON-TAXABLE SALES")</f>
        <v xml:space="preserve">          4100 - NON-TAXABLE SALES</v>
      </c>
      <c r="C12" s="23"/>
      <c r="D12" s="3">
        <f>0</f>
        <v>0</v>
      </c>
      <c r="E12" s="3">
        <f>0</f>
        <v>0</v>
      </c>
      <c r="F12" s="3">
        <f>0</f>
        <v>0</v>
      </c>
      <c r="G12" s="3">
        <f>0</f>
        <v>0</v>
      </c>
      <c r="H12" s="3">
        <f>0</f>
        <v>0</v>
      </c>
      <c r="I12" s="3">
        <f>0</f>
        <v>0</v>
      </c>
      <c r="J12" s="3">
        <f>0</f>
        <v>0</v>
      </c>
      <c r="K12" s="3">
        <f>0</f>
        <v>0</v>
      </c>
      <c r="L12" s="3">
        <f>0</f>
        <v>0</v>
      </c>
      <c r="M12" s="3">
        <f>0</f>
        <v>0</v>
      </c>
      <c r="N12" s="3">
        <v>243000</v>
      </c>
      <c r="O12" s="3"/>
      <c r="Q12" s="3">
        <f>SUM(OSRRefD11_1x)+IFERROR(SUM(OSRRefE11_1x),0)</f>
        <v>243000</v>
      </c>
    </row>
    <row r="13" spans="1:18" s="39" customFormat="1" ht="15" hidden="1" customHeight="1" outlineLevel="1" x14ac:dyDescent="0.3">
      <c r="A13" s="24"/>
      <c r="B13" s="11" t="str">
        <f>CONCATENATE("          ","4151"," - ","NON-TAXABLE SALES-FOOD")</f>
        <v xml:space="preserve">          4151 - NON-TAXABLE SALES-FOOD</v>
      </c>
      <c r="C13" s="23"/>
      <c r="D13" s="3">
        <f>0</f>
        <v>0</v>
      </c>
      <c r="E13" s="3">
        <f>--196022.21</f>
        <v>196022.21</v>
      </c>
      <c r="F13" s="3">
        <f>--568839.88</f>
        <v>568839.88</v>
      </c>
      <c r="G13" s="3">
        <f>--512611.43</f>
        <v>512611.43</v>
      </c>
      <c r="H13" s="3">
        <f>--410089.14</f>
        <v>410089.14</v>
      </c>
      <c r="I13" s="3">
        <f>--306692.26</f>
        <v>306692.26</v>
      </c>
      <c r="J13" s="3">
        <f>--202436.51</f>
        <v>202436.51</v>
      </c>
      <c r="K13" s="3">
        <f>--441676.98</f>
        <v>441676.98</v>
      </c>
      <c r="L13" s="3">
        <f>--438400.75</f>
        <v>438400.75</v>
      </c>
      <c r="M13" s="3">
        <f>--547359.66</f>
        <v>547359.66</v>
      </c>
      <c r="N13" s="3"/>
      <c r="O13" s="3"/>
      <c r="Q13" s="3">
        <f>SUM(OSRRefD11_2x)+IFERROR(SUM(OSRRefE11_2x),0)</f>
        <v>3624128.8200000003</v>
      </c>
    </row>
    <row r="14" spans="1:18" s="39" customFormat="1" ht="15" hidden="1" customHeight="1" outlineLevel="1" x14ac:dyDescent="0.3">
      <c r="A14" s="24"/>
      <c r="B14" s="11" t="str">
        <f>CONCATENATE("          ","4153"," - ","NON-TAXABLE SALES-FOOD")</f>
        <v xml:space="preserve">          4153 - NON-TAXABLE SALES-FOOD</v>
      </c>
      <c r="C14" s="23"/>
      <c r="D14" s="3">
        <f>0</f>
        <v>0</v>
      </c>
      <c r="E14" s="3">
        <f>--14117.09</f>
        <v>14117.09</v>
      </c>
      <c r="F14" s="3">
        <f>--8633.55</f>
        <v>8633.5499999999993</v>
      </c>
      <c r="G14" s="3">
        <f>--8008.19</f>
        <v>8008.19</v>
      </c>
      <c r="H14" s="3">
        <f>--3771.29</f>
        <v>3771.29</v>
      </c>
      <c r="I14" s="3">
        <f>--3770.19</f>
        <v>3770.19</v>
      </c>
      <c r="J14" s="3">
        <f>--3415.58</f>
        <v>3415.58</v>
      </c>
      <c r="K14" s="3">
        <f>--15164.15</f>
        <v>15164.15</v>
      </c>
      <c r="L14" s="3">
        <f>--10518.15</f>
        <v>10518.15</v>
      </c>
      <c r="M14" s="3">
        <f>--9853.32</f>
        <v>9853.32</v>
      </c>
      <c r="N14" s="3"/>
      <c r="O14" s="3"/>
      <c r="Q14" s="3">
        <f>SUM(OSRRefD11_3x)+IFERROR(SUM(OSRRefE11_3x),0)</f>
        <v>77251.510000000009</v>
      </c>
    </row>
    <row r="15" spans="1:18" ht="15" customHeight="1" x14ac:dyDescent="0.3">
      <c r="A15" s="6"/>
      <c r="B15" s="7"/>
      <c r="C15" s="6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Q15" s="4"/>
    </row>
    <row r="16" spans="1:18" s="39" customFormat="1" ht="15" customHeight="1" collapsed="1" x14ac:dyDescent="0.3">
      <c r="A16" s="24"/>
      <c r="B16" s="17" t="s">
        <v>284</v>
      </c>
      <c r="C16" s="23"/>
      <c r="D16" s="4">
        <f>SUM(OSRRefD14x_0)</f>
        <v>0</v>
      </c>
      <c r="E16" s="4">
        <f>SUM(OSRRefD14x_1)</f>
        <v>49432.229999999996</v>
      </c>
      <c r="F16" s="4">
        <f>SUM(OSRRefD14x_2)</f>
        <v>137436.65</v>
      </c>
      <c r="G16" s="4">
        <f>SUM(OSRRefD14x_3)</f>
        <v>153313.06</v>
      </c>
      <c r="H16" s="4">
        <f>SUM(OSRRefD14x_4)</f>
        <v>116164.23</v>
      </c>
      <c r="I16" s="4">
        <f>SUM(OSRRefD14x_5)</f>
        <v>77391.13</v>
      </c>
      <c r="J16" s="4">
        <f>SUM(OSRRefD14x_6)</f>
        <v>33441.17</v>
      </c>
      <c r="K16" s="4">
        <f>SUM(OSRRefD14x_7)</f>
        <v>105179.09</v>
      </c>
      <c r="L16" s="4">
        <f>SUM(OSRRefD14x_8)</f>
        <v>108786.34</v>
      </c>
      <c r="M16" s="4">
        <f>SUM(OSRRefD14x_9)</f>
        <v>130937.39</v>
      </c>
      <c r="N16" s="4">
        <f>SUM(OSRRefE14x_0)</f>
        <v>69255</v>
      </c>
      <c r="O16" s="4">
        <f>SUM(OSRRefE14x_1)</f>
        <v>0</v>
      </c>
      <c r="Q16" s="4">
        <f>SUM(OSRRefG14x)</f>
        <v>981336.28999999992</v>
      </c>
    </row>
    <row r="17" spans="1:17" s="39" customFormat="1" ht="15" hidden="1" customHeight="1" outlineLevel="1" x14ac:dyDescent="0.3">
      <c r="A17" s="24"/>
      <c r="B17" s="11" t="str">
        <f>CONCATENATE("          ","5000"," - ","PURCHASES @ COST")</f>
        <v xml:space="preserve">          5000 - PURCHASES @ COST</v>
      </c>
      <c r="C17" s="23"/>
      <c r="D17" s="3"/>
      <c r="E17" s="3"/>
      <c r="F17" s="3"/>
      <c r="G17" s="3"/>
      <c r="H17" s="3"/>
      <c r="I17" s="3"/>
      <c r="J17" s="3"/>
      <c r="K17" s="3"/>
      <c r="L17" s="3"/>
      <c r="M17" s="3"/>
      <c r="N17" s="3">
        <v>69255</v>
      </c>
      <c r="O17" s="3"/>
      <c r="Q17" s="3">
        <f>SUM(OSRRefD14_0x)+IFERROR(SUM(OSRRefE14_0x),0)</f>
        <v>69255</v>
      </c>
    </row>
    <row r="18" spans="1:17" s="39" customFormat="1" ht="15" hidden="1" customHeight="1" outlineLevel="1" x14ac:dyDescent="0.3">
      <c r="A18" s="24"/>
      <c r="B18" s="11" t="str">
        <f>CONCATENATE("          ","5053"," - ","PURCHASES @ COST-FOOD")</f>
        <v xml:space="preserve">          5053 - PURCHASES @ COST-FOOD</v>
      </c>
      <c r="C18" s="23"/>
      <c r="D18" s="3"/>
      <c r="E18" s="3">
        <v>70670.23</v>
      </c>
      <c r="F18" s="3">
        <v>140691.65</v>
      </c>
      <c r="G18" s="3">
        <v>155128.06</v>
      </c>
      <c r="H18" s="3">
        <v>113694.23</v>
      </c>
      <c r="I18" s="3">
        <v>60607.13</v>
      </c>
      <c r="J18" s="3">
        <v>47573.17</v>
      </c>
      <c r="K18" s="3">
        <v>108401.09</v>
      </c>
      <c r="L18" s="3">
        <v>110158.34</v>
      </c>
      <c r="M18" s="3">
        <v>125475.39</v>
      </c>
      <c r="N18" s="3"/>
      <c r="O18" s="3"/>
      <c r="Q18" s="3">
        <f>SUM(OSRRefD14_1x)+IFERROR(SUM(OSRRefE14_1x),0)</f>
        <v>932399.28999999992</v>
      </c>
    </row>
    <row r="19" spans="1:17" s="39" customFormat="1" ht="15" hidden="1" customHeight="1" outlineLevel="1" x14ac:dyDescent="0.3">
      <c r="A19" s="24"/>
      <c r="B19" s="11" t="str">
        <f>CONCATENATE("          ","5059"," - ","PURCHASES @ COST-FOOD")</f>
        <v xml:space="preserve">          5059 - PURCHASES @ COST-FOOD</v>
      </c>
      <c r="C19" s="23"/>
      <c r="D19" s="3"/>
      <c r="E19" s="3">
        <v>-21238</v>
      </c>
      <c r="F19" s="3">
        <v>-3255</v>
      </c>
      <c r="G19" s="3">
        <v>-1815</v>
      </c>
      <c r="H19" s="3">
        <v>2470</v>
      </c>
      <c r="I19" s="3">
        <v>16784</v>
      </c>
      <c r="J19" s="3">
        <v>-14132</v>
      </c>
      <c r="K19" s="3">
        <v>-3222</v>
      </c>
      <c r="L19" s="3">
        <v>-1372</v>
      </c>
      <c r="M19" s="3">
        <v>5462</v>
      </c>
      <c r="N19" s="3"/>
      <c r="O19" s="3"/>
      <c r="Q19" s="3">
        <f>SUM(OSRRefD14_2x)+IFERROR(SUM(OSRRefE14_2x),0)</f>
        <v>-20318</v>
      </c>
    </row>
    <row r="20" spans="1:17" ht="15" customHeight="1" x14ac:dyDescent="0.3">
      <c r="A20" s="6"/>
      <c r="B20" s="7"/>
      <c r="C20" s="7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Q20" s="4"/>
    </row>
    <row r="21" spans="1:17" s="37" customFormat="1" ht="15" customHeight="1" x14ac:dyDescent="0.3">
      <c r="A21" s="7"/>
      <c r="B21" s="18" t="s">
        <v>285</v>
      </c>
      <c r="C21" s="18"/>
      <c r="D21" s="9">
        <f t="shared" ref="D21:O21" si="0">IFERROR(+D10-D16,0)</f>
        <v>0</v>
      </c>
      <c r="E21" s="9">
        <f t="shared" si="0"/>
        <v>161010.38</v>
      </c>
      <c r="F21" s="9">
        <f t="shared" si="0"/>
        <v>440606.93000000005</v>
      </c>
      <c r="G21" s="9">
        <f t="shared" si="0"/>
        <v>367745.67</v>
      </c>
      <c r="H21" s="9">
        <f t="shared" si="0"/>
        <v>298055.91000000003</v>
      </c>
      <c r="I21" s="9">
        <f t="shared" si="0"/>
        <v>233243.03000000003</v>
      </c>
      <c r="J21" s="9">
        <f t="shared" si="0"/>
        <v>172422.03999999998</v>
      </c>
      <c r="K21" s="9">
        <f t="shared" si="0"/>
        <v>351926.63</v>
      </c>
      <c r="L21" s="9">
        <f t="shared" si="0"/>
        <v>340402.41000000003</v>
      </c>
      <c r="M21" s="9">
        <f t="shared" si="0"/>
        <v>426728.77</v>
      </c>
      <c r="N21" s="9">
        <f t="shared" si="0"/>
        <v>173745</v>
      </c>
      <c r="O21" s="9">
        <f t="shared" si="0"/>
        <v>0</v>
      </c>
      <c r="Q21" s="9">
        <f>IFERROR(+Q10-Q16,0)</f>
        <v>2965886.7700000005</v>
      </c>
    </row>
    <row r="22" spans="1:17" s="38" customFormat="1" ht="15" customHeight="1" x14ac:dyDescent="0.3">
      <c r="B22" s="17"/>
      <c r="C22" s="17"/>
      <c r="D22" s="5">
        <f t="shared" ref="D22:O22" si="1">IFERROR(D21/D10,0)</f>
        <v>0</v>
      </c>
      <c r="E22" s="5">
        <f t="shared" si="1"/>
        <v>0.7651035120691575</v>
      </c>
      <c r="F22" s="5">
        <f t="shared" si="1"/>
        <v>0.76223825546163837</v>
      </c>
      <c r="G22" s="5">
        <f t="shared" si="1"/>
        <v>0.70576625786502034</v>
      </c>
      <c r="H22" s="5">
        <f t="shared" si="1"/>
        <v>0.71955919381418787</v>
      </c>
      <c r="I22" s="5">
        <f t="shared" si="1"/>
        <v>0.75086085187797758</v>
      </c>
      <c r="J22" s="5">
        <f t="shared" si="1"/>
        <v>0.83755635598997991</v>
      </c>
      <c r="K22" s="5">
        <f t="shared" si="1"/>
        <v>0.76990204804262785</v>
      </c>
      <c r="L22" s="5">
        <f t="shared" si="1"/>
        <v>0.75781597379720667</v>
      </c>
      <c r="M22" s="5">
        <f t="shared" si="1"/>
        <v>0.76520470598395285</v>
      </c>
      <c r="N22" s="5">
        <f t="shared" si="1"/>
        <v>0.71499999999999997</v>
      </c>
      <c r="O22" s="5">
        <f t="shared" si="1"/>
        <v>0</v>
      </c>
      <c r="P22" s="19"/>
      <c r="Q22" s="5">
        <f>IFERROR(Q21/Q10,0)</f>
        <v>0.75138565135966751</v>
      </c>
    </row>
    <row r="23" spans="1:17" ht="15" customHeight="1" x14ac:dyDescent="0.3">
      <c r="A23" s="6"/>
      <c r="B23" s="7"/>
      <c r="C23" s="6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Q23" s="2"/>
    </row>
    <row r="24" spans="1:17" s="37" customFormat="1" ht="15" customHeight="1" x14ac:dyDescent="0.3">
      <c r="A24" s="7"/>
      <c r="B24" s="17" t="s">
        <v>286</v>
      </c>
      <c r="C24" s="7"/>
      <c r="D24" s="12" cm="1">
        <f t="array" ref="D24">SUM(OSRRefD20x_0)</f>
        <v>41498.81</v>
      </c>
      <c r="E24" s="12" cm="1">
        <f t="array" ref="E24">SUM(OSRRefD20x_1)</f>
        <v>93012.35</v>
      </c>
      <c r="F24" s="12" cm="1">
        <f t="array" ref="F24">SUM(OSRRefD20x_2)</f>
        <v>159024.91999999998</v>
      </c>
      <c r="G24" s="12" cm="1">
        <f t="array" ref="G24">SUM(OSRRefD20x_3)</f>
        <v>220502.02000000002</v>
      </c>
      <c r="H24" s="12" cm="1">
        <f t="array" ref="H24">SUM(OSRRefD20x_4)</f>
        <v>149818.17999999996</v>
      </c>
      <c r="I24" s="12" cm="1">
        <f t="array" ref="I24">SUM(OSRRefD20x_5)</f>
        <v>138185.60999999999</v>
      </c>
      <c r="J24" s="12" cm="1">
        <f t="array" ref="J24">SUM(OSRRefD20x_6)</f>
        <v>126154.28</v>
      </c>
      <c r="K24" s="12" cm="1">
        <f t="array" ref="K24">SUM(OSRRefD20x_7)</f>
        <v>159838.87</v>
      </c>
      <c r="L24" s="12" cm="1">
        <f t="array" ref="L24">SUM(OSRRefD20x_8)</f>
        <v>174311.68999999997</v>
      </c>
      <c r="M24" s="12" cm="1">
        <f t="array" ref="M24">SUM(OSRRefD20x_9)</f>
        <v>192317.95</v>
      </c>
      <c r="N24" s="12" cm="1">
        <f t="array" ref="N24">SUM(OSRRefE20x_0)</f>
        <v>143958.41589692302</v>
      </c>
      <c r="O24" s="12" cm="1">
        <f t="array" ref="O24">SUM(OSRRefE20x_1)</f>
        <v>89793.209896923028</v>
      </c>
      <c r="Q24" s="12" cm="1">
        <f t="array" ref="Q24">SUM(OSRRefG20x)</f>
        <v>1688416.3057938463</v>
      </c>
    </row>
    <row r="25" spans="1:17" s="42" customFormat="1" ht="15" customHeight="1" collapsed="1" x14ac:dyDescent="0.3">
      <c r="A25" s="34"/>
      <c r="B25" s="15" t="str">
        <f>CONCATENATE("     ","*Benefits                                         ")</f>
        <v xml:space="preserve">     *Benefits                                         </v>
      </c>
      <c r="C25" s="15"/>
      <c r="D25" s="2">
        <f>SUM(OSRRefD21_0x_0)</f>
        <v>16794.339999999997</v>
      </c>
      <c r="E25" s="2">
        <f>SUM(OSRRefD21_0x_1)</f>
        <v>19309.000000000004</v>
      </c>
      <c r="F25" s="2">
        <f>SUM(OSRRefD21_0x_2)</f>
        <v>27459.919999999998</v>
      </c>
      <c r="G25" s="2">
        <f>SUM(OSRRefD21_0x_3)</f>
        <v>33055.050000000003</v>
      </c>
      <c r="H25" s="2">
        <f>SUM(OSRRefD21_0x_4)</f>
        <v>29454.489999999998</v>
      </c>
      <c r="I25" s="2">
        <f>SUM(OSRRefD21_0x_5)</f>
        <v>28148.400000000001</v>
      </c>
      <c r="J25" s="2">
        <f>SUM(OSRRefD21_0x_6)</f>
        <v>31208.34</v>
      </c>
      <c r="K25" s="2">
        <f>SUM(OSRRefD21_0x_7)</f>
        <v>26309.539999999997</v>
      </c>
      <c r="L25" s="2">
        <f>SUM(OSRRefD21_0x_8)</f>
        <v>25938.500000000004</v>
      </c>
      <c r="M25" s="2">
        <f>SUM(OSRRefD21_0x_9)</f>
        <v>28253.299999999996</v>
      </c>
      <c r="N25" s="2">
        <f>SUM(OSRRefE21_0x_0)</f>
        <v>31913.994358461525</v>
      </c>
      <c r="O25" s="2">
        <f>SUM(OSRRefE21_0x_1)</f>
        <v>29370.788358461523</v>
      </c>
      <c r="Q25" s="3">
        <f>SUM(OSRRefD20_0x)+IFERROR(SUM(OSRRefE20_0x),0)</f>
        <v>327215.66271692305</v>
      </c>
    </row>
    <row r="26" spans="1:17" s="42" customFormat="1" ht="15" hidden="1" customHeight="1" outlineLevel="1" x14ac:dyDescent="0.3">
      <c r="A26" s="34"/>
      <c r="B26" s="11" t="str">
        <f>CONCATENATE("          ","6111"," - ","F.I.C.A.")</f>
        <v xml:space="preserve">          6111 - F.I.C.A.</v>
      </c>
      <c r="C26" s="15"/>
      <c r="D26" s="3">
        <v>1369.22</v>
      </c>
      <c r="E26" s="3">
        <v>2326.91</v>
      </c>
      <c r="F26" s="3">
        <v>3825.82</v>
      </c>
      <c r="G26" s="3">
        <v>5565.21</v>
      </c>
      <c r="H26" s="3">
        <v>3790.53</v>
      </c>
      <c r="I26" s="3">
        <v>3483.8</v>
      </c>
      <c r="J26" s="3">
        <v>2725.29</v>
      </c>
      <c r="K26" s="3">
        <v>3459.82</v>
      </c>
      <c r="L26" s="3">
        <v>3927.89</v>
      </c>
      <c r="M26" s="3">
        <v>4901.26</v>
      </c>
      <c r="N26" s="3">
        <v>3995.5842046153798</v>
      </c>
      <c r="O26" s="3">
        <v>3214.97820461538</v>
      </c>
      <c r="P26" s="10"/>
      <c r="Q26" s="3">
        <f>SUM(OSRRefD21_0_0x)+IFERROR(SUM(OSRRefE21_0_0x),0)</f>
        <v>42586.312409230763</v>
      </c>
    </row>
    <row r="27" spans="1:17" s="42" customFormat="1" ht="15" hidden="1" customHeight="1" outlineLevel="1" x14ac:dyDescent="0.3">
      <c r="A27" s="34"/>
      <c r="B27" s="11" t="str">
        <f>CONCATENATE("          ","6112"," - ","COMPENSATION INSURANCE")</f>
        <v xml:space="preserve">          6112 - COMPENSATION INSURANCE</v>
      </c>
      <c r="C27" s="15"/>
      <c r="D27" s="3">
        <v>643.47</v>
      </c>
      <c r="E27" s="3">
        <v>1059.3499999999999</v>
      </c>
      <c r="F27" s="3">
        <v>2052.29</v>
      </c>
      <c r="G27" s="3">
        <v>3753.74</v>
      </c>
      <c r="H27" s="3">
        <v>2683.52</v>
      </c>
      <c r="I27" s="3">
        <v>2427.11</v>
      </c>
      <c r="J27" s="3">
        <v>1327.72</v>
      </c>
      <c r="K27" s="3">
        <v>2815.73</v>
      </c>
      <c r="L27" s="3">
        <v>3296.73</v>
      </c>
      <c r="M27" s="3">
        <v>2359.66</v>
      </c>
      <c r="N27" s="3">
        <v>2546.4776769230798</v>
      </c>
      <c r="O27" s="3">
        <v>1592.1556769230799</v>
      </c>
      <c r="P27" s="10"/>
      <c r="Q27" s="3">
        <f>SUM(OSRRefD21_0_1x)+IFERROR(SUM(OSRRefE21_0_1x),0)</f>
        <v>26557.953353846158</v>
      </c>
    </row>
    <row r="28" spans="1:17" s="42" customFormat="1" ht="15" hidden="1" customHeight="1" outlineLevel="1" x14ac:dyDescent="0.3">
      <c r="A28" s="34"/>
      <c r="B28" s="11" t="str">
        <f>CONCATENATE("          ","6113"," - ","GROUP INSURANCE")</f>
        <v xml:space="preserve">          6113 - GROUP INSURANCE</v>
      </c>
      <c r="C28" s="15"/>
      <c r="D28" s="3">
        <v>10588.88</v>
      </c>
      <c r="E28" s="3">
        <v>10588.88</v>
      </c>
      <c r="F28" s="3">
        <v>15071.47</v>
      </c>
      <c r="G28" s="3">
        <v>13128.66</v>
      </c>
      <c r="H28" s="3">
        <v>15085.96</v>
      </c>
      <c r="I28" s="3">
        <v>15064.3</v>
      </c>
      <c r="J28" s="3">
        <v>14440.91</v>
      </c>
      <c r="K28" s="3">
        <v>14440.86</v>
      </c>
      <c r="L28" s="3">
        <v>12704.31</v>
      </c>
      <c r="M28" s="3">
        <v>12704.31</v>
      </c>
      <c r="N28" s="3">
        <v>20158.384615384599</v>
      </c>
      <c r="O28" s="3">
        <v>20158.384615384599</v>
      </c>
      <c r="P28" s="10"/>
      <c r="Q28" s="3">
        <f>SUM(OSRRefD21_0_2x)+IFERROR(SUM(OSRRefE21_0_2x),0)</f>
        <v>174135.3092307692</v>
      </c>
    </row>
    <row r="29" spans="1:17" s="42" customFormat="1" ht="15" hidden="1" customHeight="1" outlineLevel="1" x14ac:dyDescent="0.3">
      <c r="A29" s="34"/>
      <c r="B29" s="11" t="str">
        <f>CONCATENATE("          ","6114"," - ","STATE UNEMPLOYMENT INSURANCE")</f>
        <v xml:space="preserve">          6114 - STATE UNEMPLOYMENT INSURANCE</v>
      </c>
      <c r="C29" s="15"/>
      <c r="D29" s="3">
        <v>46.47</v>
      </c>
      <c r="E29" s="3">
        <v>76.510000000000005</v>
      </c>
      <c r="F29" s="3">
        <v>148.22999999999999</v>
      </c>
      <c r="G29" s="3">
        <v>271.10000000000002</v>
      </c>
      <c r="H29" s="3">
        <v>193.82</v>
      </c>
      <c r="I29" s="3">
        <v>175.29</v>
      </c>
      <c r="J29" s="3">
        <v>95.89</v>
      </c>
      <c r="K29" s="3">
        <v>203.35</v>
      </c>
      <c r="L29" s="3">
        <v>238.09</v>
      </c>
      <c r="M29" s="3">
        <v>170.41</v>
      </c>
      <c r="N29" s="3">
        <v>141.09770769230801</v>
      </c>
      <c r="O29" s="3">
        <v>88.219707692307693</v>
      </c>
      <c r="P29" s="10"/>
      <c r="Q29" s="3">
        <f>SUM(OSRRefD21_0_3x)+IFERROR(SUM(OSRRefE21_0_3x),0)</f>
        <v>1848.4774153846156</v>
      </c>
    </row>
    <row r="30" spans="1:17" s="42" customFormat="1" ht="15" hidden="1" customHeight="1" outlineLevel="1" x14ac:dyDescent="0.3">
      <c r="A30" s="34"/>
      <c r="B30" s="11" t="str">
        <f>CONCATENATE("          ","6115"," - ","P.E.R.S.")</f>
        <v xml:space="preserve">          6115 - P.E.R.S.</v>
      </c>
      <c r="C30" s="15"/>
      <c r="D30" s="3">
        <v>935.58</v>
      </c>
      <c r="E30" s="3">
        <v>935.58</v>
      </c>
      <c r="F30" s="3">
        <v>1179.29</v>
      </c>
      <c r="G30" s="3">
        <v>2134.5100000000002</v>
      </c>
      <c r="H30" s="3">
        <v>1479.93</v>
      </c>
      <c r="I30" s="3">
        <v>1479.97</v>
      </c>
      <c r="J30" s="3">
        <v>988.61</v>
      </c>
      <c r="K30" s="3">
        <v>806.64</v>
      </c>
      <c r="L30" s="3">
        <v>951.18</v>
      </c>
      <c r="M30" s="3">
        <v>1311.04</v>
      </c>
      <c r="N30" s="3">
        <v>1246.0870769230801</v>
      </c>
      <c r="O30" s="3">
        <v>1246.0870769230801</v>
      </c>
      <c r="P30" s="10"/>
      <c r="Q30" s="3">
        <f>SUM(OSRRefD21_0_4x)+IFERROR(SUM(OSRRefE21_0_4x),0)</f>
        <v>14694.504153846163</v>
      </c>
    </row>
    <row r="31" spans="1:17" s="42" customFormat="1" ht="15" hidden="1" customHeight="1" outlineLevel="1" x14ac:dyDescent="0.3">
      <c r="A31" s="34"/>
      <c r="B31" s="11" t="str">
        <f>CONCATENATE("          ","6116"," - ","EDUCATIONAL BENEFITS")</f>
        <v xml:space="preserve">          6116 - EDUCATIONAL BENEFITS</v>
      </c>
      <c r="C31" s="15"/>
      <c r="D31" s="3"/>
      <c r="E31" s="3"/>
      <c r="F31" s="3"/>
      <c r="G31" s="3"/>
      <c r="H31" s="3"/>
      <c r="I31" s="3"/>
      <c r="J31" s="3"/>
      <c r="K31" s="3"/>
      <c r="L31" s="3"/>
      <c r="M31" s="3"/>
      <c r="N31" s="3">
        <v>0</v>
      </c>
      <c r="O31" s="3">
        <v>0</v>
      </c>
      <c r="P31" s="10"/>
      <c r="Q31" s="3">
        <f>SUM(OSRRefD21_0_5x)+IFERROR(SUM(OSRRefE21_0_5x),0)</f>
        <v>0</v>
      </c>
    </row>
    <row r="32" spans="1:17" s="42" customFormat="1" ht="15" hidden="1" customHeight="1" outlineLevel="1" x14ac:dyDescent="0.3">
      <c r="A32" s="34"/>
      <c r="B32" s="11" t="str">
        <f>CONCATENATE("          ","6117"," - ","RETIREMENT STAFF HOURLY")</f>
        <v xml:space="preserve">          6117 - RETIREMENT STAFF HOURLY</v>
      </c>
      <c r="C32" s="15"/>
      <c r="D32" s="3">
        <v>346.42</v>
      </c>
      <c r="E32" s="3">
        <v>576.29</v>
      </c>
      <c r="F32" s="3">
        <v>277.60000000000002</v>
      </c>
      <c r="G32" s="3">
        <v>508.99</v>
      </c>
      <c r="H32" s="3">
        <v>585.89</v>
      </c>
      <c r="I32" s="3">
        <v>587.01</v>
      </c>
      <c r="J32" s="3">
        <v>764.11</v>
      </c>
      <c r="K32" s="3">
        <v>557.12</v>
      </c>
      <c r="L32" s="3">
        <v>559.08000000000004</v>
      </c>
      <c r="M32" s="3">
        <v>497.69</v>
      </c>
      <c r="N32" s="3"/>
      <c r="O32" s="3"/>
      <c r="P32" s="10"/>
      <c r="Q32" s="3">
        <f>SUM(OSRRefD21_0_6x)+IFERROR(SUM(OSRRefE21_0_6x),0)</f>
        <v>5260.2</v>
      </c>
    </row>
    <row r="33" spans="1:17" s="42" customFormat="1" ht="15" hidden="1" customHeight="1" outlineLevel="1" x14ac:dyDescent="0.3">
      <c r="A33" s="34"/>
      <c r="B33" s="11" t="str">
        <f>CONCATENATE("          ","6118"," - ","VACATION")</f>
        <v xml:space="preserve">          6118 - VACATION</v>
      </c>
      <c r="C33" s="15"/>
      <c r="D33" s="3">
        <v>1447.81</v>
      </c>
      <c r="E33" s="3">
        <v>2025.74</v>
      </c>
      <c r="F33" s="3">
        <v>2232.8200000000002</v>
      </c>
      <c r="G33" s="3">
        <v>3034.41</v>
      </c>
      <c r="H33" s="3">
        <v>2143.64</v>
      </c>
      <c r="I33" s="3">
        <v>1986.56</v>
      </c>
      <c r="J33" s="3">
        <v>4595.7299999999996</v>
      </c>
      <c r="K33" s="3">
        <v>1485.91</v>
      </c>
      <c r="L33" s="3">
        <v>1441.04</v>
      </c>
      <c r="M33" s="3">
        <v>2257.14</v>
      </c>
      <c r="N33" s="3">
        <v>1810.68153846154</v>
      </c>
      <c r="O33" s="3">
        <v>1810.68153846154</v>
      </c>
      <c r="P33" s="10"/>
      <c r="Q33" s="3">
        <f>SUM(OSRRefD21_0_7x)+IFERROR(SUM(OSRRefE21_0_7x),0)</f>
        <v>26272.16307692308</v>
      </c>
    </row>
    <row r="34" spans="1:17" s="42" customFormat="1" ht="15" hidden="1" customHeight="1" outlineLevel="1" x14ac:dyDescent="0.3">
      <c r="A34" s="34"/>
      <c r="B34" s="11" t="str">
        <f>CONCATENATE("          ","6119"," - ","SICK LEAVE")</f>
        <v xml:space="preserve">          6119 - SICK LEAVE</v>
      </c>
      <c r="C34" s="15"/>
      <c r="D34" s="3">
        <v>850.14</v>
      </c>
      <c r="E34" s="3">
        <v>1239.22</v>
      </c>
      <c r="F34" s="3">
        <v>1593.46</v>
      </c>
      <c r="G34" s="3">
        <v>2581.14</v>
      </c>
      <c r="H34" s="3">
        <v>1837.25</v>
      </c>
      <c r="I34" s="3">
        <v>1649.06</v>
      </c>
      <c r="J34" s="3">
        <v>5569.79</v>
      </c>
      <c r="K34" s="3">
        <v>1429.52</v>
      </c>
      <c r="L34" s="3">
        <v>1429.52</v>
      </c>
      <c r="M34" s="3">
        <v>2227.35</v>
      </c>
      <c r="N34" s="3">
        <v>2015.68153846154</v>
      </c>
      <c r="O34" s="3">
        <v>1260.2815384615401</v>
      </c>
      <c r="P34" s="10"/>
      <c r="Q34" s="3">
        <f>SUM(OSRRefD21_0_8x)+IFERROR(SUM(OSRRefE21_0_8x),0)</f>
        <v>23682.41307692308</v>
      </c>
    </row>
    <row r="35" spans="1:17" s="42" customFormat="1" ht="15" hidden="1" customHeight="1" outlineLevel="1" x14ac:dyDescent="0.3">
      <c r="A35" s="34"/>
      <c r="B35" s="11" t="str">
        <f>CONCATENATE("          ","6156"," - ","EMPLOYEE MEALS")</f>
        <v xml:space="preserve">          6156 - EMPLOYEE MEALS</v>
      </c>
      <c r="C35" s="15"/>
      <c r="D35" s="3">
        <v>566.35</v>
      </c>
      <c r="E35" s="3">
        <v>480.52</v>
      </c>
      <c r="F35" s="3">
        <v>1078.94</v>
      </c>
      <c r="G35" s="3">
        <v>2077.29</v>
      </c>
      <c r="H35" s="3">
        <v>1653.95</v>
      </c>
      <c r="I35" s="3">
        <v>1295.3</v>
      </c>
      <c r="J35" s="3">
        <v>700.29</v>
      </c>
      <c r="K35" s="3">
        <v>1110.5899999999999</v>
      </c>
      <c r="L35" s="3">
        <v>1390.66</v>
      </c>
      <c r="M35" s="3">
        <v>1824.44</v>
      </c>
      <c r="N35" s="3"/>
      <c r="O35" s="3"/>
      <c r="P35" s="10"/>
      <c r="Q35" s="3">
        <f>SUM(OSRRefD21_0_9x)+IFERROR(SUM(OSRRefE21_0_9x),0)</f>
        <v>12178.33</v>
      </c>
    </row>
    <row r="36" spans="1:17" s="42" customFormat="1" ht="15" customHeight="1" collapsed="1" x14ac:dyDescent="0.3">
      <c r="A36" s="34"/>
      <c r="B36" s="15" t="str">
        <f>CONCATENATE("     ","*Payroll                                          ")</f>
        <v xml:space="preserve">     *Payroll                                          </v>
      </c>
      <c r="C36" s="15"/>
      <c r="D36" s="2">
        <f>SUM(OSRRefD21_1x_0)</f>
        <v>18875.27</v>
      </c>
      <c r="E36" s="2">
        <f>SUM(OSRRefD21_1x_1)</f>
        <v>38013.68</v>
      </c>
      <c r="F36" s="2">
        <f>SUM(OSRRefD21_1x_2)</f>
        <v>62148.71</v>
      </c>
      <c r="G36" s="2">
        <f>SUM(OSRRefD21_1x_3)</f>
        <v>111131.22000000002</v>
      </c>
      <c r="H36" s="2">
        <f>SUM(OSRRefD21_1x_4)</f>
        <v>73015.17</v>
      </c>
      <c r="I36" s="2">
        <f>SUM(OSRRefD21_1x_5)</f>
        <v>72762.149999999994</v>
      </c>
      <c r="J36" s="2">
        <f>SUM(OSRRefD21_1x_6)</f>
        <v>62671.24</v>
      </c>
      <c r="K36" s="2">
        <f>SUM(OSRRefD21_1x_7)</f>
        <v>81249.38</v>
      </c>
      <c r="L36" s="2">
        <f>SUM(OSRRefD21_1x_8)</f>
        <v>88317.400000000009</v>
      </c>
      <c r="M36" s="2">
        <f>SUM(OSRRefD21_1x_9)</f>
        <v>90812.49</v>
      </c>
      <c r="N36" s="2">
        <f>SUM(OSRRefE21_1x_0)</f>
        <v>64118.421538461502</v>
      </c>
      <c r="O36" s="2">
        <f>SUM(OSRRefE21_1x_1)</f>
        <v>38938.421538461502</v>
      </c>
      <c r="Q36" s="3">
        <f>SUM(OSRRefD20_1x)+IFERROR(SUM(OSRRefE20_1x),0)</f>
        <v>802053.55307692301</v>
      </c>
    </row>
    <row r="37" spans="1:17" s="42" customFormat="1" ht="15" hidden="1" customHeight="1" outlineLevel="1" x14ac:dyDescent="0.3">
      <c r="A37" s="34"/>
      <c r="B37" s="11" t="str">
        <f>CONCATENATE("          ","6001"," - ","ADMINISTRATIVE SALARIES")</f>
        <v xml:space="preserve">          6001 - ADMINISTRATIVE SALARIES</v>
      </c>
      <c r="C37" s="15"/>
      <c r="D37" s="3"/>
      <c r="E37" s="3"/>
      <c r="F37" s="3"/>
      <c r="G37" s="3"/>
      <c r="H37" s="3"/>
      <c r="I37" s="3"/>
      <c r="J37" s="3"/>
      <c r="K37" s="3"/>
      <c r="L37" s="3"/>
      <c r="M37" s="3"/>
      <c r="N37" s="3">
        <v>0</v>
      </c>
      <c r="O37" s="3">
        <v>0</v>
      </c>
      <c r="P37" s="10"/>
      <c r="Q37" s="3">
        <f>SUM(OSRRefD21_1_0x)+IFERROR(SUM(OSRRefE21_1_0x),0)</f>
        <v>0</v>
      </c>
    </row>
    <row r="38" spans="1:17" s="42" customFormat="1" ht="15" hidden="1" customHeight="1" outlineLevel="1" x14ac:dyDescent="0.3">
      <c r="A38" s="34"/>
      <c r="B38" s="11" t="str">
        <f>CONCATENATE("          ","6002"," - ","STAFF SALARIES")</f>
        <v xml:space="preserve">          6002 - STAFF SALARIES</v>
      </c>
      <c r="C38" s="15"/>
      <c r="D38" s="3">
        <v>10229.52</v>
      </c>
      <c r="E38" s="3">
        <v>10797.37</v>
      </c>
      <c r="F38" s="3">
        <v>14821.74</v>
      </c>
      <c r="G38" s="3">
        <v>19740.43</v>
      </c>
      <c r="H38" s="3">
        <v>15887.18</v>
      </c>
      <c r="I38" s="3">
        <v>14311.48</v>
      </c>
      <c r="J38" s="3">
        <v>10425.129999999999</v>
      </c>
      <c r="K38" s="3">
        <v>8028.65</v>
      </c>
      <c r="L38" s="3">
        <v>10762.11</v>
      </c>
      <c r="M38" s="3">
        <v>12651.33</v>
      </c>
      <c r="N38" s="3">
        <v>13620.0215384615</v>
      </c>
      <c r="O38" s="3">
        <v>13620.0215384615</v>
      </c>
      <c r="P38" s="10"/>
      <c r="Q38" s="3">
        <f>SUM(OSRRefD21_1_1x)+IFERROR(SUM(OSRRefE21_1_1x),0)</f>
        <v>154894.983076923</v>
      </c>
    </row>
    <row r="39" spans="1:17" s="42" customFormat="1" ht="15" hidden="1" customHeight="1" outlineLevel="1" x14ac:dyDescent="0.3">
      <c r="A39" s="34"/>
      <c r="B39" s="11" t="str">
        <f>CONCATENATE("          ","6003"," - ","STAFF HOURLY-9 MONTH")</f>
        <v xml:space="preserve">          6003 - STAFF HOURLY-9 MONTH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/>
      <c r="N39" s="3">
        <v>0</v>
      </c>
      <c r="O39" s="3">
        <v>0</v>
      </c>
      <c r="P39" s="10"/>
      <c r="Q39" s="3">
        <f>SUM(OSRRefD21_1_2x)+IFERROR(SUM(OSRRefE21_1_2x),0)</f>
        <v>0</v>
      </c>
    </row>
    <row r="40" spans="1:17" s="42" customFormat="1" ht="15" hidden="1" customHeight="1" outlineLevel="1" x14ac:dyDescent="0.3">
      <c r="A40" s="34"/>
      <c r="B40" s="11" t="str">
        <f>CONCATENATE("          ","6004"," - ","STAFF HOURLY")</f>
        <v xml:space="preserve">          6004 - STAFF HOURLY</v>
      </c>
      <c r="C40" s="15"/>
      <c r="D40" s="3">
        <v>7226.75</v>
      </c>
      <c r="E40" s="3">
        <v>14603.12</v>
      </c>
      <c r="F40" s="3">
        <v>24955.32</v>
      </c>
      <c r="G40" s="3">
        <v>37115.93</v>
      </c>
      <c r="H40" s="3">
        <v>24904.15</v>
      </c>
      <c r="I40" s="3">
        <v>21410.66</v>
      </c>
      <c r="J40" s="3">
        <v>20824.939999999999</v>
      </c>
      <c r="K40" s="3">
        <v>34826.129999999997</v>
      </c>
      <c r="L40" s="3">
        <v>21343.42</v>
      </c>
      <c r="M40" s="3">
        <v>35891.199999999997</v>
      </c>
      <c r="N40" s="3">
        <v>35518.400000000001</v>
      </c>
      <c r="O40" s="3">
        <v>25318.400000000001</v>
      </c>
      <c r="P40" s="10"/>
      <c r="Q40" s="3">
        <f>SUM(OSRRefD21_1_3x)+IFERROR(SUM(OSRRefE21_1_3x),0)</f>
        <v>303938.42</v>
      </c>
    </row>
    <row r="41" spans="1:17" s="42" customFormat="1" ht="15" hidden="1" customHeight="1" outlineLevel="1" x14ac:dyDescent="0.3">
      <c r="A41" s="34"/>
      <c r="B41" s="11" t="str">
        <f>CONCATENATE("          ","6005"," - ","TEMPORARY WAGES-HOURLY")</f>
        <v xml:space="preserve">          6005 - TEMPORARY WAGES-HOURLY</v>
      </c>
      <c r="C41" s="15"/>
      <c r="D41" s="3"/>
      <c r="E41" s="3">
        <v>1423.04</v>
      </c>
      <c r="F41" s="3">
        <v>8671.5400000000009</v>
      </c>
      <c r="G41" s="3">
        <v>36290.46</v>
      </c>
      <c r="H41" s="3">
        <v>7163.2</v>
      </c>
      <c r="I41" s="3">
        <v>13574.24</v>
      </c>
      <c r="J41" s="3">
        <v>12820.75</v>
      </c>
      <c r="K41" s="3">
        <v>6773.04</v>
      </c>
      <c r="L41" s="3">
        <v>6993.76</v>
      </c>
      <c r="M41" s="3">
        <v>8928.9699999999993</v>
      </c>
      <c r="N41" s="3">
        <v>0</v>
      </c>
      <c r="O41" s="3">
        <v>0</v>
      </c>
      <c r="P41" s="10"/>
      <c r="Q41" s="3">
        <f>SUM(OSRRefD21_1_4x)+IFERROR(SUM(OSRRefE21_1_4x),0)</f>
        <v>102638.99999999999</v>
      </c>
    </row>
    <row r="42" spans="1:17" s="42" customFormat="1" ht="15" hidden="1" customHeight="1" outlineLevel="1" x14ac:dyDescent="0.3">
      <c r="A42" s="34"/>
      <c r="B42" s="11" t="str">
        <f>CONCATENATE("          ","6006"," - ","TEMPORARY PART TIME")</f>
        <v xml:space="preserve">          6006 - TEMPORARY PART TIME</v>
      </c>
      <c r="C42" s="15"/>
      <c r="D42" s="3"/>
      <c r="E42" s="3"/>
      <c r="F42" s="3"/>
      <c r="G42" s="3"/>
      <c r="H42" s="3"/>
      <c r="I42" s="3"/>
      <c r="J42" s="3"/>
      <c r="K42" s="3"/>
      <c r="L42" s="3">
        <v>1379</v>
      </c>
      <c r="M42" s="3">
        <v>2590.8000000000002</v>
      </c>
      <c r="N42" s="3">
        <v>0</v>
      </c>
      <c r="O42" s="3">
        <v>0</v>
      </c>
      <c r="P42" s="10"/>
      <c r="Q42" s="3">
        <f>SUM(OSRRefD21_1_5x)+IFERROR(SUM(OSRRefE21_1_5x),0)</f>
        <v>3969.8</v>
      </c>
    </row>
    <row r="43" spans="1:17" s="42" customFormat="1" ht="15" hidden="1" customHeight="1" outlineLevel="1" x14ac:dyDescent="0.3">
      <c r="A43" s="34"/>
      <c r="B43" s="11" t="str">
        <f>CONCATENATE("          ","6007"," - ","STUDENT HOURLY")</f>
        <v xml:space="preserve">          6007 - STUDENT HOURLY</v>
      </c>
      <c r="C43" s="15"/>
      <c r="D43" s="3">
        <v>1419</v>
      </c>
      <c r="E43" s="3">
        <v>11190.15</v>
      </c>
      <c r="F43" s="3">
        <v>13700.11</v>
      </c>
      <c r="G43" s="3">
        <v>15549.24</v>
      </c>
      <c r="H43" s="3">
        <v>17741.580000000002</v>
      </c>
      <c r="I43" s="3">
        <v>15272.48</v>
      </c>
      <c r="J43" s="3">
        <v>16826.29</v>
      </c>
      <c r="K43" s="3">
        <v>10335.65</v>
      </c>
      <c r="L43" s="3">
        <v>33610.559999999998</v>
      </c>
      <c r="M43" s="3">
        <v>9165.19</v>
      </c>
      <c r="N43" s="3">
        <v>0</v>
      </c>
      <c r="O43" s="3">
        <v>0</v>
      </c>
      <c r="P43" s="10"/>
      <c r="Q43" s="3">
        <f>SUM(OSRRefD21_1_6x)+IFERROR(SUM(OSRRefE21_1_6x),0)</f>
        <v>144810.25</v>
      </c>
    </row>
    <row r="44" spans="1:17" s="42" customFormat="1" ht="15" hidden="1" customHeight="1" outlineLevel="1" x14ac:dyDescent="0.3">
      <c r="A44" s="34"/>
      <c r="B44" s="11" t="str">
        <f>CONCATENATE("          ","6008"," - ","STUDENT HOURLY-FICA EXEMPT")</f>
        <v xml:space="preserve">          6008 - STUDENT HOURLY-FICA EXEMPT</v>
      </c>
      <c r="C44" s="15"/>
      <c r="D44" s="3"/>
      <c r="E44" s="3"/>
      <c r="F44" s="3"/>
      <c r="G44" s="3">
        <v>2435.16</v>
      </c>
      <c r="H44" s="3">
        <v>7319.06</v>
      </c>
      <c r="I44" s="3">
        <v>8193.2900000000009</v>
      </c>
      <c r="J44" s="3">
        <v>1774.13</v>
      </c>
      <c r="K44" s="3">
        <v>21285.91</v>
      </c>
      <c r="L44" s="3">
        <v>14228.55</v>
      </c>
      <c r="M44" s="3">
        <v>21585</v>
      </c>
      <c r="N44" s="3">
        <v>14980</v>
      </c>
      <c r="O44" s="3">
        <v>0</v>
      </c>
      <c r="P44" s="10"/>
      <c r="Q44" s="3">
        <f>SUM(OSRRefD21_1_7x)+IFERROR(SUM(OSRRefE21_1_7x),0)</f>
        <v>91801.1</v>
      </c>
    </row>
    <row r="45" spans="1:17" s="42" customFormat="1" ht="15" hidden="1" customHeight="1" outlineLevel="1" x14ac:dyDescent="0.3">
      <c r="A45" s="34"/>
      <c r="B45" s="11" t="str">
        <f>CONCATENATE("          ","6009"," - ","TEMPORARY-SEASONAL")</f>
        <v xml:space="preserve">          6009 - TEMPORARY-SEASONAL</v>
      </c>
      <c r="C45" s="15"/>
      <c r="D45" s="3"/>
      <c r="E45" s="3"/>
      <c r="F45" s="3"/>
      <c r="G45" s="3"/>
      <c r="H45" s="3"/>
      <c r="I45" s="3"/>
      <c r="J45" s="3"/>
      <c r="K45" s="3"/>
      <c r="L45" s="3"/>
      <c r="M45" s="3"/>
      <c r="N45" s="3">
        <v>0</v>
      </c>
      <c r="O45" s="3">
        <v>0</v>
      </c>
      <c r="P45" s="10"/>
      <c r="Q45" s="3">
        <f>SUM(OSRRefD21_1_8x)+IFERROR(SUM(OSRRefE21_1_8x),0)</f>
        <v>0</v>
      </c>
    </row>
    <row r="46" spans="1:17" s="42" customFormat="1" ht="15" hidden="1" customHeight="1" outlineLevel="1" x14ac:dyDescent="0.3">
      <c r="A46" s="34"/>
      <c r="B46" s="11" t="str">
        <f>CONCATENATE("          ","6010"," - ","GRATUITY")</f>
        <v xml:space="preserve">          6010 - GRATUITY</v>
      </c>
      <c r="C46" s="15"/>
      <c r="D46" s="3"/>
      <c r="E46" s="3"/>
      <c r="F46" s="3"/>
      <c r="G46" s="3"/>
      <c r="H46" s="3"/>
      <c r="I46" s="3"/>
      <c r="J46" s="3"/>
      <c r="K46" s="3"/>
      <c r="L46" s="3"/>
      <c r="M46" s="3"/>
      <c r="N46" s="3">
        <v>0</v>
      </c>
      <c r="O46" s="3">
        <v>0</v>
      </c>
      <c r="P46" s="10"/>
      <c r="Q46" s="3">
        <f>SUM(OSRRefD21_1_9x)+IFERROR(SUM(OSRRefE21_1_9x),0)</f>
        <v>0</v>
      </c>
    </row>
    <row r="47" spans="1:17" s="42" customFormat="1" ht="15" customHeight="1" collapsed="1" x14ac:dyDescent="0.3">
      <c r="A47" s="34"/>
      <c r="B47" s="15" t="str">
        <f>CONCATENATE("     ","Advertising/Promo                                 ")</f>
        <v xml:space="preserve">     Advertising/Promo                                 </v>
      </c>
      <c r="C47" s="15"/>
      <c r="D47" s="2">
        <f>SUM(OSRRefD21_2x_0)</f>
        <v>40.31</v>
      </c>
      <c r="E47" s="2">
        <f>SUM(OSRRefD21_2x_1)</f>
        <v>624.66</v>
      </c>
      <c r="F47" s="2">
        <f>SUM(OSRRefD21_2x_2)</f>
        <v>349.4</v>
      </c>
      <c r="G47" s="2">
        <f>SUM(OSRRefD21_2x_3)</f>
        <v>0</v>
      </c>
      <c r="H47" s="2">
        <f>SUM(OSRRefD21_2x_4)</f>
        <v>123.48</v>
      </c>
      <c r="I47" s="2">
        <f>SUM(OSRRefD21_2x_5)</f>
        <v>68.040000000000006</v>
      </c>
      <c r="J47" s="2">
        <f>SUM(OSRRefD21_2x_6)</f>
        <v>78.739999999999995</v>
      </c>
      <c r="K47" s="2">
        <f>SUM(OSRRefD21_2x_7)</f>
        <v>0</v>
      </c>
      <c r="L47" s="2">
        <f>SUM(OSRRefD21_2x_8)</f>
        <v>158.75</v>
      </c>
      <c r="M47" s="2">
        <f>SUM(OSRRefD21_2x_9)</f>
        <v>6.96</v>
      </c>
      <c r="N47" s="2">
        <f>SUM(OSRRefE21_2x_0)</f>
        <v>600</v>
      </c>
      <c r="O47" s="2">
        <f>SUM(OSRRefE21_2x_1)</f>
        <v>600</v>
      </c>
      <c r="Q47" s="3">
        <f>SUM(OSRRefD20_2x)+IFERROR(SUM(OSRRefE20_2x),0)</f>
        <v>2650.34</v>
      </c>
    </row>
    <row r="48" spans="1:17" s="42" customFormat="1" ht="15" hidden="1" customHeight="1" outlineLevel="1" x14ac:dyDescent="0.3">
      <c r="A48" s="34"/>
      <c r="B48" s="11" t="str">
        <f>CONCATENATE("          ","6362"," - ","ADVERTISING EXPENSE")</f>
        <v xml:space="preserve">          6362 - ADVERTISING EXPENSE</v>
      </c>
      <c r="C48" s="15"/>
      <c r="D48" s="3">
        <v>40.31</v>
      </c>
      <c r="E48" s="3">
        <v>624.66</v>
      </c>
      <c r="F48" s="3">
        <v>349.4</v>
      </c>
      <c r="G48" s="3"/>
      <c r="H48" s="3">
        <v>123.48</v>
      </c>
      <c r="I48" s="3">
        <v>68.040000000000006</v>
      </c>
      <c r="J48" s="3">
        <v>78.739999999999995</v>
      </c>
      <c r="K48" s="3"/>
      <c r="L48" s="3">
        <v>158.75</v>
      </c>
      <c r="M48" s="3">
        <v>6.96</v>
      </c>
      <c r="N48" s="3">
        <v>600</v>
      </c>
      <c r="O48" s="3">
        <v>600</v>
      </c>
      <c r="P48" s="10"/>
      <c r="Q48" s="3">
        <f>SUM(OSRRefD21_2_0x)+IFERROR(SUM(OSRRefE21_2_0x),0)</f>
        <v>2650.34</v>
      </c>
    </row>
    <row r="49" spans="1:17" s="42" customFormat="1" ht="15" customHeight="1" collapsed="1" x14ac:dyDescent="0.3">
      <c r="A49" s="34"/>
      <c r="B49" s="15" t="str">
        <f>CONCATENATE("     ","Bad Debts/Over/Short                              ")</f>
        <v xml:space="preserve">     Bad Debts/Over/Short                              </v>
      </c>
      <c r="C49" s="15"/>
      <c r="D49" s="2">
        <f>SUM(OSRRefD21_3x_0)</f>
        <v>0</v>
      </c>
      <c r="E49" s="2">
        <f>SUM(OSRRefD21_3x_1)</f>
        <v>0</v>
      </c>
      <c r="F49" s="2">
        <f>SUM(OSRRefD21_3x_2)</f>
        <v>0.1</v>
      </c>
      <c r="G49" s="2">
        <f>SUM(OSRRefD21_3x_3)</f>
        <v>-16</v>
      </c>
      <c r="H49" s="2">
        <f>SUM(OSRRefD21_3x_4)</f>
        <v>-8</v>
      </c>
      <c r="I49" s="2">
        <f>SUM(OSRRefD21_3x_5)</f>
        <v>0</v>
      </c>
      <c r="J49" s="2">
        <f>SUM(OSRRefD21_3x_6)</f>
        <v>0</v>
      </c>
      <c r="K49" s="2">
        <f>SUM(OSRRefD21_3x_7)</f>
        <v>0</v>
      </c>
      <c r="L49" s="2">
        <f>SUM(OSRRefD21_3x_8)</f>
        <v>0</v>
      </c>
      <c r="M49" s="2">
        <f>SUM(OSRRefD21_3x_9)</f>
        <v>0</v>
      </c>
      <c r="N49" s="2">
        <f>SUM(OSRRefE21_3x_0)</f>
        <v>15</v>
      </c>
      <c r="O49" s="2">
        <f>SUM(OSRRefE21_3x_1)</f>
        <v>15</v>
      </c>
      <c r="Q49" s="3">
        <f>SUM(OSRRefD20_3x)+IFERROR(SUM(OSRRefE20_3x),0)</f>
        <v>6.1000000000000014</v>
      </c>
    </row>
    <row r="50" spans="1:17" s="42" customFormat="1" ht="15" hidden="1" customHeight="1" outlineLevel="1" x14ac:dyDescent="0.3">
      <c r="A50" s="34"/>
      <c r="B50" s="11" t="str">
        <f>CONCATENATE("          ","6272"," - ","CASH (OVER/SHORT)")</f>
        <v xml:space="preserve">          6272 - CASH (OVER/SHORT)</v>
      </c>
      <c r="C50" s="15"/>
      <c r="D50" s="3"/>
      <c r="E50" s="3"/>
      <c r="F50" s="3">
        <v>0.1</v>
      </c>
      <c r="G50" s="3">
        <v>-16</v>
      </c>
      <c r="H50" s="3">
        <v>-8</v>
      </c>
      <c r="I50" s="3"/>
      <c r="J50" s="3"/>
      <c r="K50" s="3"/>
      <c r="L50" s="3"/>
      <c r="M50" s="3"/>
      <c r="N50" s="3">
        <v>15</v>
      </c>
      <c r="O50" s="3">
        <v>15</v>
      </c>
      <c r="P50" s="10"/>
      <c r="Q50" s="3">
        <f>SUM(OSRRefD21_3_0x)+IFERROR(SUM(OSRRefE21_3_0x),0)</f>
        <v>6.1000000000000014</v>
      </c>
    </row>
    <row r="51" spans="1:17" s="42" customFormat="1" ht="15" customHeight="1" collapsed="1" x14ac:dyDescent="0.3">
      <c r="A51" s="34"/>
      <c r="B51" s="15" t="str">
        <f>CONCATENATE("     ","Bank/card Fees                                    ")</f>
        <v xml:space="preserve">     Bank/card Fees                                    </v>
      </c>
      <c r="C51" s="15"/>
      <c r="D51" s="2">
        <f>SUM(OSRRefD21_4x_0)</f>
        <v>0</v>
      </c>
      <c r="E51" s="2">
        <f>SUM(OSRRefD21_4x_1)</f>
        <v>40.549999999999997</v>
      </c>
      <c r="F51" s="2">
        <f>SUM(OSRRefD21_4x_2)</f>
        <v>54.15</v>
      </c>
      <c r="G51" s="2">
        <f>SUM(OSRRefD21_4x_3)</f>
        <v>51.38</v>
      </c>
      <c r="H51" s="2">
        <f>SUM(OSRRefD21_4x_4)</f>
        <v>41.17</v>
      </c>
      <c r="I51" s="2">
        <f>SUM(OSRRefD21_4x_5)</f>
        <v>68.28</v>
      </c>
      <c r="J51" s="2">
        <f>SUM(OSRRefD21_4x_6)</f>
        <v>19.440000000000001</v>
      </c>
      <c r="K51" s="2">
        <f>SUM(OSRRefD21_4x_7)</f>
        <v>72.959999999999994</v>
      </c>
      <c r="L51" s="2">
        <f>SUM(OSRRefD21_4x_8)</f>
        <v>142.9</v>
      </c>
      <c r="M51" s="2">
        <f>SUM(OSRRefD21_4x_9)</f>
        <v>120.44</v>
      </c>
      <c r="N51" s="2">
        <f>SUM(OSRRefE21_4x_0)</f>
        <v>250</v>
      </c>
      <c r="O51" s="2">
        <f>SUM(OSRRefE21_4x_1)</f>
        <v>250</v>
      </c>
      <c r="Q51" s="3">
        <f>SUM(OSRRefD20_4x)+IFERROR(SUM(OSRRefE20_4x),0)</f>
        <v>1111.27</v>
      </c>
    </row>
    <row r="52" spans="1:17" s="42" customFormat="1" ht="15" hidden="1" customHeight="1" outlineLevel="1" x14ac:dyDescent="0.3">
      <c r="A52" s="34"/>
      <c r="B52" s="11" t="str">
        <f>CONCATENATE("          ","6381"," - ","BANK/CREDIT CARD FEES")</f>
        <v xml:space="preserve">          6381 - BANK/CREDIT CARD FEES</v>
      </c>
      <c r="C52" s="15"/>
      <c r="D52" s="3"/>
      <c r="E52" s="3">
        <v>40.549999999999997</v>
      </c>
      <c r="F52" s="3">
        <v>54.15</v>
      </c>
      <c r="G52" s="3">
        <v>51.38</v>
      </c>
      <c r="H52" s="3">
        <v>41.17</v>
      </c>
      <c r="I52" s="3">
        <v>68.28</v>
      </c>
      <c r="J52" s="3">
        <v>19.440000000000001</v>
      </c>
      <c r="K52" s="3">
        <v>72.959999999999994</v>
      </c>
      <c r="L52" s="3">
        <v>142.9</v>
      </c>
      <c r="M52" s="3">
        <v>120.44</v>
      </c>
      <c r="N52" s="3">
        <v>250</v>
      </c>
      <c r="O52" s="3">
        <v>250</v>
      </c>
      <c r="P52" s="10"/>
      <c r="Q52" s="3">
        <f>SUM(OSRRefD21_4_0x)+IFERROR(SUM(OSRRefE21_4_0x),0)</f>
        <v>1111.27</v>
      </c>
    </row>
    <row r="53" spans="1:17" s="42" customFormat="1" ht="15" customHeight="1" collapsed="1" x14ac:dyDescent="0.3">
      <c r="A53" s="34"/>
      <c r="B53" s="15" t="str">
        <f>CONCATENATE("     ","Depreciation                                      ")</f>
        <v xml:space="preserve">     Depreciation                                      </v>
      </c>
      <c r="C53" s="15"/>
      <c r="D53" s="2">
        <f>SUM(OSRRefD21_5x_0)</f>
        <v>273.51</v>
      </c>
      <c r="E53" s="2">
        <f>SUM(OSRRefD21_5x_1)</f>
        <v>273.51</v>
      </c>
      <c r="F53" s="2">
        <f>SUM(OSRRefD21_5x_2)</f>
        <v>273.51</v>
      </c>
      <c r="G53" s="2">
        <f>SUM(OSRRefD21_5x_3)</f>
        <v>273.51</v>
      </c>
      <c r="H53" s="2">
        <f>SUM(OSRRefD21_5x_4)</f>
        <v>273.51</v>
      </c>
      <c r="I53" s="2">
        <f>SUM(OSRRefD21_5x_5)</f>
        <v>273.51</v>
      </c>
      <c r="J53" s="2">
        <f>SUM(OSRRefD21_5x_6)</f>
        <v>273.51</v>
      </c>
      <c r="K53" s="2">
        <f>SUM(OSRRefD21_5x_7)</f>
        <v>273.51</v>
      </c>
      <c r="L53" s="2">
        <f>SUM(OSRRefD21_5x_8)</f>
        <v>273.51</v>
      </c>
      <c r="M53" s="2">
        <f>SUM(OSRRefD21_5x_9)</f>
        <v>273.51</v>
      </c>
      <c r="N53" s="2">
        <f>SUM(OSRRefE21_5x_0)</f>
        <v>0</v>
      </c>
      <c r="O53" s="2">
        <f>SUM(OSRRefE21_5x_1)</f>
        <v>0</v>
      </c>
      <c r="Q53" s="3">
        <f>SUM(OSRRefD20_5x)+IFERROR(SUM(OSRRefE20_5x),0)</f>
        <v>2735.1000000000004</v>
      </c>
    </row>
    <row r="54" spans="1:17" s="42" customFormat="1" ht="15" hidden="1" customHeight="1" outlineLevel="1" x14ac:dyDescent="0.3">
      <c r="A54" s="34"/>
      <c r="B54" s="11" t="str">
        <f>CONCATENATE("          ","6322"," - ","EQUIPMENT DEPRECIATION EXPENSE")</f>
        <v xml:space="preserve">          6322 - EQUIPMENT DEPRECIATION EXPENSE</v>
      </c>
      <c r="C54" s="15"/>
      <c r="D54" s="3">
        <v>273.51</v>
      </c>
      <c r="E54" s="3">
        <v>273.51</v>
      </c>
      <c r="F54" s="3">
        <v>273.51</v>
      </c>
      <c r="G54" s="3">
        <v>273.51</v>
      </c>
      <c r="H54" s="3">
        <v>273.51</v>
      </c>
      <c r="I54" s="3">
        <v>273.51</v>
      </c>
      <c r="J54" s="3">
        <v>273.51</v>
      </c>
      <c r="K54" s="3">
        <v>273.51</v>
      </c>
      <c r="L54" s="3">
        <v>273.51</v>
      </c>
      <c r="M54" s="3">
        <v>273.51</v>
      </c>
      <c r="N54" s="3"/>
      <c r="O54" s="3"/>
      <c r="P54" s="10"/>
      <c r="Q54" s="3">
        <f>SUM(OSRRefD21_5_0x)+IFERROR(SUM(OSRRefE21_5_0x),0)</f>
        <v>2735.1000000000004</v>
      </c>
    </row>
    <row r="55" spans="1:17" s="42" customFormat="1" ht="15" customHeight="1" collapsed="1" x14ac:dyDescent="0.3">
      <c r="A55" s="34"/>
      <c r="B55" s="15" t="str">
        <f>CONCATENATE("     ","Donations                                         ")</f>
        <v xml:space="preserve">     Donations                                         </v>
      </c>
      <c r="C55" s="15"/>
      <c r="D55" s="2">
        <f>SUM(OSRRefD21_6x_0)</f>
        <v>0</v>
      </c>
      <c r="E55" s="2">
        <f>SUM(OSRRefD21_6x_1)</f>
        <v>2140.41</v>
      </c>
      <c r="F55" s="2">
        <f>SUM(OSRRefD21_6x_2)</f>
        <v>4853.7700000000004</v>
      </c>
      <c r="G55" s="2">
        <f>SUM(OSRRefD21_6x_3)</f>
        <v>5282.99</v>
      </c>
      <c r="H55" s="2">
        <f>SUM(OSRRefD21_6x_4)</f>
        <v>4226.3900000000003</v>
      </c>
      <c r="I55" s="2">
        <f>SUM(OSRRefD21_6x_5)</f>
        <v>1911.44</v>
      </c>
      <c r="J55" s="2">
        <f>SUM(OSRRefD21_6x_6)</f>
        <v>2028.77</v>
      </c>
      <c r="K55" s="2">
        <f>SUM(OSRRefD21_6x_7)</f>
        <v>4369.66</v>
      </c>
      <c r="L55" s="2">
        <f>SUM(OSRRefD21_6x_8)</f>
        <v>3890.34</v>
      </c>
      <c r="M55" s="2">
        <f>SUM(OSRRefD21_6x_9)</f>
        <v>4862.92</v>
      </c>
      <c r="N55" s="2">
        <f>SUM(OSRRefE21_6x_0)</f>
        <v>6000</v>
      </c>
      <c r="O55" s="2">
        <f>SUM(OSRRefE21_6x_1)</f>
        <v>0</v>
      </c>
      <c r="Q55" s="3">
        <f>SUM(OSRRefD20_6x)+IFERROR(SUM(OSRRefE20_6x),0)</f>
        <v>39566.69</v>
      </c>
    </row>
    <row r="56" spans="1:17" s="42" customFormat="1" ht="15" hidden="1" customHeight="1" outlineLevel="1" x14ac:dyDescent="0.3">
      <c r="A56" s="34"/>
      <c r="B56" s="11" t="str">
        <f>CONCATENATE("          ","6399"," - ","DONATION-ON CAMPUS")</f>
        <v xml:space="preserve">          6399 - DONATION-ON CAMPUS</v>
      </c>
      <c r="C56" s="15"/>
      <c r="D56" s="3"/>
      <c r="E56" s="3">
        <v>2140.41</v>
      </c>
      <c r="F56" s="3">
        <v>4853.7700000000004</v>
      </c>
      <c r="G56" s="3">
        <v>5282.99</v>
      </c>
      <c r="H56" s="3">
        <v>4226.3900000000003</v>
      </c>
      <c r="I56" s="3">
        <v>1911.44</v>
      </c>
      <c r="J56" s="3">
        <v>2028.77</v>
      </c>
      <c r="K56" s="3">
        <v>4369.66</v>
      </c>
      <c r="L56" s="3">
        <v>3890.34</v>
      </c>
      <c r="M56" s="3">
        <v>4862.92</v>
      </c>
      <c r="N56" s="3">
        <v>6000</v>
      </c>
      <c r="O56" s="3"/>
      <c r="P56" s="10"/>
      <c r="Q56" s="3">
        <f>SUM(OSRRefD21_6_0x)+IFERROR(SUM(OSRRefE21_6_0x),0)</f>
        <v>39566.69</v>
      </c>
    </row>
    <row r="57" spans="1:17" s="42" customFormat="1" ht="15" customHeight="1" collapsed="1" x14ac:dyDescent="0.3">
      <c r="A57" s="34"/>
      <c r="B57" s="15" t="str">
        <f>CONCATENATE("     ","Employees' Appreciation                           ")</f>
        <v xml:space="preserve">     Employees' Appreciation                           </v>
      </c>
      <c r="C57" s="15"/>
      <c r="D57" s="2">
        <f>SUM(OSRRefD21_7x_0)</f>
        <v>0</v>
      </c>
      <c r="E57" s="2">
        <f>SUM(OSRRefD21_7x_1)</f>
        <v>0</v>
      </c>
      <c r="F57" s="2">
        <f>SUM(OSRRefD21_7x_2)</f>
        <v>0</v>
      </c>
      <c r="G57" s="2">
        <f>SUM(OSRRefD21_7x_3)</f>
        <v>0</v>
      </c>
      <c r="H57" s="2">
        <f>SUM(OSRRefD21_7x_4)</f>
        <v>34.47</v>
      </c>
      <c r="I57" s="2">
        <f>SUM(OSRRefD21_7x_5)</f>
        <v>0</v>
      </c>
      <c r="J57" s="2">
        <f>SUM(OSRRefD21_7x_6)</f>
        <v>0</v>
      </c>
      <c r="K57" s="2">
        <f>SUM(OSRRefD21_7x_7)</f>
        <v>0</v>
      </c>
      <c r="L57" s="2">
        <f>SUM(OSRRefD21_7x_8)</f>
        <v>0</v>
      </c>
      <c r="M57" s="2">
        <f>SUM(OSRRefD21_7x_9)</f>
        <v>0</v>
      </c>
      <c r="N57" s="2">
        <f>SUM(OSRRefE21_7x_0)</f>
        <v>200</v>
      </c>
      <c r="O57" s="2">
        <f>SUM(OSRRefE21_7x_1)</f>
        <v>0</v>
      </c>
      <c r="Q57" s="3">
        <f>SUM(OSRRefD20_7x)+IFERROR(SUM(OSRRefE20_7x),0)</f>
        <v>234.47</v>
      </c>
    </row>
    <row r="58" spans="1:17" s="42" customFormat="1" ht="15" hidden="1" customHeight="1" outlineLevel="1" x14ac:dyDescent="0.3">
      <c r="A58" s="34"/>
      <c r="B58" s="11" t="str">
        <f>CONCATENATE("          ","6277"," - ","EMPLOYEE APPRECIATION")</f>
        <v xml:space="preserve">          6277 - EMPLOYEE APPRECIATION</v>
      </c>
      <c r="C58" s="15"/>
      <c r="D58" s="3"/>
      <c r="E58" s="3"/>
      <c r="F58" s="3"/>
      <c r="G58" s="3"/>
      <c r="H58" s="3">
        <v>34.47</v>
      </c>
      <c r="I58" s="3"/>
      <c r="J58" s="3"/>
      <c r="K58" s="3"/>
      <c r="L58" s="3"/>
      <c r="M58" s="3"/>
      <c r="N58" s="3">
        <v>200</v>
      </c>
      <c r="O58" s="3"/>
      <c r="P58" s="10"/>
      <c r="Q58" s="3">
        <f>SUM(OSRRefD21_7_0x)+IFERROR(SUM(OSRRefE21_7_0x),0)</f>
        <v>234.47</v>
      </c>
    </row>
    <row r="59" spans="1:17" s="42" customFormat="1" ht="15" customHeight="1" collapsed="1" x14ac:dyDescent="0.3">
      <c r="A59" s="34"/>
      <c r="B59" s="15" t="str">
        <f>CONCATENATE("     ","Equipment Rental                                  ")</f>
        <v xml:space="preserve">     Equipment Rental                                  </v>
      </c>
      <c r="C59" s="15"/>
      <c r="D59" s="2">
        <f>SUM(OSRRefD21_8x_0)</f>
        <v>430.43</v>
      </c>
      <c r="E59" s="2">
        <f>SUM(OSRRefD21_8x_1)</f>
        <v>3767.24</v>
      </c>
      <c r="F59" s="2">
        <f>SUM(OSRRefD21_8x_2)</f>
        <v>184.94</v>
      </c>
      <c r="G59" s="2">
        <f>SUM(OSRRefD21_8x_3)</f>
        <v>1127.73</v>
      </c>
      <c r="H59" s="2">
        <f>SUM(OSRRefD21_8x_4)</f>
        <v>466.67</v>
      </c>
      <c r="I59" s="2">
        <f>SUM(OSRRefD21_8x_5)</f>
        <v>319.05</v>
      </c>
      <c r="J59" s="2">
        <f>SUM(OSRRefD21_8x_6)</f>
        <v>143.68</v>
      </c>
      <c r="K59" s="2">
        <f>SUM(OSRRefD21_8x_7)</f>
        <v>93</v>
      </c>
      <c r="L59" s="2">
        <f>SUM(OSRRefD21_8x_8)</f>
        <v>218.38</v>
      </c>
      <c r="M59" s="2">
        <f>SUM(OSRRefD21_8x_9)</f>
        <v>656.03</v>
      </c>
      <c r="N59" s="2">
        <f>SUM(OSRRefE21_8x_0)</f>
        <v>500</v>
      </c>
      <c r="O59" s="2">
        <f>SUM(OSRRefE21_8x_1)</f>
        <v>500</v>
      </c>
      <c r="Q59" s="3">
        <f>SUM(OSRRefD20_8x)+IFERROR(SUM(OSRRefE20_8x),0)</f>
        <v>8407.1500000000015</v>
      </c>
    </row>
    <row r="60" spans="1:17" s="42" customFormat="1" ht="15" hidden="1" customHeight="1" outlineLevel="1" x14ac:dyDescent="0.3">
      <c r="A60" s="34"/>
      <c r="B60" s="11" t="str">
        <f>CONCATENATE("          ","6351"," - ","EQUIPMENT RENTAL")</f>
        <v xml:space="preserve">          6351 - EQUIPMENT RENTAL</v>
      </c>
      <c r="C60" s="15"/>
      <c r="D60" s="3">
        <v>430.43</v>
      </c>
      <c r="E60" s="3">
        <v>3767.24</v>
      </c>
      <c r="F60" s="3">
        <v>184.94</v>
      </c>
      <c r="G60" s="3">
        <v>1127.73</v>
      </c>
      <c r="H60" s="3">
        <v>466.67</v>
      </c>
      <c r="I60" s="3">
        <v>319.05</v>
      </c>
      <c r="J60" s="3">
        <v>143.68</v>
      </c>
      <c r="K60" s="3">
        <v>93</v>
      </c>
      <c r="L60" s="3">
        <v>218.38</v>
      </c>
      <c r="M60" s="3">
        <v>656.03</v>
      </c>
      <c r="N60" s="3">
        <v>500</v>
      </c>
      <c r="O60" s="3">
        <v>500</v>
      </c>
      <c r="P60" s="10"/>
      <c r="Q60" s="3">
        <f>SUM(OSRRefD21_8_0x)+IFERROR(SUM(OSRRefE21_8_0x),0)</f>
        <v>8407.1500000000015</v>
      </c>
    </row>
    <row r="61" spans="1:17" s="42" customFormat="1" ht="15" customHeight="1" collapsed="1" x14ac:dyDescent="0.3">
      <c r="A61" s="34"/>
      <c r="B61" s="15" t="str">
        <f>CONCATENATE("     ","General                                           ")</f>
        <v xml:space="preserve">     General                                           </v>
      </c>
      <c r="C61" s="15"/>
      <c r="D61" s="2">
        <f>SUM(OSRRefD21_9x_0)</f>
        <v>70.069999999999993</v>
      </c>
      <c r="E61" s="2">
        <f>SUM(OSRRefD21_9x_1)</f>
        <v>2334.5500000000002</v>
      </c>
      <c r="F61" s="2">
        <f>SUM(OSRRefD21_9x_2)</f>
        <v>5273</v>
      </c>
      <c r="G61" s="2">
        <f>SUM(OSRRefD21_9x_3)</f>
        <v>0</v>
      </c>
      <c r="H61" s="2">
        <f>SUM(OSRRefD21_9x_4)</f>
        <v>0</v>
      </c>
      <c r="I61" s="2">
        <f>SUM(OSRRefD21_9x_5)</f>
        <v>0</v>
      </c>
      <c r="J61" s="2">
        <f>SUM(OSRRefD21_9x_6)</f>
        <v>387.25</v>
      </c>
      <c r="K61" s="2">
        <f>SUM(OSRRefD21_9x_7)</f>
        <v>0</v>
      </c>
      <c r="L61" s="2">
        <f>SUM(OSRRefD21_9x_8)</f>
        <v>1889.4</v>
      </c>
      <c r="M61" s="2">
        <f>SUM(OSRRefD21_9x_9)</f>
        <v>2134.44</v>
      </c>
      <c r="N61" s="2">
        <f>SUM(OSRRefE21_9x_0)</f>
        <v>150</v>
      </c>
      <c r="O61" s="2">
        <f>SUM(OSRRefE21_9x_1)</f>
        <v>150</v>
      </c>
      <c r="Q61" s="3">
        <f>SUM(OSRRefD20_9x)+IFERROR(SUM(OSRRefE20_9x),0)</f>
        <v>12388.710000000001</v>
      </c>
    </row>
    <row r="62" spans="1:17" s="42" customFormat="1" ht="15" hidden="1" customHeight="1" outlineLevel="1" x14ac:dyDescent="0.3">
      <c r="A62" s="34"/>
      <c r="B62" s="11" t="str">
        <f>CONCATENATE("          ","6279"," - ","GENERAL EXPENSE")</f>
        <v xml:space="preserve">          6279 - GENERAL EXPENSE</v>
      </c>
      <c r="C62" s="15"/>
      <c r="D62" s="3">
        <v>70.069999999999993</v>
      </c>
      <c r="E62" s="3">
        <v>2334.5500000000002</v>
      </c>
      <c r="F62" s="3">
        <v>5273</v>
      </c>
      <c r="G62" s="3"/>
      <c r="H62" s="3"/>
      <c r="I62" s="3"/>
      <c r="J62" s="3">
        <v>387.25</v>
      </c>
      <c r="K62" s="3"/>
      <c r="L62" s="3">
        <v>1889.4</v>
      </c>
      <c r="M62" s="3">
        <v>2134.44</v>
      </c>
      <c r="N62" s="3">
        <v>150</v>
      </c>
      <c r="O62" s="3">
        <v>150</v>
      </c>
      <c r="P62" s="10"/>
      <c r="Q62" s="3">
        <f>SUM(OSRRefD21_9_0x)+IFERROR(SUM(OSRRefE21_9_0x),0)</f>
        <v>12388.710000000001</v>
      </c>
    </row>
    <row r="63" spans="1:17" s="42" customFormat="1" ht="15" customHeight="1" collapsed="1" x14ac:dyDescent="0.3">
      <c r="A63" s="34"/>
      <c r="B63" s="15" t="str">
        <f>CONCATENATE("     ","R/H Commissions                                   ")</f>
        <v xml:space="preserve">     R/H Commissions                                   </v>
      </c>
      <c r="C63" s="15"/>
      <c r="D63" s="2">
        <f>SUM(OSRRefD21_10x_0)</f>
        <v>0</v>
      </c>
      <c r="E63" s="2">
        <f>SUM(OSRRefD21_10x_1)</f>
        <v>16664.169999999998</v>
      </c>
      <c r="F63" s="2">
        <f>SUM(OSRRefD21_10x_2)</f>
        <v>42285.78</v>
      </c>
      <c r="G63" s="2">
        <f>SUM(OSRRefD21_10x_3)</f>
        <v>41262.06</v>
      </c>
      <c r="H63" s="2">
        <f>SUM(OSRRefD21_10x_4)</f>
        <v>32799.5</v>
      </c>
      <c r="I63" s="2">
        <f>SUM(OSRRefD21_10x_5)</f>
        <v>24667.119999999999</v>
      </c>
      <c r="J63" s="2">
        <f>SUM(OSRRefD21_10x_6)</f>
        <v>16052.49</v>
      </c>
      <c r="K63" s="2">
        <f>SUM(OSRRefD21_10x_7)</f>
        <v>35258.730000000003</v>
      </c>
      <c r="L63" s="2">
        <f>SUM(OSRRefD21_10x_8)</f>
        <v>36858.17</v>
      </c>
      <c r="M63" s="2">
        <f>SUM(OSRRefD21_10x_9)</f>
        <v>43399.74</v>
      </c>
      <c r="N63" s="2">
        <f>SUM(OSRRefE21_10x_0)</f>
        <v>19440</v>
      </c>
      <c r="O63" s="2">
        <f>SUM(OSRRefE21_10x_1)</f>
        <v>0</v>
      </c>
      <c r="Q63" s="3">
        <f>SUM(OSRRefD20_10x)+IFERROR(SUM(OSRRefE20_10x),0)</f>
        <v>308687.76</v>
      </c>
    </row>
    <row r="64" spans="1:17" s="42" customFormat="1" ht="15" hidden="1" customHeight="1" outlineLevel="1" x14ac:dyDescent="0.3">
      <c r="A64" s="34"/>
      <c r="B64" s="11" t="str">
        <f>CONCATENATE("          ","6387"," - ","COMMISSION DUE HOUSING")</f>
        <v xml:space="preserve">          6387 - COMMISSION DUE HOUSING</v>
      </c>
      <c r="C64" s="15"/>
      <c r="D64" s="3"/>
      <c r="E64" s="3">
        <v>16664.169999999998</v>
      </c>
      <c r="F64" s="3">
        <v>42285.78</v>
      </c>
      <c r="G64" s="3">
        <v>41262.06</v>
      </c>
      <c r="H64" s="3">
        <v>32799.5</v>
      </c>
      <c r="I64" s="3">
        <v>24667.119999999999</v>
      </c>
      <c r="J64" s="3">
        <v>16052.49</v>
      </c>
      <c r="K64" s="3">
        <v>35258.730000000003</v>
      </c>
      <c r="L64" s="3">
        <v>36858.17</v>
      </c>
      <c r="M64" s="3">
        <v>43399.74</v>
      </c>
      <c r="N64" s="3">
        <v>19440</v>
      </c>
      <c r="O64" s="3"/>
      <c r="P64" s="10"/>
      <c r="Q64" s="3">
        <f>SUM(OSRRefD21_10_0x)+IFERROR(SUM(OSRRefE21_10_0x),0)</f>
        <v>308687.76</v>
      </c>
    </row>
    <row r="65" spans="1:17" s="42" customFormat="1" ht="15" customHeight="1" collapsed="1" x14ac:dyDescent="0.3">
      <c r="A65" s="34"/>
      <c r="B65" s="15" t="str">
        <f>CONCATENATE("     ","Repair and Maintenance                            ")</f>
        <v xml:space="preserve">     Repair and Maintenance                            </v>
      </c>
      <c r="C65" s="15"/>
      <c r="D65" s="2">
        <f>SUM(OSRRefD21_11x_0)</f>
        <v>0</v>
      </c>
      <c r="E65" s="2">
        <f>SUM(OSRRefD21_11x_1)</f>
        <v>0</v>
      </c>
      <c r="F65" s="2">
        <f>SUM(OSRRefD21_11x_2)</f>
        <v>111.83</v>
      </c>
      <c r="G65" s="2">
        <f>SUM(OSRRefD21_11x_3)</f>
        <v>1563.93</v>
      </c>
      <c r="H65" s="2">
        <f>SUM(OSRRefD21_11x_4)</f>
        <v>348.04</v>
      </c>
      <c r="I65" s="2">
        <f>SUM(OSRRefD21_11x_5)</f>
        <v>521.25</v>
      </c>
      <c r="J65" s="2">
        <f>SUM(OSRRefD21_11x_6)</f>
        <v>157.5</v>
      </c>
      <c r="K65" s="2">
        <f>SUM(OSRRefD21_11x_7)</f>
        <v>0</v>
      </c>
      <c r="L65" s="2">
        <f>SUM(OSRRefD21_11x_8)</f>
        <v>180.87</v>
      </c>
      <c r="M65" s="2">
        <f>SUM(OSRRefD21_11x_9)</f>
        <v>547.15</v>
      </c>
      <c r="N65" s="2">
        <f>SUM(OSRRefE21_11x_0)</f>
        <v>2050</v>
      </c>
      <c r="O65" s="2">
        <f>SUM(OSRRefE21_11x_1)</f>
        <v>250</v>
      </c>
      <c r="Q65" s="3">
        <f>SUM(OSRRefD20_11x)+IFERROR(SUM(OSRRefE20_11x),0)</f>
        <v>5730.57</v>
      </c>
    </row>
    <row r="66" spans="1:17" s="42" customFormat="1" ht="15" hidden="1" customHeight="1" outlineLevel="1" x14ac:dyDescent="0.3">
      <c r="A66" s="34"/>
      <c r="B66" s="11" t="str">
        <f>CONCATENATE("          ","6371"," - ","COMPUTER SOFTWARE MAINTENANCE")</f>
        <v xml:space="preserve">          6371 - COMPUTER SOFTWARE MAINTENANCE</v>
      </c>
      <c r="C66" s="15"/>
      <c r="D66" s="3"/>
      <c r="E66" s="3"/>
      <c r="F66" s="3"/>
      <c r="G66" s="3"/>
      <c r="H66" s="3"/>
      <c r="I66" s="3"/>
      <c r="J66" s="3"/>
      <c r="K66" s="3"/>
      <c r="L66" s="3"/>
      <c r="M66" s="3"/>
      <c r="N66" s="3">
        <v>0</v>
      </c>
      <c r="O66" s="3">
        <v>0</v>
      </c>
      <c r="P66" s="10"/>
      <c r="Q66" s="3">
        <f>SUM(OSRRefD21_11_0x)+IFERROR(SUM(OSRRefE21_11_0x),0)</f>
        <v>0</v>
      </c>
    </row>
    <row r="67" spans="1:17" s="42" customFormat="1" ht="15" hidden="1" customHeight="1" outlineLevel="1" x14ac:dyDescent="0.3">
      <c r="A67" s="34"/>
      <c r="B67" s="11" t="str">
        <f>CONCATENATE("          ","6373"," - ","MAINTENANCE CONTRACTS")</f>
        <v xml:space="preserve">          6373 - MAINTENANCE CONTRACTS</v>
      </c>
      <c r="C67" s="15"/>
      <c r="D67" s="3"/>
      <c r="E67" s="3"/>
      <c r="F67" s="3">
        <v>83.83</v>
      </c>
      <c r="G67" s="3"/>
      <c r="H67" s="3">
        <v>19</v>
      </c>
      <c r="I67" s="3">
        <v>87.37</v>
      </c>
      <c r="J67" s="3">
        <v>0</v>
      </c>
      <c r="K67" s="3"/>
      <c r="L67" s="3">
        <v>87.37</v>
      </c>
      <c r="M67" s="3"/>
      <c r="N67" s="3">
        <v>1800</v>
      </c>
      <c r="O67" s="3"/>
      <c r="P67" s="10"/>
      <c r="Q67" s="3">
        <f>SUM(OSRRefD21_11_1x)+IFERROR(SUM(OSRRefE21_11_1x),0)</f>
        <v>2077.5700000000002</v>
      </c>
    </row>
    <row r="68" spans="1:17" s="42" customFormat="1" ht="15" hidden="1" customHeight="1" outlineLevel="1" x14ac:dyDescent="0.3">
      <c r="A68" s="34"/>
      <c r="B68" s="11" t="str">
        <f>CONCATENATE("          ","6375"," - ","OUTSIDE REPAIRS &amp; MAINTENANCE")</f>
        <v xml:space="preserve">          6375 - OUTSIDE REPAIRS &amp; MAINTENANCE</v>
      </c>
      <c r="C68" s="15"/>
      <c r="D68" s="3"/>
      <c r="E68" s="3"/>
      <c r="F68" s="3">
        <v>28</v>
      </c>
      <c r="G68" s="3">
        <v>1563.93</v>
      </c>
      <c r="H68" s="3">
        <v>329.04</v>
      </c>
      <c r="I68" s="3">
        <v>433.88</v>
      </c>
      <c r="J68" s="3">
        <v>157.5</v>
      </c>
      <c r="K68" s="3"/>
      <c r="L68" s="3">
        <v>93.5</v>
      </c>
      <c r="M68" s="3">
        <v>547.15</v>
      </c>
      <c r="N68" s="3">
        <v>250</v>
      </c>
      <c r="O68" s="3">
        <v>250</v>
      </c>
      <c r="P68" s="10"/>
      <c r="Q68" s="3">
        <f>SUM(OSRRefD21_11_2x)+IFERROR(SUM(OSRRefE21_11_2x),0)</f>
        <v>3653</v>
      </c>
    </row>
    <row r="69" spans="1:17" s="42" customFormat="1" ht="15" customHeight="1" collapsed="1" x14ac:dyDescent="0.3">
      <c r="A69" s="34"/>
      <c r="B69" s="15" t="str">
        <f>CONCATENATE("     ","Services                                          ")</f>
        <v xml:space="preserve">     Services                                          </v>
      </c>
      <c r="C69" s="15"/>
      <c r="D69" s="2">
        <f>SUM(OSRRefD21_12x_0)</f>
        <v>4846.3799999999992</v>
      </c>
      <c r="E69" s="2">
        <f>SUM(OSRRefD21_12x_1)</f>
        <v>5570.37</v>
      </c>
      <c r="F69" s="2">
        <f>SUM(OSRRefD21_12x_2)</f>
        <v>5138.04</v>
      </c>
      <c r="G69" s="2">
        <f>SUM(OSRRefD21_12x_3)</f>
        <v>5870.69</v>
      </c>
      <c r="H69" s="2">
        <f>SUM(OSRRefD21_12x_4)</f>
        <v>5187.8599999999997</v>
      </c>
      <c r="I69" s="2">
        <f>SUM(OSRRefD21_12x_5)</f>
        <v>4428.8599999999997</v>
      </c>
      <c r="J69" s="2">
        <f>SUM(OSRRefD21_12x_6)</f>
        <v>6832.07</v>
      </c>
      <c r="K69" s="2">
        <f>SUM(OSRRefD21_12x_7)</f>
        <v>6287.49</v>
      </c>
      <c r="L69" s="2">
        <f>SUM(OSRRefD21_12x_8)</f>
        <v>7599.119999999999</v>
      </c>
      <c r="M69" s="2">
        <f>SUM(OSRRefD21_12x_9)</f>
        <v>7171.61</v>
      </c>
      <c r="N69" s="2">
        <f>SUM(OSRRefE21_12x_0)</f>
        <v>7150</v>
      </c>
      <c r="O69" s="2">
        <f>SUM(OSRRefE21_12x_1)</f>
        <v>7150</v>
      </c>
      <c r="Q69" s="3">
        <f>SUM(OSRRefD20_12x)+IFERROR(SUM(OSRRefE20_12x),0)</f>
        <v>73232.490000000005</v>
      </c>
    </row>
    <row r="70" spans="1:17" s="42" customFormat="1" ht="15" hidden="1" customHeight="1" outlineLevel="1" x14ac:dyDescent="0.3">
      <c r="A70" s="34"/>
      <c r="B70" s="11" t="str">
        <f>CONCATENATE("          ","6282"," - ","JANITORIAL/EXTERMINATOR EXPENS")</f>
        <v xml:space="preserve">          6282 - JANITORIAL/EXTERMINATOR EXPENS</v>
      </c>
      <c r="C70" s="15"/>
      <c r="D70" s="3">
        <v>417.52</v>
      </c>
      <c r="E70" s="3"/>
      <c r="F70" s="3">
        <v>417.32</v>
      </c>
      <c r="G70" s="3">
        <v>1251.96</v>
      </c>
      <c r="H70" s="3">
        <v>417.32</v>
      </c>
      <c r="I70" s="3"/>
      <c r="J70" s="3">
        <v>454.95</v>
      </c>
      <c r="K70" s="3">
        <v>454.95</v>
      </c>
      <c r="L70" s="3">
        <v>909.9</v>
      </c>
      <c r="M70" s="3">
        <v>454.95</v>
      </c>
      <c r="N70" s="3">
        <v>450</v>
      </c>
      <c r="O70" s="3">
        <v>450</v>
      </c>
      <c r="P70" s="10"/>
      <c r="Q70" s="3">
        <f>SUM(OSRRefD21_12_0x)+IFERROR(SUM(OSRRefE21_12_0x),0)</f>
        <v>5678.87</v>
      </c>
    </row>
    <row r="71" spans="1:17" s="42" customFormat="1" ht="15" hidden="1" customHeight="1" outlineLevel="1" x14ac:dyDescent="0.3">
      <c r="A71" s="34"/>
      <c r="B71" s="11" t="str">
        <f>CONCATENATE("          ","6284"," - ","TRASH REMOVAL EXPENSE")</f>
        <v xml:space="preserve">          6284 - TRASH REMOVAL EXPENSE</v>
      </c>
      <c r="C71" s="15"/>
      <c r="D71" s="3"/>
      <c r="E71" s="3"/>
      <c r="F71" s="3"/>
      <c r="G71" s="3"/>
      <c r="H71" s="3"/>
      <c r="I71" s="3"/>
      <c r="J71" s="3"/>
      <c r="K71" s="3"/>
      <c r="L71" s="3"/>
      <c r="M71" s="3"/>
      <c r="N71" s="3">
        <v>500</v>
      </c>
      <c r="O71" s="3">
        <v>500</v>
      </c>
      <c r="P71" s="10"/>
      <c r="Q71" s="3">
        <f>SUM(OSRRefD21_12_1x)+IFERROR(SUM(OSRRefE21_12_1x),0)</f>
        <v>1000</v>
      </c>
    </row>
    <row r="72" spans="1:17" s="42" customFormat="1" ht="15" hidden="1" customHeight="1" outlineLevel="1" x14ac:dyDescent="0.3">
      <c r="A72" s="34"/>
      <c r="B72" s="11" t="str">
        <f>CONCATENATE("          ","6285"," - ","JANITORIAL SERVICES")</f>
        <v xml:space="preserve">          6285 - JANITORIAL SERVICES</v>
      </c>
      <c r="C72" s="15"/>
      <c r="D72" s="3">
        <v>4428.8599999999997</v>
      </c>
      <c r="E72" s="3">
        <v>4428.8599999999997</v>
      </c>
      <c r="F72" s="3">
        <v>4720.72</v>
      </c>
      <c r="G72" s="3">
        <v>4447.8599999999997</v>
      </c>
      <c r="H72" s="3">
        <v>4601</v>
      </c>
      <c r="I72" s="3">
        <v>4428.8599999999997</v>
      </c>
      <c r="J72" s="3">
        <v>4428.8599999999997</v>
      </c>
      <c r="K72" s="3">
        <v>4428.8599999999997</v>
      </c>
      <c r="L72" s="3">
        <v>4428.8599999999997</v>
      </c>
      <c r="M72" s="3">
        <v>4428.8599999999997</v>
      </c>
      <c r="N72" s="3">
        <v>4700</v>
      </c>
      <c r="O72" s="3">
        <v>4700</v>
      </c>
      <c r="P72" s="10"/>
      <c r="Q72" s="3">
        <f>SUM(OSRRefD21_12_2x)+IFERROR(SUM(OSRRefE21_12_2x),0)</f>
        <v>54171.6</v>
      </c>
    </row>
    <row r="73" spans="1:17" s="42" customFormat="1" ht="15" hidden="1" customHeight="1" outlineLevel="1" x14ac:dyDescent="0.3">
      <c r="A73" s="34"/>
      <c r="B73" s="11" t="str">
        <f>CONCATENATE("          ","6286"," - ","LAUNDRY EXPENSE")</f>
        <v xml:space="preserve">          6286 - LAUNDRY EXPENSE</v>
      </c>
      <c r="C73" s="15"/>
      <c r="D73" s="3"/>
      <c r="E73" s="3">
        <v>1141.51</v>
      </c>
      <c r="F73" s="3"/>
      <c r="G73" s="3">
        <v>170.87</v>
      </c>
      <c r="H73" s="3">
        <v>169.54</v>
      </c>
      <c r="I73" s="3"/>
      <c r="J73" s="3">
        <v>1948.26</v>
      </c>
      <c r="K73" s="3">
        <v>1403.68</v>
      </c>
      <c r="L73" s="3">
        <v>2260.36</v>
      </c>
      <c r="M73" s="3">
        <v>2287.8000000000002</v>
      </c>
      <c r="N73" s="3">
        <v>1500</v>
      </c>
      <c r="O73" s="3">
        <v>1500</v>
      </c>
      <c r="P73" s="10"/>
      <c r="Q73" s="3">
        <f>SUM(OSRRefD21_12_3x)+IFERROR(SUM(OSRRefE21_12_3x),0)</f>
        <v>12382.02</v>
      </c>
    </row>
    <row r="74" spans="1:17" s="42" customFormat="1" ht="15" customHeight="1" collapsed="1" x14ac:dyDescent="0.3">
      <c r="A74" s="34"/>
      <c r="B74" s="15" t="str">
        <f>CONCATENATE("     ","Supplies                                          ")</f>
        <v xml:space="preserve">     Supplies                                          </v>
      </c>
      <c r="C74" s="15"/>
      <c r="D74" s="2">
        <f>SUM(OSRRefD21_13x_0)</f>
        <v>4.5</v>
      </c>
      <c r="E74" s="2">
        <f>SUM(OSRRefD21_13x_1)</f>
        <v>4110.21</v>
      </c>
      <c r="F74" s="2">
        <f>SUM(OSRRefD21_13x_2)</f>
        <v>10652.77</v>
      </c>
      <c r="G74" s="2">
        <f>SUM(OSRRefD21_13x_3)</f>
        <v>20510.460000000003</v>
      </c>
      <c r="H74" s="2">
        <f>SUM(OSRRefD21_13x_4)</f>
        <v>3616.43</v>
      </c>
      <c r="I74" s="2">
        <f>SUM(OSRRefD21_13x_5)</f>
        <v>4928.51</v>
      </c>
      <c r="J74" s="2">
        <f>SUM(OSRRefD21_13x_6)</f>
        <v>6137.25</v>
      </c>
      <c r="K74" s="2">
        <f>SUM(OSRRefD21_13x_7)</f>
        <v>5760.6</v>
      </c>
      <c r="L74" s="2">
        <f>SUM(OSRRefD21_13x_8)</f>
        <v>8680.3499999999985</v>
      </c>
      <c r="M74" s="2">
        <f>SUM(OSRRefD21_13x_9)</f>
        <v>13528.36</v>
      </c>
      <c r="N74" s="2">
        <f>SUM(OSRRefE21_13x_0)</f>
        <v>11396</v>
      </c>
      <c r="O74" s="2">
        <f>SUM(OSRRefE21_13x_1)</f>
        <v>11394</v>
      </c>
      <c r="Q74" s="3">
        <f>SUM(OSRRefD20_13x)+IFERROR(SUM(OSRRefE20_13x),0)</f>
        <v>100719.44</v>
      </c>
    </row>
    <row r="75" spans="1:17" s="42" customFormat="1" ht="15" hidden="1" customHeight="1" outlineLevel="1" x14ac:dyDescent="0.3">
      <c r="A75" s="34"/>
      <c r="B75" s="11" t="str">
        <f>CONCATENATE("          ","6234"," - ","EXPENDABLE SUPPLIES &amp; EQUIPMEN")</f>
        <v xml:space="preserve">          6234 - EXPENDABLE SUPPLIES &amp; EQUIPMEN</v>
      </c>
      <c r="C75" s="15"/>
      <c r="D75" s="3"/>
      <c r="E75" s="3"/>
      <c r="F75" s="3">
        <v>21.98</v>
      </c>
      <c r="G75" s="3"/>
      <c r="H75" s="3"/>
      <c r="I75" s="3"/>
      <c r="J75" s="3"/>
      <c r="K75" s="3"/>
      <c r="L75" s="3"/>
      <c r="M75" s="3"/>
      <c r="N75" s="3"/>
      <c r="O75" s="3"/>
      <c r="P75" s="10"/>
      <c r="Q75" s="3">
        <f>SUM(OSRRefD21_13_0x)+IFERROR(SUM(OSRRefE21_13_0x),0)</f>
        <v>21.98</v>
      </c>
    </row>
    <row r="76" spans="1:17" s="42" customFormat="1" ht="15" hidden="1" customHeight="1" outlineLevel="1" x14ac:dyDescent="0.3">
      <c r="A76" s="34"/>
      <c r="B76" s="11" t="str">
        <f>CONCATENATE("          ","6237"," - ","JANITORIAL SUPPLIES")</f>
        <v xml:space="preserve">          6237 - JANITORIAL SUPPLIES</v>
      </c>
      <c r="C76" s="15"/>
      <c r="D76" s="3"/>
      <c r="E76" s="3">
        <v>903.33</v>
      </c>
      <c r="F76" s="3">
        <v>4548.71</v>
      </c>
      <c r="G76" s="3"/>
      <c r="H76" s="3">
        <v>971.16</v>
      </c>
      <c r="I76" s="3">
        <v>1102.43</v>
      </c>
      <c r="J76" s="3">
        <v>1570.19</v>
      </c>
      <c r="K76" s="3"/>
      <c r="L76" s="3">
        <v>1616.28</v>
      </c>
      <c r="M76" s="3">
        <v>3703.4</v>
      </c>
      <c r="N76" s="3">
        <v>4000</v>
      </c>
      <c r="O76" s="3">
        <v>4000</v>
      </c>
      <c r="P76" s="10"/>
      <c r="Q76" s="3">
        <f>SUM(OSRRefD21_13_1x)+IFERROR(SUM(OSRRefE21_13_1x),0)</f>
        <v>22415.5</v>
      </c>
    </row>
    <row r="77" spans="1:17" s="42" customFormat="1" ht="15" hidden="1" customHeight="1" outlineLevel="1" x14ac:dyDescent="0.3">
      <c r="A77" s="34"/>
      <c r="B77" s="11" t="str">
        <f>CONCATENATE("          ","6239"," - ","KITCHEN SUPPLIES")</f>
        <v xml:space="preserve">          6239 - KITCHEN SUPPLIES</v>
      </c>
      <c r="C77" s="15"/>
      <c r="D77" s="3"/>
      <c r="E77" s="3">
        <v>400.56</v>
      </c>
      <c r="F77" s="3">
        <v>2699.53</v>
      </c>
      <c r="G77" s="3">
        <v>2456.84</v>
      </c>
      <c r="H77" s="3"/>
      <c r="I77" s="3"/>
      <c r="J77" s="3">
        <v>1268.6600000000001</v>
      </c>
      <c r="K77" s="3">
        <v>966</v>
      </c>
      <c r="L77" s="3">
        <v>1109.79</v>
      </c>
      <c r="M77" s="3">
        <v>4375.37</v>
      </c>
      <c r="N77" s="3">
        <v>1500</v>
      </c>
      <c r="O77" s="3">
        <v>1500</v>
      </c>
      <c r="P77" s="10"/>
      <c r="Q77" s="3">
        <f>SUM(OSRRefD21_13_2x)+IFERROR(SUM(OSRRefE21_13_2x),0)</f>
        <v>16276.75</v>
      </c>
    </row>
    <row r="78" spans="1:17" s="42" customFormat="1" ht="15" hidden="1" customHeight="1" outlineLevel="1" x14ac:dyDescent="0.3">
      <c r="A78" s="34"/>
      <c r="B78" s="11" t="str">
        <f>CONCATENATE("          ","6241"," - ","OFFICE EXPENSE")</f>
        <v xml:space="preserve">          6241 - OFFICE EXPENSE</v>
      </c>
      <c r="C78" s="15"/>
      <c r="D78" s="3">
        <v>4.5</v>
      </c>
      <c r="E78" s="3">
        <v>561.9</v>
      </c>
      <c r="F78" s="3">
        <v>1157.3399999999999</v>
      </c>
      <c r="G78" s="3">
        <v>1034.02</v>
      </c>
      <c r="H78" s="3">
        <v>39.69</v>
      </c>
      <c r="I78" s="3">
        <v>165.39</v>
      </c>
      <c r="J78" s="3">
        <v>318.43</v>
      </c>
      <c r="K78" s="3">
        <v>302.72000000000003</v>
      </c>
      <c r="L78" s="3">
        <v>670.42</v>
      </c>
      <c r="M78" s="3"/>
      <c r="N78" s="3">
        <v>500</v>
      </c>
      <c r="O78" s="3">
        <v>500</v>
      </c>
      <c r="P78" s="10"/>
      <c r="Q78" s="3">
        <f>SUM(OSRRefD21_13_3x)+IFERROR(SUM(OSRRefE21_13_3x),0)</f>
        <v>5254.41</v>
      </c>
    </row>
    <row r="79" spans="1:17" s="42" customFormat="1" ht="15" hidden="1" customHeight="1" outlineLevel="1" x14ac:dyDescent="0.3">
      <c r="A79" s="34"/>
      <c r="B79" s="11" t="str">
        <f>CONCATENATE("          ","6243"," - ","PAPER SUPPLIES")</f>
        <v xml:space="preserve">          6243 - PAPER SUPPLIES</v>
      </c>
      <c r="C79" s="15"/>
      <c r="D79" s="3"/>
      <c r="E79" s="3">
        <v>2244.42</v>
      </c>
      <c r="F79" s="3">
        <v>2097.87</v>
      </c>
      <c r="G79" s="3">
        <v>15068.61</v>
      </c>
      <c r="H79" s="3">
        <v>2605.58</v>
      </c>
      <c r="I79" s="3">
        <v>3660.69</v>
      </c>
      <c r="J79" s="3">
        <v>2979.97</v>
      </c>
      <c r="K79" s="3">
        <v>4197.7700000000004</v>
      </c>
      <c r="L79" s="3">
        <v>5204.4799999999996</v>
      </c>
      <c r="M79" s="3">
        <v>5449.59</v>
      </c>
      <c r="N79" s="3">
        <v>5000</v>
      </c>
      <c r="O79" s="3">
        <v>5000</v>
      </c>
      <c r="P79" s="10"/>
      <c r="Q79" s="3">
        <f>SUM(OSRRefD21_13_4x)+IFERROR(SUM(OSRRefE21_13_4x),0)</f>
        <v>53508.979999999996</v>
      </c>
    </row>
    <row r="80" spans="1:17" s="42" customFormat="1" ht="15" hidden="1" customHeight="1" outlineLevel="1" x14ac:dyDescent="0.3">
      <c r="A80" s="34"/>
      <c r="B80" s="11" t="str">
        <f>CONCATENATE("          ","6244"," - ","SAFETY SUPPLY EXPENSE")</f>
        <v xml:space="preserve">          6244 - SAFETY SUPPLY EXPENSE</v>
      </c>
      <c r="C80" s="15"/>
      <c r="D80" s="3"/>
      <c r="E80" s="3"/>
      <c r="F80" s="3"/>
      <c r="G80" s="3"/>
      <c r="H80" s="3"/>
      <c r="I80" s="3"/>
      <c r="J80" s="3"/>
      <c r="K80" s="3"/>
      <c r="L80" s="3"/>
      <c r="M80" s="3"/>
      <c r="N80" s="3">
        <v>200</v>
      </c>
      <c r="O80" s="3">
        <v>200</v>
      </c>
      <c r="P80" s="10"/>
      <c r="Q80" s="3">
        <f>SUM(OSRRefD21_13_5x)+IFERROR(SUM(OSRRefE21_13_5x),0)</f>
        <v>400</v>
      </c>
    </row>
    <row r="81" spans="1:17" s="42" customFormat="1" ht="15" hidden="1" customHeight="1" outlineLevel="1" x14ac:dyDescent="0.3">
      <c r="A81" s="34"/>
      <c r="B81" s="11" t="str">
        <f>CONCATENATE("          ","6247"," - ","STORE SUPPLIES")</f>
        <v xml:space="preserve">          6247 - STORE SUPPLIES</v>
      </c>
      <c r="C81" s="15"/>
      <c r="D81" s="3"/>
      <c r="E81" s="3"/>
      <c r="F81" s="3">
        <v>127.34</v>
      </c>
      <c r="G81" s="3">
        <v>80.59</v>
      </c>
      <c r="H81" s="3"/>
      <c r="I81" s="3"/>
      <c r="J81" s="3"/>
      <c r="K81" s="3">
        <v>294.11</v>
      </c>
      <c r="L81" s="3">
        <v>79.38</v>
      </c>
      <c r="M81" s="3"/>
      <c r="N81" s="3"/>
      <c r="O81" s="3"/>
      <c r="P81" s="10"/>
      <c r="Q81" s="3">
        <f>SUM(OSRRefD21_13_6x)+IFERROR(SUM(OSRRefE21_13_6x),0)</f>
        <v>581.42000000000007</v>
      </c>
    </row>
    <row r="82" spans="1:17" s="42" customFormat="1" ht="15" hidden="1" customHeight="1" outlineLevel="1" x14ac:dyDescent="0.3">
      <c r="A82" s="34"/>
      <c r="B82" s="11" t="str">
        <f>CONCATENATE("          ","6248"," - ","UNIFORMS")</f>
        <v xml:space="preserve">          6248 - UNIFORMS</v>
      </c>
      <c r="C82" s="15"/>
      <c r="D82" s="3"/>
      <c r="E82" s="3"/>
      <c r="F82" s="3"/>
      <c r="G82" s="3">
        <v>1870.4</v>
      </c>
      <c r="H82" s="3"/>
      <c r="I82" s="3"/>
      <c r="J82" s="3"/>
      <c r="K82" s="3"/>
      <c r="L82" s="3"/>
      <c r="M82" s="3"/>
      <c r="N82" s="3">
        <v>196</v>
      </c>
      <c r="O82" s="3">
        <v>194</v>
      </c>
      <c r="P82" s="10"/>
      <c r="Q82" s="3">
        <f>SUM(OSRRefD21_13_7x)+IFERROR(SUM(OSRRefE21_13_7x),0)</f>
        <v>2260.4</v>
      </c>
    </row>
    <row r="83" spans="1:17" s="42" customFormat="1" ht="15" customHeight="1" collapsed="1" x14ac:dyDescent="0.3">
      <c r="A83" s="34"/>
      <c r="B83" s="15" t="str">
        <f>CONCATENATE("     ","Telephone/Data Lines                              ")</f>
        <v xml:space="preserve">     Telephone/Data Lines                              </v>
      </c>
      <c r="C83" s="15"/>
      <c r="D83" s="2">
        <f>SUM(OSRRefD21_14x_0)</f>
        <v>164</v>
      </c>
      <c r="E83" s="2">
        <f>SUM(OSRRefD21_14x_1)</f>
        <v>164</v>
      </c>
      <c r="F83" s="2">
        <f>SUM(OSRRefD21_14x_2)</f>
        <v>239</v>
      </c>
      <c r="G83" s="2">
        <f>SUM(OSRRefD21_14x_3)</f>
        <v>389</v>
      </c>
      <c r="H83" s="2">
        <f>SUM(OSRRefD21_14x_4)</f>
        <v>239</v>
      </c>
      <c r="I83" s="2">
        <f>SUM(OSRRefD21_14x_5)</f>
        <v>89</v>
      </c>
      <c r="J83" s="2">
        <f>SUM(OSRRefD21_14x_6)</f>
        <v>164</v>
      </c>
      <c r="K83" s="2">
        <f>SUM(OSRRefD21_14x_7)</f>
        <v>164</v>
      </c>
      <c r="L83" s="2">
        <f>SUM(OSRRefD21_14x_8)</f>
        <v>164</v>
      </c>
      <c r="M83" s="2">
        <f>SUM(OSRRefD21_14x_9)</f>
        <v>239</v>
      </c>
      <c r="N83" s="2">
        <f>SUM(OSRRefE21_14x_0)</f>
        <v>175</v>
      </c>
      <c r="O83" s="2">
        <f>SUM(OSRRefE21_14x_1)</f>
        <v>175</v>
      </c>
      <c r="Q83" s="3">
        <f>SUM(OSRRefD20_14x)+IFERROR(SUM(OSRRefE20_14x),0)</f>
        <v>2365</v>
      </c>
    </row>
    <row r="84" spans="1:17" s="42" customFormat="1" ht="15" hidden="1" customHeight="1" outlineLevel="1" x14ac:dyDescent="0.3">
      <c r="A84" s="34"/>
      <c r="B84" s="11" t="str">
        <f>CONCATENATE("          ","6309"," - ","TELEPHONE")</f>
        <v xml:space="preserve">          6309 - TELEPHONE</v>
      </c>
      <c r="C84" s="15"/>
      <c r="D84" s="3">
        <v>164</v>
      </c>
      <c r="E84" s="3">
        <v>164</v>
      </c>
      <c r="F84" s="3">
        <v>239</v>
      </c>
      <c r="G84" s="3">
        <v>389</v>
      </c>
      <c r="H84" s="3">
        <v>239</v>
      </c>
      <c r="I84" s="3">
        <v>89</v>
      </c>
      <c r="J84" s="3">
        <v>164</v>
      </c>
      <c r="K84" s="3">
        <v>164</v>
      </c>
      <c r="L84" s="3">
        <v>164</v>
      </c>
      <c r="M84" s="3">
        <v>239</v>
      </c>
      <c r="N84" s="3">
        <v>175</v>
      </c>
      <c r="O84" s="3">
        <v>175</v>
      </c>
      <c r="P84" s="10"/>
      <c r="Q84" s="3">
        <f>SUM(OSRRefD21_14_0x)+IFERROR(SUM(OSRRefE21_14_0x),0)</f>
        <v>2365</v>
      </c>
    </row>
    <row r="85" spans="1:17" s="42" customFormat="1" ht="15" customHeight="1" collapsed="1" x14ac:dyDescent="0.3">
      <c r="A85" s="34"/>
      <c r="B85" s="15" t="str">
        <f>CONCATENATE("     ","Training                                          ")</f>
        <v xml:space="preserve">     Training                                          </v>
      </c>
      <c r="C85" s="15"/>
      <c r="D85" s="2">
        <f>SUM(OSRRefD21_15x_0)</f>
        <v>0</v>
      </c>
      <c r="E85" s="2">
        <f>SUM(OSRRefD21_15x_1)</f>
        <v>0</v>
      </c>
      <c r="F85" s="2">
        <f>SUM(OSRRefD21_15x_2)</f>
        <v>0</v>
      </c>
      <c r="G85" s="2">
        <f>SUM(OSRRefD21_15x_3)</f>
        <v>0</v>
      </c>
      <c r="H85" s="2">
        <f>SUM(OSRRefD21_15x_4)</f>
        <v>0</v>
      </c>
      <c r="I85" s="2">
        <f>SUM(OSRRefD21_15x_5)</f>
        <v>0</v>
      </c>
      <c r="J85" s="2">
        <f>SUM(OSRRefD21_15x_6)</f>
        <v>0</v>
      </c>
      <c r="K85" s="2">
        <f>SUM(OSRRefD21_15x_7)</f>
        <v>0</v>
      </c>
      <c r="L85" s="2">
        <f>SUM(OSRRefD21_15x_8)</f>
        <v>0</v>
      </c>
      <c r="M85" s="2">
        <f>SUM(OSRRefD21_15x_9)</f>
        <v>312</v>
      </c>
      <c r="N85" s="2">
        <f>SUM(OSRRefE21_15x_0)</f>
        <v>0</v>
      </c>
      <c r="O85" s="2">
        <f>SUM(OSRRefE21_15x_1)</f>
        <v>1000</v>
      </c>
      <c r="Q85" s="3">
        <f>SUM(OSRRefD20_15x)+IFERROR(SUM(OSRRefE20_15x),0)</f>
        <v>1312</v>
      </c>
    </row>
    <row r="86" spans="1:17" s="42" customFormat="1" ht="15" hidden="1" customHeight="1" outlineLevel="1" x14ac:dyDescent="0.3">
      <c r="A86" s="34"/>
      <c r="B86" s="11" t="str">
        <f>CONCATENATE("          ","6376"," - ","TRAINING")</f>
        <v xml:space="preserve">          6376 - TRAINING</v>
      </c>
      <c r="C86" s="15"/>
      <c r="D86" s="3"/>
      <c r="E86" s="3"/>
      <c r="F86" s="3"/>
      <c r="G86" s="3"/>
      <c r="H86" s="3"/>
      <c r="I86" s="3"/>
      <c r="J86" s="3"/>
      <c r="K86" s="3"/>
      <c r="L86" s="3"/>
      <c r="M86" s="3">
        <v>312</v>
      </c>
      <c r="N86" s="3"/>
      <c r="O86" s="3">
        <v>1000</v>
      </c>
      <c r="P86" s="10"/>
      <c r="Q86" s="3">
        <f>SUM(OSRRefD21_15_0x)+IFERROR(SUM(OSRRefE21_15_0x),0)</f>
        <v>1312</v>
      </c>
    </row>
    <row r="87" spans="1:17" s="40" customFormat="1" ht="15" customHeight="1" x14ac:dyDescent="0.3">
      <c r="A87" s="22"/>
      <c r="B87" s="22"/>
      <c r="C87" s="2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Q87" s="2"/>
    </row>
    <row r="88" spans="1:17" s="39" customFormat="1" ht="15" customHeight="1" x14ac:dyDescent="0.3">
      <c r="A88" s="24"/>
      <c r="B88" s="17" t="s">
        <v>287</v>
      </c>
      <c r="C88" s="23"/>
      <c r="D88" s="4">
        <f>0</f>
        <v>0</v>
      </c>
      <c r="E88" s="4">
        <f>0</f>
        <v>0</v>
      </c>
      <c r="F88" s="4">
        <f>0</f>
        <v>0</v>
      </c>
      <c r="G88" s="4">
        <f>0</f>
        <v>0</v>
      </c>
      <c r="H88" s="4">
        <f>0</f>
        <v>0</v>
      </c>
      <c r="I88" s="4">
        <f>0</f>
        <v>0</v>
      </c>
      <c r="J88" s="4">
        <f>0</f>
        <v>0</v>
      </c>
      <c r="K88" s="4">
        <f>0</f>
        <v>0</v>
      </c>
      <c r="L88" s="4">
        <f>0</f>
        <v>0</v>
      </c>
      <c r="M88" s="4">
        <f>0</f>
        <v>0</v>
      </c>
      <c r="N88" s="4"/>
      <c r="O88" s="4"/>
      <c r="Q88" s="3">
        <f>SUM(OSRRefD23_0x)+IFERROR(SUM(OSRRefE23_0x),0)</f>
        <v>0</v>
      </c>
    </row>
    <row r="89" spans="1:17" ht="15" customHeight="1" x14ac:dyDescent="0.3">
      <c r="A89" s="6"/>
      <c r="B89" s="7"/>
      <c r="C89" s="7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Q89" s="4"/>
    </row>
    <row r="90" spans="1:17" s="37" customFormat="1" ht="15" customHeight="1" x14ac:dyDescent="0.3">
      <c r="A90" s="7"/>
      <c r="B90" s="18" t="s">
        <v>288</v>
      </c>
      <c r="C90" s="18"/>
      <c r="D90" s="9">
        <f t="shared" ref="D90:O90" si="2">IFERROR(+D21-D24+D88,0)</f>
        <v>-41498.81</v>
      </c>
      <c r="E90" s="9">
        <f t="shared" si="2"/>
        <v>67998.03</v>
      </c>
      <c r="F90" s="9">
        <f t="shared" si="2"/>
        <v>281582.01000000007</v>
      </c>
      <c r="G90" s="9">
        <f t="shared" si="2"/>
        <v>147243.64999999997</v>
      </c>
      <c r="H90" s="9">
        <f t="shared" si="2"/>
        <v>148237.73000000007</v>
      </c>
      <c r="I90" s="9">
        <f t="shared" si="2"/>
        <v>95057.420000000042</v>
      </c>
      <c r="J90" s="9">
        <f t="shared" si="2"/>
        <v>46267.75999999998</v>
      </c>
      <c r="K90" s="9">
        <f t="shared" si="2"/>
        <v>192087.76</v>
      </c>
      <c r="L90" s="9">
        <f t="shared" si="2"/>
        <v>166090.72000000006</v>
      </c>
      <c r="M90" s="9">
        <f t="shared" si="2"/>
        <v>234410.82</v>
      </c>
      <c r="N90" s="9">
        <f t="shared" si="2"/>
        <v>29786.584103076981</v>
      </c>
      <c r="O90" s="9">
        <f t="shared" si="2"/>
        <v>-89793.209896923028</v>
      </c>
      <c r="Q90" s="9">
        <f>IFERROR(+Q21-Q24+Q88,0)</f>
        <v>1277470.4642061542</v>
      </c>
    </row>
    <row r="91" spans="1:17" s="38" customFormat="1" ht="15" customHeight="1" x14ac:dyDescent="0.3">
      <c r="B91" s="17"/>
      <c r="C91" s="17"/>
      <c r="D91" s="5">
        <f t="shared" ref="D91:O91" si="3">IFERROR(D90/D10,0)</f>
        <v>0</v>
      </c>
      <c r="E91" s="5">
        <f t="shared" si="3"/>
        <v>0.3231191154681079</v>
      </c>
      <c r="F91" s="5">
        <f t="shared" si="3"/>
        <v>0.48712937872262163</v>
      </c>
      <c r="G91" s="5">
        <f t="shared" si="3"/>
        <v>0.28258551584002817</v>
      </c>
      <c r="H91" s="5">
        <f t="shared" si="3"/>
        <v>0.35787185528931564</v>
      </c>
      <c r="I91" s="5">
        <f t="shared" si="3"/>
        <v>0.30601083924575467</v>
      </c>
      <c r="J91" s="5">
        <f t="shared" si="3"/>
        <v>0.22475001725660443</v>
      </c>
      <c r="K91" s="5">
        <f t="shared" si="3"/>
        <v>0.42022611311886449</v>
      </c>
      <c r="L91" s="5">
        <f t="shared" si="3"/>
        <v>0.36975707873360597</v>
      </c>
      <c r="M91" s="5">
        <f t="shared" si="3"/>
        <v>0.42034255763340561</v>
      </c>
      <c r="N91" s="5">
        <f t="shared" si="3"/>
        <v>0.12257853540360897</v>
      </c>
      <c r="O91" s="5">
        <f t="shared" si="3"/>
        <v>0</v>
      </c>
      <c r="P91" s="19"/>
      <c r="Q91" s="5">
        <f>IFERROR(Q90/Q10,0)</f>
        <v>0.32363776882833523</v>
      </c>
    </row>
    <row r="92" spans="1:17" ht="15" customHeight="1" x14ac:dyDescent="0.3">
      <c r="A92" s="6"/>
      <c r="B92" s="7"/>
      <c r="C92" s="6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Q92" s="4"/>
    </row>
    <row r="93" spans="1:17" s="37" customFormat="1" ht="15" customHeight="1" x14ac:dyDescent="0.3">
      <c r="A93" s="26"/>
      <c r="B93" s="7" t="s">
        <v>289</v>
      </c>
      <c r="C93" s="7"/>
      <c r="D93" s="4"/>
      <c r="E93" s="4">
        <v>31447.08</v>
      </c>
      <c r="F93" s="4">
        <v>66148.289999999994</v>
      </c>
      <c r="G93" s="4">
        <v>53777.2</v>
      </c>
      <c r="H93" s="4">
        <v>53948.09</v>
      </c>
      <c r="I93" s="4">
        <v>39561.599999999999</v>
      </c>
      <c r="J93" s="4">
        <v>51655.42</v>
      </c>
      <c r="K93" s="4">
        <v>40155.11</v>
      </c>
      <c r="L93" s="4">
        <v>38841.06</v>
      </c>
      <c r="M93" s="4">
        <v>44094.91</v>
      </c>
      <c r="N93" s="4">
        <v>33270</v>
      </c>
      <c r="O93" s="4">
        <v>-37665</v>
      </c>
      <c r="Q93" s="3">
        <f>SUM(OSRRefD28_0x)+IFERROR(SUM(OSRRefE28_0x),0)</f>
        <v>415233.76</v>
      </c>
    </row>
    <row r="94" spans="1:17" ht="15" customHeight="1" x14ac:dyDescent="0.3">
      <c r="A94" s="6"/>
      <c r="B94" s="7"/>
      <c r="C94" s="7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Q94" s="4"/>
    </row>
    <row r="95" spans="1:17" s="37" customFormat="1" ht="15.75" customHeight="1" x14ac:dyDescent="0.3">
      <c r="A95" s="7"/>
      <c r="B95" s="18" t="s">
        <v>290</v>
      </c>
      <c r="C95" s="18"/>
      <c r="D95" s="8">
        <f t="shared" ref="D95:O95" si="4">IFERROR(+D90-D93,0)</f>
        <v>-41498.81</v>
      </c>
      <c r="E95" s="8">
        <f t="shared" si="4"/>
        <v>36550.949999999997</v>
      </c>
      <c r="F95" s="8">
        <f t="shared" si="4"/>
        <v>215433.72000000009</v>
      </c>
      <c r="G95" s="8">
        <f t="shared" si="4"/>
        <v>93466.449999999968</v>
      </c>
      <c r="H95" s="8">
        <f t="shared" si="4"/>
        <v>94289.640000000072</v>
      </c>
      <c r="I95" s="8">
        <f t="shared" si="4"/>
        <v>55495.820000000043</v>
      </c>
      <c r="J95" s="8">
        <f t="shared" si="4"/>
        <v>-5387.660000000018</v>
      </c>
      <c r="K95" s="8">
        <f t="shared" si="4"/>
        <v>151932.65000000002</v>
      </c>
      <c r="L95" s="8">
        <f t="shared" si="4"/>
        <v>127249.66000000006</v>
      </c>
      <c r="M95" s="8">
        <f t="shared" si="4"/>
        <v>190315.91</v>
      </c>
      <c r="N95" s="8">
        <f t="shared" si="4"/>
        <v>-3483.4158969230193</v>
      </c>
      <c r="O95" s="8">
        <f t="shared" si="4"/>
        <v>-52128.209896923028</v>
      </c>
      <c r="Q95" s="8">
        <f>IFERROR(+Q90-Q93,0)</f>
        <v>862236.70420615422</v>
      </c>
    </row>
    <row r="96" spans="1:17" ht="15.75" customHeight="1" x14ac:dyDescent="0.3">
      <c r="A96" s="6"/>
      <c r="B96" s="6"/>
      <c r="C96" s="6"/>
      <c r="D96" s="5">
        <f t="shared" ref="D96:O96" si="5">IFERROR(D95/D10,0)</f>
        <v>0</v>
      </c>
      <c r="E96" s="5">
        <f t="shared" si="5"/>
        <v>0.17368607051585228</v>
      </c>
      <c r="F96" s="5">
        <f t="shared" si="5"/>
        <v>0.37269459856296661</v>
      </c>
      <c r="G96" s="5">
        <f t="shared" si="5"/>
        <v>0.1793779561087096</v>
      </c>
      <c r="H96" s="5">
        <f t="shared" si="5"/>
        <v>0.22763171293409362</v>
      </c>
      <c r="I96" s="5">
        <f t="shared" si="5"/>
        <v>0.17865330715720396</v>
      </c>
      <c r="J96" s="5">
        <f t="shared" si="5"/>
        <v>-2.617106767158648E-2</v>
      </c>
      <c r="K96" s="5">
        <f t="shared" si="5"/>
        <v>0.33237967356873155</v>
      </c>
      <c r="L96" s="5">
        <f t="shared" si="5"/>
        <v>0.28328772704124949</v>
      </c>
      <c r="M96" s="5">
        <f t="shared" si="5"/>
        <v>0.34127211520239992</v>
      </c>
      <c r="N96" s="5">
        <f t="shared" si="5"/>
        <v>-1.4335044843304607E-2</v>
      </c>
      <c r="O96" s="5">
        <f t="shared" si="5"/>
        <v>0</v>
      </c>
      <c r="P96" s="19"/>
      <c r="Q96" s="5">
        <f>IFERROR(Q95/Q10,0)</f>
        <v>0.2184413424576401</v>
      </c>
    </row>
    <row r="97" spans="1:17" ht="15" customHeight="1" x14ac:dyDescent="0.3">
      <c r="A97" s="6"/>
      <c r="B97" s="6"/>
      <c r="C97" s="6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Q97" s="4"/>
    </row>
    <row r="98" spans="1:17" ht="15" customHeight="1" x14ac:dyDescent="0.3">
      <c r="A98" s="6"/>
      <c r="B98" s="6"/>
      <c r="C98" s="6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Q98" s="4"/>
    </row>
    <row r="99" spans="1:17" s="37" customFormat="1" ht="15.75" customHeight="1" x14ac:dyDescent="0.3">
      <c r="A99" s="7"/>
      <c r="B99" s="18" t="s">
        <v>293</v>
      </c>
      <c r="C99" s="18"/>
      <c r="D99" s="8">
        <f t="shared" ref="D99:O99" si="6">IFERROR(SUM(D95:D98),0)</f>
        <v>-41498.81</v>
      </c>
      <c r="E99" s="8">
        <f t="shared" si="6"/>
        <v>36551.12368607051</v>
      </c>
      <c r="F99" s="8">
        <f t="shared" si="6"/>
        <v>215434.09269459866</v>
      </c>
      <c r="G99" s="8">
        <f t="shared" si="6"/>
        <v>93466.62937795608</v>
      </c>
      <c r="H99" s="8">
        <f t="shared" si="6"/>
        <v>94289.867631713001</v>
      </c>
      <c r="I99" s="8">
        <f t="shared" si="6"/>
        <v>55495.998653307201</v>
      </c>
      <c r="J99" s="8">
        <f t="shared" si="6"/>
        <v>-5387.6861710676894</v>
      </c>
      <c r="K99" s="8">
        <f t="shared" si="6"/>
        <v>151932.9823796736</v>
      </c>
      <c r="L99" s="8">
        <f t="shared" si="6"/>
        <v>127249.9432877271</v>
      </c>
      <c r="M99" s="8">
        <f t="shared" si="6"/>
        <v>190316.25127211522</v>
      </c>
      <c r="N99" s="8">
        <f t="shared" si="6"/>
        <v>-3483.4302319678627</v>
      </c>
      <c r="O99" s="8">
        <f t="shared" si="6"/>
        <v>-52128.209896923028</v>
      </c>
      <c r="Q99" s="8">
        <f>IFERROR(SUM(Q95:Q98),0)</f>
        <v>862236.92264749669</v>
      </c>
    </row>
    <row r="100" spans="1:17" ht="15.75" customHeight="1" x14ac:dyDescent="0.3">
      <c r="A100" s="6"/>
      <c r="C100" s="6"/>
      <c r="D100" s="5">
        <f t="shared" ref="D100:O100" si="7">IFERROR(D99/D10,0)</f>
        <v>0</v>
      </c>
      <c r="E100" s="5">
        <f t="shared" si="7"/>
        <v>0.17368689585284328</v>
      </c>
      <c r="F100" s="5">
        <f t="shared" si="7"/>
        <v>0.37269524331469717</v>
      </c>
      <c r="G100" s="5">
        <f t="shared" si="7"/>
        <v>0.17937830036540428</v>
      </c>
      <c r="H100" s="5">
        <f t="shared" si="7"/>
        <v>0.22763226247693558</v>
      </c>
      <c r="I100" s="5">
        <f t="shared" si="7"/>
        <v>0.17865388228167564</v>
      </c>
      <c r="J100" s="5">
        <f t="shared" si="7"/>
        <v>-2.6171194800021284E-2</v>
      </c>
      <c r="K100" s="5">
        <f t="shared" si="7"/>
        <v>0.33238040070833852</v>
      </c>
      <c r="L100" s="5">
        <f t="shared" si="7"/>
        <v>0.28328835770648109</v>
      </c>
      <c r="M100" s="5">
        <f t="shared" si="7"/>
        <v>0.34127272716729878</v>
      </c>
      <c r="N100" s="5">
        <f t="shared" si="7"/>
        <v>-1.4335103835258694E-2</v>
      </c>
      <c r="O100" s="5">
        <f t="shared" si="7"/>
        <v>0</v>
      </c>
      <c r="P100" s="19"/>
      <c r="Q100" s="5">
        <f>IFERROR(Q99/Q10,0)</f>
        <v>0.21844139779815144</v>
      </c>
    </row>
    <row r="101" spans="1:17" ht="15" customHeight="1" x14ac:dyDescent="0.3">
      <c r="A101" s="6"/>
      <c r="B101" s="33">
        <v>44694.892891863426</v>
      </c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Q101" s="14"/>
    </row>
    <row r="102" spans="1:17" ht="15" customHeight="1" x14ac:dyDescent="0.3">
      <c r="A102" s="6"/>
      <c r="B102" s="31" t="s">
        <v>294</v>
      </c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Q102" s="14"/>
    </row>
    <row r="103" spans="1:17" ht="15" customHeight="1" x14ac:dyDescent="0.3">
      <c r="A103" s="6"/>
      <c r="B103" s="27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Q103" s="14"/>
    </row>
    <row r="104" spans="1:17" ht="15" customHeight="1" x14ac:dyDescent="0.3"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Q104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9AE4E-2735-872C-BEE3-4311473E12F5}">
  <sheetPr>
    <tabColor rgb="FF92D050"/>
    <outlinePr summaryBelow="0" summaryRight="0"/>
    <pageSetUpPr fitToPage="1"/>
  </sheetPr>
  <dimension ref="A2:R49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","435"," - ","Ground Floor Coffee House")</f>
        <v>Department 435 - Ground Floor Coffee House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0</v>
      </c>
      <c r="E10" s="4">
        <f>SUM(OSRRefD11x_1)</f>
        <v>0</v>
      </c>
      <c r="F10" s="4">
        <f>SUM(OSRRefD11x_2)</f>
        <v>0</v>
      </c>
      <c r="G10" s="4">
        <f>SUM(OSRRefD11x_3)</f>
        <v>0</v>
      </c>
      <c r="H10" s="4">
        <f>SUM(OSRRefD11x_4)</f>
        <v>0</v>
      </c>
      <c r="I10" s="4">
        <f>SUM(OSRRefD11x_5)</f>
        <v>0</v>
      </c>
      <c r="J10" s="4">
        <f>SUM(OSRRefD11x_6)</f>
        <v>0</v>
      </c>
      <c r="K10" s="4">
        <f>SUM(OSRRefD11x_7)</f>
        <v>0</v>
      </c>
      <c r="L10" s="4">
        <f>SUM(OSRRefD11x_8)</f>
        <v>2285.98</v>
      </c>
      <c r="M10" s="4">
        <f>SUM(OSRRefD11x_9)</f>
        <v>3069.44</v>
      </c>
      <c r="N10" s="4">
        <f>SUM(OSRRefE11x_0)</f>
        <v>0</v>
      </c>
      <c r="O10" s="4">
        <f>SUM(OSRRefE11x_1)</f>
        <v>0</v>
      </c>
      <c r="P10" s="25"/>
      <c r="Q10" s="4">
        <f>SUM(OSRRefG11x)</f>
        <v>5355.42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","4055"," - ","TAXABLE SALES-FOOD")</f>
        <v xml:space="preserve">          4055 - TAXABLE SALES-FOOD</v>
      </c>
      <c r="C11" s="23"/>
      <c r="D11" s="3">
        <f>0</f>
        <v>0</v>
      </c>
      <c r="E11" s="3">
        <f>0</f>
        <v>0</v>
      </c>
      <c r="F11" s="3">
        <f>0</f>
        <v>0</v>
      </c>
      <c r="G11" s="3">
        <f>0</f>
        <v>0</v>
      </c>
      <c r="H11" s="3">
        <f>0</f>
        <v>0</v>
      </c>
      <c r="I11" s="3">
        <f>0</f>
        <v>0</v>
      </c>
      <c r="J11" s="3">
        <f>0</f>
        <v>0</v>
      </c>
      <c r="K11" s="3">
        <f>0</f>
        <v>0</v>
      </c>
      <c r="L11" s="3">
        <f>--541.27</f>
        <v>541.27</v>
      </c>
      <c r="M11" s="3">
        <f>--1014.83</f>
        <v>1014.83</v>
      </c>
      <c r="N11" s="3"/>
      <c r="O11" s="3"/>
      <c r="Q11" s="3">
        <f>SUM(OSRRefD11_0x)+IFERROR(SUM(OSRRefE11_0x),0)</f>
        <v>1556.1</v>
      </c>
    </row>
    <row r="12" spans="1:18" s="39" customFormat="1" ht="15" hidden="1" customHeight="1" outlineLevel="1" x14ac:dyDescent="0.3">
      <c r="A12" s="24"/>
      <c r="B12" s="11" t="str">
        <f>CONCATENATE("          ","4155"," - ","NON-TAXABLE SALES-FOOD")</f>
        <v xml:space="preserve">          4155 - NON-TAXABLE SALES-FOOD</v>
      </c>
      <c r="C12" s="23"/>
      <c r="D12" s="3">
        <f>0</f>
        <v>0</v>
      </c>
      <c r="E12" s="3">
        <f>0</f>
        <v>0</v>
      </c>
      <c r="F12" s="3">
        <f>0</f>
        <v>0</v>
      </c>
      <c r="G12" s="3">
        <f>0</f>
        <v>0</v>
      </c>
      <c r="H12" s="3">
        <f>0</f>
        <v>0</v>
      </c>
      <c r="I12" s="3">
        <f>0</f>
        <v>0</v>
      </c>
      <c r="J12" s="3">
        <f>0</f>
        <v>0</v>
      </c>
      <c r="K12" s="3">
        <f>0</f>
        <v>0</v>
      </c>
      <c r="L12" s="3">
        <f>--1744.71</f>
        <v>1744.71</v>
      </c>
      <c r="M12" s="3">
        <f>--2054.61</f>
        <v>2054.61</v>
      </c>
      <c r="N12" s="3"/>
      <c r="O12" s="3"/>
      <c r="Q12" s="3">
        <f>SUM(OSRRefD11_1x)+IFERROR(SUM(OSRRefE11_1x),0)</f>
        <v>3799.32</v>
      </c>
    </row>
    <row r="13" spans="1:18" ht="15" customHeight="1" x14ac:dyDescent="0.3">
      <c r="A13" s="6"/>
      <c r="B13" s="7"/>
      <c r="C13" s="6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Q13" s="4"/>
    </row>
    <row r="14" spans="1:18" s="39" customFormat="1" ht="15" customHeight="1" collapsed="1" x14ac:dyDescent="0.3">
      <c r="A14" s="24"/>
      <c r="B14" s="17" t="s">
        <v>284</v>
      </c>
      <c r="C14" s="23"/>
      <c r="D14" s="4">
        <f>SUM(OSRRefD14x_0)</f>
        <v>0</v>
      </c>
      <c r="E14" s="4">
        <f>SUM(OSRRefD14x_1)</f>
        <v>0</v>
      </c>
      <c r="F14" s="4">
        <f>SUM(OSRRefD14x_2)</f>
        <v>0</v>
      </c>
      <c r="G14" s="4">
        <f>SUM(OSRRefD14x_3)</f>
        <v>0</v>
      </c>
      <c r="H14" s="4">
        <f>SUM(OSRRefD14x_4)</f>
        <v>0</v>
      </c>
      <c r="I14" s="4">
        <f>SUM(OSRRefD14x_5)</f>
        <v>0</v>
      </c>
      <c r="J14" s="4">
        <f>SUM(OSRRefD14x_6)</f>
        <v>0</v>
      </c>
      <c r="K14" s="4">
        <f>SUM(OSRRefD14x_7)</f>
        <v>0</v>
      </c>
      <c r="L14" s="4">
        <f>SUM(OSRRefD14x_8)</f>
        <v>0</v>
      </c>
      <c r="M14" s="4">
        <f>SUM(OSRRefD14x_9)</f>
        <v>1232.01</v>
      </c>
      <c r="N14" s="4">
        <f>SUM(OSRRefE14x_0)</f>
        <v>0</v>
      </c>
      <c r="O14" s="4">
        <f>SUM(OSRRefE14x_1)</f>
        <v>0</v>
      </c>
      <c r="Q14" s="4">
        <f>SUM(OSRRefG14x)</f>
        <v>1232.01</v>
      </c>
    </row>
    <row r="15" spans="1:18" s="39" customFormat="1" ht="15" hidden="1" customHeight="1" outlineLevel="1" x14ac:dyDescent="0.3">
      <c r="A15" s="24"/>
      <c r="B15" s="11" t="str">
        <f>CONCATENATE("          ","5053"," - ","PURCHASES @ COST-FOOD")</f>
        <v xml:space="preserve">          5053 - PURCHASES @ COST-FOOD</v>
      </c>
      <c r="C15" s="23"/>
      <c r="D15" s="3"/>
      <c r="E15" s="3"/>
      <c r="F15" s="3"/>
      <c r="G15" s="3"/>
      <c r="H15" s="3"/>
      <c r="I15" s="3"/>
      <c r="J15" s="3"/>
      <c r="K15" s="3"/>
      <c r="L15" s="3"/>
      <c r="M15" s="3">
        <v>1232.01</v>
      </c>
      <c r="N15" s="3"/>
      <c r="O15" s="3"/>
      <c r="Q15" s="3">
        <f>SUM(OSRRefD14_0x)+IFERROR(SUM(OSRRefE14_0x),0)</f>
        <v>1232.01</v>
      </c>
    </row>
    <row r="16" spans="1:18" ht="15" customHeight="1" x14ac:dyDescent="0.3">
      <c r="A16" s="6"/>
      <c r="B16" s="7"/>
      <c r="C16" s="7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Q16" s="4"/>
    </row>
    <row r="17" spans="1:17" s="37" customFormat="1" ht="15" customHeight="1" x14ac:dyDescent="0.3">
      <c r="A17" s="7"/>
      <c r="B17" s="18" t="s">
        <v>285</v>
      </c>
      <c r="C17" s="18"/>
      <c r="D17" s="9">
        <f t="shared" ref="D17:O17" si="0">IFERROR(+D10-D14,0)</f>
        <v>0</v>
      </c>
      <c r="E17" s="9">
        <f t="shared" si="0"/>
        <v>0</v>
      </c>
      <c r="F17" s="9">
        <f t="shared" si="0"/>
        <v>0</v>
      </c>
      <c r="G17" s="9">
        <f t="shared" si="0"/>
        <v>0</v>
      </c>
      <c r="H17" s="9">
        <f t="shared" si="0"/>
        <v>0</v>
      </c>
      <c r="I17" s="9">
        <f t="shared" si="0"/>
        <v>0</v>
      </c>
      <c r="J17" s="9">
        <f t="shared" si="0"/>
        <v>0</v>
      </c>
      <c r="K17" s="9">
        <f t="shared" si="0"/>
        <v>0</v>
      </c>
      <c r="L17" s="9">
        <f t="shared" si="0"/>
        <v>2285.98</v>
      </c>
      <c r="M17" s="9">
        <f t="shared" si="0"/>
        <v>1837.43</v>
      </c>
      <c r="N17" s="9">
        <f t="shared" si="0"/>
        <v>0</v>
      </c>
      <c r="O17" s="9">
        <f t="shared" si="0"/>
        <v>0</v>
      </c>
      <c r="Q17" s="9">
        <f>IFERROR(+Q10-Q14,0)</f>
        <v>4123.41</v>
      </c>
    </row>
    <row r="18" spans="1:17" s="38" customFormat="1" ht="15" customHeight="1" x14ac:dyDescent="0.3">
      <c r="B18" s="17"/>
      <c r="C18" s="17"/>
      <c r="D18" s="5">
        <f t="shared" ref="D18:O18" si="1">IFERROR(D17/D10,0)</f>
        <v>0</v>
      </c>
      <c r="E18" s="5">
        <f t="shared" si="1"/>
        <v>0</v>
      </c>
      <c r="F18" s="5">
        <f t="shared" si="1"/>
        <v>0</v>
      </c>
      <c r="G18" s="5">
        <f t="shared" si="1"/>
        <v>0</v>
      </c>
      <c r="H18" s="5">
        <f t="shared" si="1"/>
        <v>0</v>
      </c>
      <c r="I18" s="5">
        <f t="shared" si="1"/>
        <v>0</v>
      </c>
      <c r="J18" s="5">
        <f t="shared" si="1"/>
        <v>0</v>
      </c>
      <c r="K18" s="5">
        <f t="shared" si="1"/>
        <v>0</v>
      </c>
      <c r="L18" s="5">
        <f t="shared" si="1"/>
        <v>1</v>
      </c>
      <c r="M18" s="5">
        <f t="shared" si="1"/>
        <v>0.59862059528773981</v>
      </c>
      <c r="N18" s="5">
        <f t="shared" si="1"/>
        <v>0</v>
      </c>
      <c r="O18" s="5">
        <f t="shared" si="1"/>
        <v>0</v>
      </c>
      <c r="P18" s="19"/>
      <c r="Q18" s="5">
        <f>IFERROR(Q17/Q10,0)</f>
        <v>0.76995081618248429</v>
      </c>
    </row>
    <row r="19" spans="1:17" ht="15" customHeight="1" x14ac:dyDescent="0.3">
      <c r="A19" s="6"/>
      <c r="B19" s="7"/>
      <c r="C19" s="6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Q19" s="2"/>
    </row>
    <row r="20" spans="1:17" s="37" customFormat="1" ht="15" customHeight="1" x14ac:dyDescent="0.3">
      <c r="A20" s="7"/>
      <c r="B20" s="17" t="s">
        <v>286</v>
      </c>
      <c r="C20" s="7"/>
      <c r="D20" s="12" cm="1">
        <f t="array" ref="D20">SUM(OSRRefD20x_0)</f>
        <v>0</v>
      </c>
      <c r="E20" s="12" cm="1">
        <f t="array" ref="E20">SUM(OSRRefD20x_1)</f>
        <v>0</v>
      </c>
      <c r="F20" s="12" cm="1">
        <f t="array" ref="F20">SUM(OSRRefD20x_2)</f>
        <v>0</v>
      </c>
      <c r="G20" s="12" cm="1">
        <f t="array" ref="G20">SUM(OSRRefD20x_3)</f>
        <v>0</v>
      </c>
      <c r="H20" s="12" cm="1">
        <f t="array" ref="H20">SUM(OSRRefD20x_4)</f>
        <v>0</v>
      </c>
      <c r="I20" s="12" cm="1">
        <f t="array" ref="I20">SUM(OSRRefD20x_5)</f>
        <v>0</v>
      </c>
      <c r="J20" s="12" cm="1">
        <f t="array" ref="J20">SUM(OSRRefD20x_6)</f>
        <v>0.28000000000000003</v>
      </c>
      <c r="K20" s="12" cm="1">
        <f t="array" ref="K20">SUM(OSRRefD20x_7)</f>
        <v>0</v>
      </c>
      <c r="L20" s="12" cm="1">
        <f t="array" ref="L20">SUM(OSRRefD20x_8)</f>
        <v>0</v>
      </c>
      <c r="M20" s="12" cm="1">
        <f t="array" ref="M20">SUM(OSRRefD20x_9)</f>
        <v>3814.7700000000004</v>
      </c>
      <c r="N20" s="12" cm="1">
        <f t="array" ref="N20">SUM(OSRRefE20x_0)</f>
        <v>0</v>
      </c>
      <c r="O20" s="12" cm="1">
        <f t="array" ref="O20">SUM(OSRRefE20x_1)</f>
        <v>0</v>
      </c>
      <c r="Q20" s="12" cm="1">
        <f t="array" ref="Q20">SUM(OSRRefG20x)</f>
        <v>3815.0500000000006</v>
      </c>
    </row>
    <row r="21" spans="1:17" s="42" customFormat="1" ht="15" customHeight="1" collapsed="1" x14ac:dyDescent="0.3">
      <c r="A21" s="34"/>
      <c r="B21" s="15" t="str">
        <f>CONCATENATE("     ","*Benefits                                         ")</f>
        <v xml:space="preserve">     *Benefits                                         </v>
      </c>
      <c r="C21" s="15"/>
      <c r="D21" s="2">
        <f>SUM(OSRRefD21_0x_0)</f>
        <v>0</v>
      </c>
      <c r="E21" s="2">
        <f>SUM(OSRRefD21_0x_1)</f>
        <v>0</v>
      </c>
      <c r="F21" s="2">
        <f>SUM(OSRRefD21_0x_2)</f>
        <v>0</v>
      </c>
      <c r="G21" s="2">
        <f>SUM(OSRRefD21_0x_3)</f>
        <v>0</v>
      </c>
      <c r="H21" s="2">
        <f>SUM(OSRRefD21_0x_4)</f>
        <v>0</v>
      </c>
      <c r="I21" s="2">
        <f>SUM(OSRRefD21_0x_5)</f>
        <v>0</v>
      </c>
      <c r="J21" s="2">
        <f>SUM(OSRRefD21_0x_6)</f>
        <v>0</v>
      </c>
      <c r="K21" s="2">
        <f>SUM(OSRRefD21_0x_7)</f>
        <v>0</v>
      </c>
      <c r="L21" s="2">
        <f>SUM(OSRRefD21_0x_8)</f>
        <v>0</v>
      </c>
      <c r="M21" s="2">
        <f>SUM(OSRRefD21_0x_9)</f>
        <v>57.4</v>
      </c>
      <c r="N21" s="2">
        <f>SUM(OSRRefE21_0x_0)</f>
        <v>0</v>
      </c>
      <c r="O21" s="2">
        <f>SUM(OSRRefE21_0x_1)</f>
        <v>0</v>
      </c>
      <c r="Q21" s="3">
        <f>SUM(OSRRefD20_0x)+IFERROR(SUM(OSRRefE20_0x),0)</f>
        <v>57.4</v>
      </c>
    </row>
    <row r="22" spans="1:17" s="42" customFormat="1" ht="15" hidden="1" customHeight="1" outlineLevel="1" x14ac:dyDescent="0.3">
      <c r="A22" s="34"/>
      <c r="B22" s="11" t="str">
        <f>CONCATENATE("          ","6112"," - ","COMPENSATION INSURANCE")</f>
        <v xml:space="preserve">          6112 - COMPENSATION INSURANCE</v>
      </c>
      <c r="C22" s="15"/>
      <c r="D22" s="3"/>
      <c r="E22" s="3"/>
      <c r="F22" s="3"/>
      <c r="G22" s="3"/>
      <c r="H22" s="3"/>
      <c r="I22" s="3"/>
      <c r="J22" s="3"/>
      <c r="K22" s="3"/>
      <c r="L22" s="3"/>
      <c r="M22" s="3">
        <v>53.53</v>
      </c>
      <c r="N22" s="3"/>
      <c r="O22" s="3"/>
      <c r="P22" s="10"/>
      <c r="Q22" s="3">
        <f>SUM(OSRRefD21_0_0x)+IFERROR(SUM(OSRRefE21_0_0x),0)</f>
        <v>53.53</v>
      </c>
    </row>
    <row r="23" spans="1:17" s="42" customFormat="1" ht="15" hidden="1" customHeight="1" outlineLevel="1" x14ac:dyDescent="0.3">
      <c r="A23" s="34"/>
      <c r="B23" s="11" t="str">
        <f>CONCATENATE("          ","6114"," - ","STATE UNEMPLOYMENT INSURANCE")</f>
        <v xml:space="preserve">          6114 - STATE UNEMPLOYMENT INSURANCE</v>
      </c>
      <c r="C23" s="15"/>
      <c r="D23" s="3"/>
      <c r="E23" s="3"/>
      <c r="F23" s="3"/>
      <c r="G23" s="3"/>
      <c r="H23" s="3"/>
      <c r="I23" s="3"/>
      <c r="J23" s="3"/>
      <c r="K23" s="3"/>
      <c r="L23" s="3"/>
      <c r="M23" s="3">
        <v>3.87</v>
      </c>
      <c r="N23" s="3"/>
      <c r="O23" s="3"/>
      <c r="P23" s="10"/>
      <c r="Q23" s="3">
        <f>SUM(OSRRefD21_0_1x)+IFERROR(SUM(OSRRefE21_0_1x),0)</f>
        <v>3.87</v>
      </c>
    </row>
    <row r="24" spans="1:17" s="42" customFormat="1" ht="15" customHeight="1" collapsed="1" x14ac:dyDescent="0.3">
      <c r="A24" s="34"/>
      <c r="B24" s="15" t="str">
        <f>CONCATENATE("     ","*Payroll                                          ")</f>
        <v xml:space="preserve">     *Payroll                                          </v>
      </c>
      <c r="C24" s="15"/>
      <c r="D24" s="2">
        <f>SUM(OSRRefD21_1x_0)</f>
        <v>0</v>
      </c>
      <c r="E24" s="2">
        <f>SUM(OSRRefD21_1x_1)</f>
        <v>0</v>
      </c>
      <c r="F24" s="2">
        <f>SUM(OSRRefD21_1x_2)</f>
        <v>0</v>
      </c>
      <c r="G24" s="2">
        <f>SUM(OSRRefD21_1x_3)</f>
        <v>0</v>
      </c>
      <c r="H24" s="2">
        <f>SUM(OSRRefD21_1x_4)</f>
        <v>0</v>
      </c>
      <c r="I24" s="2">
        <f>SUM(OSRRefD21_1x_5)</f>
        <v>0</v>
      </c>
      <c r="J24" s="2">
        <f>SUM(OSRRefD21_1x_6)</f>
        <v>0</v>
      </c>
      <c r="K24" s="2">
        <f>SUM(OSRRefD21_1x_7)</f>
        <v>0</v>
      </c>
      <c r="L24" s="2">
        <f>SUM(OSRRefD21_1x_8)</f>
        <v>0</v>
      </c>
      <c r="M24" s="2">
        <f>SUM(OSRRefD21_1x_9)</f>
        <v>3227.07</v>
      </c>
      <c r="N24" s="2">
        <f>SUM(OSRRefE21_1x_0)</f>
        <v>0</v>
      </c>
      <c r="O24" s="2">
        <f>SUM(OSRRefE21_1x_1)</f>
        <v>0</v>
      </c>
      <c r="Q24" s="3">
        <f>SUM(OSRRefD20_1x)+IFERROR(SUM(OSRRefE20_1x),0)</f>
        <v>3227.07</v>
      </c>
    </row>
    <row r="25" spans="1:17" s="42" customFormat="1" ht="15" hidden="1" customHeight="1" outlineLevel="1" x14ac:dyDescent="0.3">
      <c r="A25" s="34"/>
      <c r="B25" s="11" t="str">
        <f>CONCATENATE("          ","6007"," - ","STUDENT HOURLY")</f>
        <v xml:space="preserve">          6007 - STUDENT HOURLY</v>
      </c>
      <c r="C25" s="15"/>
      <c r="D25" s="3"/>
      <c r="E25" s="3"/>
      <c r="F25" s="3"/>
      <c r="G25" s="3"/>
      <c r="H25" s="3"/>
      <c r="I25" s="3"/>
      <c r="J25" s="3"/>
      <c r="K25" s="3"/>
      <c r="L25" s="3"/>
      <c r="M25" s="3">
        <v>3227.07</v>
      </c>
      <c r="N25" s="3"/>
      <c r="O25" s="3"/>
      <c r="P25" s="10"/>
      <c r="Q25" s="3">
        <f>SUM(OSRRefD21_1_0x)+IFERROR(SUM(OSRRefE21_1_0x),0)</f>
        <v>3227.07</v>
      </c>
    </row>
    <row r="26" spans="1:17" s="42" customFormat="1" ht="15" customHeight="1" collapsed="1" x14ac:dyDescent="0.3">
      <c r="A26" s="34"/>
      <c r="B26" s="15" t="str">
        <f>CONCATENATE("     ","Bad Debts/Over/Short                              ")</f>
        <v xml:space="preserve">     Bad Debts/Over/Short                              </v>
      </c>
      <c r="C26" s="15"/>
      <c r="D26" s="2">
        <f>SUM(OSRRefD21_2x_0)</f>
        <v>0</v>
      </c>
      <c r="E26" s="2">
        <f>SUM(OSRRefD21_2x_1)</f>
        <v>0</v>
      </c>
      <c r="F26" s="2">
        <f>SUM(OSRRefD21_2x_2)</f>
        <v>0</v>
      </c>
      <c r="G26" s="2">
        <f>SUM(OSRRefD21_2x_3)</f>
        <v>0</v>
      </c>
      <c r="H26" s="2">
        <f>SUM(OSRRefD21_2x_4)</f>
        <v>0</v>
      </c>
      <c r="I26" s="2">
        <f>SUM(OSRRefD21_2x_5)</f>
        <v>0</v>
      </c>
      <c r="J26" s="2">
        <f>SUM(OSRRefD21_2x_6)</f>
        <v>0</v>
      </c>
      <c r="K26" s="2">
        <f>SUM(OSRRefD21_2x_7)</f>
        <v>0</v>
      </c>
      <c r="L26" s="2">
        <f>SUM(OSRRefD21_2x_8)</f>
        <v>0</v>
      </c>
      <c r="M26" s="2">
        <f>SUM(OSRRefD21_2x_9)</f>
        <v>-0.1</v>
      </c>
      <c r="N26" s="2">
        <f>SUM(OSRRefE21_2x_0)</f>
        <v>0</v>
      </c>
      <c r="O26" s="2">
        <f>SUM(OSRRefE21_2x_1)</f>
        <v>0</v>
      </c>
      <c r="Q26" s="3">
        <f>SUM(OSRRefD20_2x)+IFERROR(SUM(OSRRefE20_2x),0)</f>
        <v>-0.1</v>
      </c>
    </row>
    <row r="27" spans="1:17" s="42" customFormat="1" ht="15" hidden="1" customHeight="1" outlineLevel="1" x14ac:dyDescent="0.3">
      <c r="A27" s="34"/>
      <c r="B27" s="11" t="str">
        <f>CONCATENATE("          ","6272"," - ","CASH (OVER/SHORT)")</f>
        <v xml:space="preserve">          6272 - CASH (OVER/SHORT)</v>
      </c>
      <c r="C27" s="15"/>
      <c r="D27" s="3"/>
      <c r="E27" s="3"/>
      <c r="F27" s="3"/>
      <c r="G27" s="3"/>
      <c r="H27" s="3"/>
      <c r="I27" s="3"/>
      <c r="J27" s="3"/>
      <c r="K27" s="3"/>
      <c r="L27" s="3">
        <v>0</v>
      </c>
      <c r="M27" s="3">
        <v>-0.1</v>
      </c>
      <c r="N27" s="3"/>
      <c r="O27" s="3"/>
      <c r="P27" s="10"/>
      <c r="Q27" s="3">
        <f>SUM(OSRRefD21_2_0x)+IFERROR(SUM(OSRRefE21_2_0x),0)</f>
        <v>-0.1</v>
      </c>
    </row>
    <row r="28" spans="1:17" s="42" customFormat="1" ht="15" customHeight="1" collapsed="1" x14ac:dyDescent="0.3">
      <c r="A28" s="34"/>
      <c r="B28" s="15" t="str">
        <f>CONCATENATE("     ","Bank/card Fees                                    ")</f>
        <v xml:space="preserve">     Bank/card Fees                                    </v>
      </c>
      <c r="C28" s="15"/>
      <c r="D28" s="2">
        <f>SUM(OSRRefD21_3x_0)</f>
        <v>0</v>
      </c>
      <c r="E28" s="2">
        <f>SUM(OSRRefD21_3x_1)</f>
        <v>0</v>
      </c>
      <c r="F28" s="2">
        <f>SUM(OSRRefD21_3x_2)</f>
        <v>0</v>
      </c>
      <c r="G28" s="2">
        <f>SUM(OSRRefD21_3x_3)</f>
        <v>0</v>
      </c>
      <c r="H28" s="2">
        <f>SUM(OSRRefD21_3x_4)</f>
        <v>0</v>
      </c>
      <c r="I28" s="2">
        <f>SUM(OSRRefD21_3x_5)</f>
        <v>0</v>
      </c>
      <c r="J28" s="2">
        <f>SUM(OSRRefD21_3x_6)</f>
        <v>0.28000000000000003</v>
      </c>
      <c r="K28" s="2">
        <f>SUM(OSRRefD21_3x_7)</f>
        <v>0</v>
      </c>
      <c r="L28" s="2">
        <f>SUM(OSRRefD21_3x_8)</f>
        <v>0</v>
      </c>
      <c r="M28" s="2">
        <f>SUM(OSRRefD21_3x_9)</f>
        <v>0</v>
      </c>
      <c r="N28" s="2">
        <f>SUM(OSRRefE21_3x_0)</f>
        <v>0</v>
      </c>
      <c r="O28" s="2">
        <f>SUM(OSRRefE21_3x_1)</f>
        <v>0</v>
      </c>
      <c r="Q28" s="3">
        <f>SUM(OSRRefD20_3x)+IFERROR(SUM(OSRRefE20_3x),0)</f>
        <v>0.28000000000000003</v>
      </c>
    </row>
    <row r="29" spans="1:17" s="42" customFormat="1" ht="15" hidden="1" customHeight="1" outlineLevel="1" x14ac:dyDescent="0.3">
      <c r="A29" s="34"/>
      <c r="B29" s="11" t="str">
        <f>CONCATENATE("          ","6381"," - ","BANK/CREDIT CARD FEES")</f>
        <v xml:space="preserve">          6381 - BANK/CREDIT CARD FEES</v>
      </c>
      <c r="C29" s="15"/>
      <c r="D29" s="3"/>
      <c r="E29" s="3"/>
      <c r="F29" s="3"/>
      <c r="G29" s="3"/>
      <c r="H29" s="3"/>
      <c r="I29" s="3"/>
      <c r="J29" s="3">
        <v>0.28000000000000003</v>
      </c>
      <c r="K29" s="3"/>
      <c r="L29" s="3"/>
      <c r="M29" s="3"/>
      <c r="N29" s="3"/>
      <c r="O29" s="3"/>
      <c r="P29" s="10"/>
      <c r="Q29" s="3">
        <f>SUM(OSRRefD21_3_0x)+IFERROR(SUM(OSRRefE21_3_0x),0)</f>
        <v>0.28000000000000003</v>
      </c>
    </row>
    <row r="30" spans="1:17" s="42" customFormat="1" ht="15" customHeight="1" collapsed="1" x14ac:dyDescent="0.3">
      <c r="A30" s="34"/>
      <c r="B30" s="15" t="str">
        <f>CONCATENATE("     ","General                                           ")</f>
        <v xml:space="preserve">     General                                           </v>
      </c>
      <c r="C30" s="15"/>
      <c r="D30" s="2">
        <f>SUM(OSRRefD21_4x_0)</f>
        <v>0</v>
      </c>
      <c r="E30" s="2">
        <f>SUM(OSRRefD21_4x_1)</f>
        <v>0</v>
      </c>
      <c r="F30" s="2">
        <f>SUM(OSRRefD21_4x_2)</f>
        <v>0</v>
      </c>
      <c r="G30" s="2">
        <f>SUM(OSRRefD21_4x_3)</f>
        <v>0</v>
      </c>
      <c r="H30" s="2">
        <f>SUM(OSRRefD21_4x_4)</f>
        <v>0</v>
      </c>
      <c r="I30" s="2">
        <f>SUM(OSRRefD21_4x_5)</f>
        <v>0</v>
      </c>
      <c r="J30" s="2">
        <f>SUM(OSRRefD21_4x_6)</f>
        <v>0</v>
      </c>
      <c r="K30" s="2">
        <f>SUM(OSRRefD21_4x_7)</f>
        <v>0</v>
      </c>
      <c r="L30" s="2">
        <f>SUM(OSRRefD21_4x_8)</f>
        <v>0</v>
      </c>
      <c r="M30" s="2">
        <f>SUM(OSRRefD21_4x_9)</f>
        <v>530.4</v>
      </c>
      <c r="N30" s="2">
        <f>SUM(OSRRefE21_4x_0)</f>
        <v>0</v>
      </c>
      <c r="O30" s="2">
        <f>SUM(OSRRefE21_4x_1)</f>
        <v>0</v>
      </c>
      <c r="Q30" s="3">
        <f>SUM(OSRRefD20_4x)+IFERROR(SUM(OSRRefE20_4x),0)</f>
        <v>530.4</v>
      </c>
    </row>
    <row r="31" spans="1:17" s="42" customFormat="1" ht="15" hidden="1" customHeight="1" outlineLevel="1" x14ac:dyDescent="0.3">
      <c r="A31" s="34"/>
      <c r="B31" s="11" t="str">
        <f>CONCATENATE("          ","6279"," - ","GENERAL EXPENSE")</f>
        <v xml:space="preserve">          6279 - GENERAL EXPENSE</v>
      </c>
      <c r="C31" s="15"/>
      <c r="D31" s="3"/>
      <c r="E31" s="3"/>
      <c r="F31" s="3"/>
      <c r="G31" s="3"/>
      <c r="H31" s="3"/>
      <c r="I31" s="3"/>
      <c r="J31" s="3"/>
      <c r="K31" s="3"/>
      <c r="L31" s="3"/>
      <c r="M31" s="3">
        <v>530.4</v>
      </c>
      <c r="N31" s="3"/>
      <c r="O31" s="3"/>
      <c r="P31" s="10"/>
      <c r="Q31" s="3">
        <f>SUM(OSRRefD21_4_0x)+IFERROR(SUM(OSRRefE21_4_0x),0)</f>
        <v>530.4</v>
      </c>
    </row>
    <row r="32" spans="1:17" s="40" customFormat="1" ht="15" customHeight="1" x14ac:dyDescent="0.3">
      <c r="A32" s="22"/>
      <c r="B32" s="22"/>
      <c r="C32" s="2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Q32" s="2"/>
    </row>
    <row r="33" spans="1:17" s="39" customFormat="1" ht="15" customHeight="1" x14ac:dyDescent="0.3">
      <c r="A33" s="24"/>
      <c r="B33" s="17" t="s">
        <v>287</v>
      </c>
      <c r="C33" s="23"/>
      <c r="D33" s="4">
        <f>0</f>
        <v>0</v>
      </c>
      <c r="E33" s="4">
        <f>0</f>
        <v>0</v>
      </c>
      <c r="F33" s="4">
        <f>0</f>
        <v>0</v>
      </c>
      <c r="G33" s="4">
        <f>0</f>
        <v>0</v>
      </c>
      <c r="H33" s="4">
        <f>0</f>
        <v>0</v>
      </c>
      <c r="I33" s="4">
        <f>0</f>
        <v>0</v>
      </c>
      <c r="J33" s="4">
        <f>0</f>
        <v>0</v>
      </c>
      <c r="K33" s="4">
        <f>0</f>
        <v>0</v>
      </c>
      <c r="L33" s="4">
        <f>0</f>
        <v>0</v>
      </c>
      <c r="M33" s="4">
        <f>0</f>
        <v>0</v>
      </c>
      <c r="N33" s="4"/>
      <c r="O33" s="4"/>
      <c r="Q33" s="3">
        <f>SUM(OSRRefD23_0x)+IFERROR(SUM(OSRRefE23_0x),0)</f>
        <v>0</v>
      </c>
    </row>
    <row r="34" spans="1:17" ht="15" customHeight="1" x14ac:dyDescent="0.3">
      <c r="A34" s="6"/>
      <c r="B34" s="7"/>
      <c r="C34" s="7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Q34" s="4"/>
    </row>
    <row r="35" spans="1:17" s="37" customFormat="1" ht="15" customHeight="1" x14ac:dyDescent="0.3">
      <c r="A35" s="7"/>
      <c r="B35" s="18" t="s">
        <v>288</v>
      </c>
      <c r="C35" s="18"/>
      <c r="D35" s="9">
        <f t="shared" ref="D35:O35" si="2">IFERROR(+D17-D20+D33,0)</f>
        <v>0</v>
      </c>
      <c r="E35" s="9">
        <f t="shared" si="2"/>
        <v>0</v>
      </c>
      <c r="F35" s="9">
        <f t="shared" si="2"/>
        <v>0</v>
      </c>
      <c r="G35" s="9">
        <f t="shared" si="2"/>
        <v>0</v>
      </c>
      <c r="H35" s="9">
        <f t="shared" si="2"/>
        <v>0</v>
      </c>
      <c r="I35" s="9">
        <f t="shared" si="2"/>
        <v>0</v>
      </c>
      <c r="J35" s="9">
        <f t="shared" si="2"/>
        <v>-0.28000000000000003</v>
      </c>
      <c r="K35" s="9">
        <f t="shared" si="2"/>
        <v>0</v>
      </c>
      <c r="L35" s="9">
        <f t="shared" si="2"/>
        <v>2285.98</v>
      </c>
      <c r="M35" s="9">
        <f t="shared" si="2"/>
        <v>-1977.3400000000004</v>
      </c>
      <c r="N35" s="9">
        <f t="shared" si="2"/>
        <v>0</v>
      </c>
      <c r="O35" s="9">
        <f t="shared" si="2"/>
        <v>0</v>
      </c>
      <c r="Q35" s="9">
        <f>IFERROR(+Q17-Q20+Q33,0)</f>
        <v>308.35999999999922</v>
      </c>
    </row>
    <row r="36" spans="1:17" s="38" customFormat="1" ht="15" customHeight="1" x14ac:dyDescent="0.3">
      <c r="B36" s="17"/>
      <c r="C36" s="17"/>
      <c r="D36" s="5">
        <f t="shared" ref="D36:O36" si="3">IFERROR(D35/D10,0)</f>
        <v>0</v>
      </c>
      <c r="E36" s="5">
        <f t="shared" si="3"/>
        <v>0</v>
      </c>
      <c r="F36" s="5">
        <f t="shared" si="3"/>
        <v>0</v>
      </c>
      <c r="G36" s="5">
        <f t="shared" si="3"/>
        <v>0</v>
      </c>
      <c r="H36" s="5">
        <f t="shared" si="3"/>
        <v>0</v>
      </c>
      <c r="I36" s="5">
        <f t="shared" si="3"/>
        <v>0</v>
      </c>
      <c r="J36" s="5">
        <f t="shared" si="3"/>
        <v>0</v>
      </c>
      <c r="K36" s="5">
        <f t="shared" si="3"/>
        <v>0</v>
      </c>
      <c r="L36" s="5">
        <f t="shared" si="3"/>
        <v>1</v>
      </c>
      <c r="M36" s="5">
        <f t="shared" si="3"/>
        <v>-0.64420219974979165</v>
      </c>
      <c r="N36" s="5">
        <f t="shared" si="3"/>
        <v>0</v>
      </c>
      <c r="O36" s="5">
        <f t="shared" si="3"/>
        <v>0</v>
      </c>
      <c r="P36" s="19"/>
      <c r="Q36" s="5">
        <f>IFERROR(Q35/Q10,0)</f>
        <v>5.7579050756056335E-2</v>
      </c>
    </row>
    <row r="37" spans="1:17" ht="15" customHeight="1" x14ac:dyDescent="0.3">
      <c r="A37" s="6"/>
      <c r="B37" s="7"/>
      <c r="C37" s="6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Q37" s="4"/>
    </row>
    <row r="38" spans="1:17" s="37" customFormat="1" ht="15" customHeight="1" x14ac:dyDescent="0.3">
      <c r="A38" s="26"/>
      <c r="B38" s="7" t="s">
        <v>289</v>
      </c>
      <c r="C38" s="7"/>
      <c r="D38" s="4"/>
      <c r="E38" s="4"/>
      <c r="F38" s="4"/>
      <c r="G38" s="4"/>
      <c r="H38" s="4"/>
      <c r="I38" s="4"/>
      <c r="J38" s="4"/>
      <c r="K38" s="4"/>
      <c r="L38" s="4">
        <v>272.83</v>
      </c>
      <c r="M38" s="4">
        <v>333.85</v>
      </c>
      <c r="N38" s="4"/>
      <c r="O38" s="4"/>
      <c r="Q38" s="3">
        <f>SUM(OSRRefD28_0x)+IFERROR(SUM(OSRRefE28_0x),0)</f>
        <v>606.68000000000006</v>
      </c>
    </row>
    <row r="39" spans="1:17" ht="15" customHeight="1" x14ac:dyDescent="0.3">
      <c r="A39" s="6"/>
      <c r="B39" s="7"/>
      <c r="C39" s="7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Q39" s="4"/>
    </row>
    <row r="40" spans="1:17" s="37" customFormat="1" ht="15.75" customHeight="1" x14ac:dyDescent="0.3">
      <c r="A40" s="7"/>
      <c r="B40" s="18" t="s">
        <v>290</v>
      </c>
      <c r="C40" s="18"/>
      <c r="D40" s="8">
        <f t="shared" ref="D40:O40" si="4">IFERROR(+D35-D38,0)</f>
        <v>0</v>
      </c>
      <c r="E40" s="8">
        <f t="shared" si="4"/>
        <v>0</v>
      </c>
      <c r="F40" s="8">
        <f t="shared" si="4"/>
        <v>0</v>
      </c>
      <c r="G40" s="8">
        <f t="shared" si="4"/>
        <v>0</v>
      </c>
      <c r="H40" s="8">
        <f t="shared" si="4"/>
        <v>0</v>
      </c>
      <c r="I40" s="8">
        <f t="shared" si="4"/>
        <v>0</v>
      </c>
      <c r="J40" s="8">
        <f t="shared" si="4"/>
        <v>-0.28000000000000003</v>
      </c>
      <c r="K40" s="8">
        <f t="shared" si="4"/>
        <v>0</v>
      </c>
      <c r="L40" s="8">
        <f t="shared" si="4"/>
        <v>2013.15</v>
      </c>
      <c r="M40" s="8">
        <f t="shared" si="4"/>
        <v>-2311.1900000000005</v>
      </c>
      <c r="N40" s="8">
        <f t="shared" si="4"/>
        <v>0</v>
      </c>
      <c r="O40" s="8">
        <f t="shared" si="4"/>
        <v>0</v>
      </c>
      <c r="Q40" s="8">
        <f>IFERROR(+Q35-Q38,0)</f>
        <v>-298.32000000000085</v>
      </c>
    </row>
    <row r="41" spans="1:17" ht="15.75" customHeight="1" x14ac:dyDescent="0.3">
      <c r="A41" s="6"/>
      <c r="B41" s="6"/>
      <c r="C41" s="6"/>
      <c r="D41" s="5">
        <f t="shared" ref="D41:O41" si="5">IFERROR(D40/D10,0)</f>
        <v>0</v>
      </c>
      <c r="E41" s="5">
        <f t="shared" si="5"/>
        <v>0</v>
      </c>
      <c r="F41" s="5">
        <f t="shared" si="5"/>
        <v>0</v>
      </c>
      <c r="G41" s="5">
        <f t="shared" si="5"/>
        <v>0</v>
      </c>
      <c r="H41" s="5">
        <f t="shared" si="5"/>
        <v>0</v>
      </c>
      <c r="I41" s="5">
        <f t="shared" si="5"/>
        <v>0</v>
      </c>
      <c r="J41" s="5">
        <f t="shared" si="5"/>
        <v>0</v>
      </c>
      <c r="K41" s="5">
        <f t="shared" si="5"/>
        <v>0</v>
      </c>
      <c r="L41" s="5">
        <f t="shared" si="5"/>
        <v>0.88065074935038801</v>
      </c>
      <c r="M41" s="5">
        <f t="shared" si="5"/>
        <v>-0.75296796809841549</v>
      </c>
      <c r="N41" s="5">
        <f t="shared" si="5"/>
        <v>0</v>
      </c>
      <c r="O41" s="5">
        <f t="shared" si="5"/>
        <v>0</v>
      </c>
      <c r="P41" s="19"/>
      <c r="Q41" s="5">
        <f>IFERROR(Q40/Q10,0)</f>
        <v>-5.5704314507545781E-2</v>
      </c>
    </row>
    <row r="42" spans="1:17" ht="15" customHeight="1" x14ac:dyDescent="0.3">
      <c r="A42" s="6"/>
      <c r="B42" s="6"/>
      <c r="C42" s="6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Q42" s="4"/>
    </row>
    <row r="43" spans="1:17" ht="15" customHeight="1" x14ac:dyDescent="0.3">
      <c r="A43" s="6"/>
      <c r="B43" s="6"/>
      <c r="C43" s="6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Q43" s="4"/>
    </row>
    <row r="44" spans="1:17" s="37" customFormat="1" ht="15.75" customHeight="1" x14ac:dyDescent="0.3">
      <c r="A44" s="7"/>
      <c r="B44" s="18" t="s">
        <v>293</v>
      </c>
      <c r="C44" s="18"/>
      <c r="D44" s="8">
        <f t="shared" ref="D44:O44" si="6">IFERROR(SUM(D40:D43),0)</f>
        <v>0</v>
      </c>
      <c r="E44" s="8">
        <f t="shared" si="6"/>
        <v>0</v>
      </c>
      <c r="F44" s="8">
        <f t="shared" si="6"/>
        <v>0</v>
      </c>
      <c r="G44" s="8">
        <f t="shared" si="6"/>
        <v>0</v>
      </c>
      <c r="H44" s="8">
        <f t="shared" si="6"/>
        <v>0</v>
      </c>
      <c r="I44" s="8">
        <f t="shared" si="6"/>
        <v>0</v>
      </c>
      <c r="J44" s="8">
        <f t="shared" si="6"/>
        <v>-0.28000000000000003</v>
      </c>
      <c r="K44" s="8">
        <f t="shared" si="6"/>
        <v>0</v>
      </c>
      <c r="L44" s="8">
        <f t="shared" si="6"/>
        <v>2014.0306507493506</v>
      </c>
      <c r="M44" s="8">
        <f t="shared" si="6"/>
        <v>-2311.9429679680989</v>
      </c>
      <c r="N44" s="8">
        <f t="shared" si="6"/>
        <v>0</v>
      </c>
      <c r="O44" s="8">
        <f t="shared" si="6"/>
        <v>0</v>
      </c>
      <c r="Q44" s="8">
        <f>IFERROR(SUM(Q40:Q43),0)</f>
        <v>-298.37570431450837</v>
      </c>
    </row>
    <row r="45" spans="1:17" ht="15.75" customHeight="1" x14ac:dyDescent="0.3">
      <c r="A45" s="6"/>
      <c r="C45" s="6"/>
      <c r="D45" s="5">
        <f t="shared" ref="D45:O45" si="7">IFERROR(D44/D10,0)</f>
        <v>0</v>
      </c>
      <c r="E45" s="5">
        <f t="shared" si="7"/>
        <v>0</v>
      </c>
      <c r="F45" s="5">
        <f t="shared" si="7"/>
        <v>0</v>
      </c>
      <c r="G45" s="5">
        <f t="shared" si="7"/>
        <v>0</v>
      </c>
      <c r="H45" s="5">
        <f t="shared" si="7"/>
        <v>0</v>
      </c>
      <c r="I45" s="5">
        <f t="shared" si="7"/>
        <v>0</v>
      </c>
      <c r="J45" s="5">
        <f t="shared" si="7"/>
        <v>0</v>
      </c>
      <c r="K45" s="5">
        <f t="shared" si="7"/>
        <v>0</v>
      </c>
      <c r="L45" s="5">
        <f t="shared" si="7"/>
        <v>0.88103598926908833</v>
      </c>
      <c r="M45" s="5">
        <f t="shared" si="7"/>
        <v>-0.75321327928485293</v>
      </c>
      <c r="N45" s="5">
        <f t="shared" si="7"/>
        <v>0</v>
      </c>
      <c r="O45" s="5">
        <f t="shared" si="7"/>
        <v>0</v>
      </c>
      <c r="P45" s="19"/>
      <c r="Q45" s="5">
        <f>IFERROR(Q44/Q10,0)</f>
        <v>-5.5714715991371053E-2</v>
      </c>
    </row>
    <row r="46" spans="1:17" ht="15" customHeight="1" x14ac:dyDescent="0.3">
      <c r="A46" s="6"/>
      <c r="B46" s="33">
        <v>44694.892891863426</v>
      </c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Q46" s="14"/>
    </row>
    <row r="47" spans="1:17" ht="15" customHeight="1" x14ac:dyDescent="0.3">
      <c r="A47" s="6"/>
      <c r="B47" s="31" t="s">
        <v>294</v>
      </c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Q47" s="14"/>
    </row>
    <row r="48" spans="1:17" ht="15" customHeight="1" x14ac:dyDescent="0.3">
      <c r="A48" s="6"/>
      <c r="B48" s="27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Q48" s="14"/>
    </row>
    <row r="49" spans="4:17" ht="15" customHeight="1" x14ac:dyDescent="0.3"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Q49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8558E-FC5A-463A-BEC3-CA6951FE3F7E}">
  <sheetPr>
    <tabColor rgb="FFFFC00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278</v>
      </c>
    </row>
    <row r="5" spans="1:8" ht="15" customHeight="1" x14ac:dyDescent="0.3">
      <c r="A5" s="16"/>
      <c r="B5" s="16" t="s">
        <v>299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281</v>
      </c>
    </row>
    <row r="8" spans="1:8" ht="15" customHeight="1" x14ac:dyDescent="0.3">
      <c r="A8" s="7"/>
      <c r="B8" s="28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39DC1-469C-DC08-62FA-09DD1AACF681}">
  <sheetPr>
    <tabColor rgb="FF92D050"/>
    <outlinePr summaryBelow="0" summaryRight="0"/>
    <pageSetUpPr fitToPage="1"/>
  </sheetPr>
  <dimension ref="A2:R104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","444"," - ","Parkside Dining Hall")</f>
        <v>Department 444 - Parkside Dining Hall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22987.35</v>
      </c>
      <c r="E10" s="4">
        <f>SUM(OSRRefD11x_1)</f>
        <v>230888.82</v>
      </c>
      <c r="F10" s="4">
        <f>SUM(OSRRefD11x_2)</f>
        <v>686332.24</v>
      </c>
      <c r="G10" s="4">
        <f>SUM(OSRRefD11x_3)</f>
        <v>799980.21</v>
      </c>
      <c r="H10" s="4">
        <f>SUM(OSRRefD11x_4)</f>
        <v>639864.36</v>
      </c>
      <c r="I10" s="4">
        <f>SUM(OSRRefD11x_5)</f>
        <v>480584.42000000004</v>
      </c>
      <c r="J10" s="4">
        <f>SUM(OSRRefD11x_6)</f>
        <v>310868.02999999997</v>
      </c>
      <c r="K10" s="4">
        <f>SUM(OSRRefD11x_7)</f>
        <v>677964.46999999986</v>
      </c>
      <c r="L10" s="4">
        <f>SUM(OSRRefD11x_8)</f>
        <v>676101.7</v>
      </c>
      <c r="M10" s="4">
        <f>SUM(OSRRefD11x_9)</f>
        <v>841412.03999999992</v>
      </c>
      <c r="N10" s="4">
        <f>SUM(OSRRefE11x_0)</f>
        <v>297000</v>
      </c>
      <c r="O10" s="4">
        <f>SUM(OSRRefE11x_1)</f>
        <v>0</v>
      </c>
      <c r="P10" s="25"/>
      <c r="Q10" s="4">
        <f>SUM(OSRRefG11x)</f>
        <v>5663983.6399999997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","4053"," - ","TAXABLE SALES-FOOD")</f>
        <v xml:space="preserve">          4053 - TAXABLE SALES-FOOD</v>
      </c>
      <c r="C11" s="23"/>
      <c r="D11" s="3">
        <f>--106.64</f>
        <v>106.64</v>
      </c>
      <c r="E11" s="3">
        <f>--80.88</f>
        <v>80.88</v>
      </c>
      <c r="F11" s="3">
        <f>--11.12</f>
        <v>11.12</v>
      </c>
      <c r="G11" s="3">
        <f>--195.5</f>
        <v>195.5</v>
      </c>
      <c r="H11" s="3">
        <f>--93.84</f>
        <v>93.84</v>
      </c>
      <c r="I11" s="3">
        <f>--88.78</f>
        <v>88.78</v>
      </c>
      <c r="J11" s="3">
        <f>--58.73</f>
        <v>58.73</v>
      </c>
      <c r="K11" s="3">
        <f>--111.21</f>
        <v>111.21</v>
      </c>
      <c r="L11" s="3">
        <f>--199.6</f>
        <v>199.6</v>
      </c>
      <c r="M11" s="3">
        <f>--177.76</f>
        <v>177.76</v>
      </c>
      <c r="N11" s="3"/>
      <c r="O11" s="3"/>
      <c r="Q11" s="3">
        <f>SUM(OSRRefD11_0x)+IFERROR(SUM(OSRRefE11_0x),0)</f>
        <v>1124.06</v>
      </c>
    </row>
    <row r="12" spans="1:18" s="39" customFormat="1" ht="15" hidden="1" customHeight="1" outlineLevel="1" x14ac:dyDescent="0.3">
      <c r="A12" s="24"/>
      <c r="B12" s="11" t="str">
        <f>CONCATENATE("          ","4100"," - ","NON-TAXABLE SALES")</f>
        <v xml:space="preserve">          4100 - NON-TAXABLE SALES</v>
      </c>
      <c r="C12" s="23"/>
      <c r="D12" s="3">
        <f>0</f>
        <v>0</v>
      </c>
      <c r="E12" s="3">
        <f>0</f>
        <v>0</v>
      </c>
      <c r="F12" s="3">
        <f>0</f>
        <v>0</v>
      </c>
      <c r="G12" s="3">
        <f>0</f>
        <v>0</v>
      </c>
      <c r="H12" s="3">
        <f>0</f>
        <v>0</v>
      </c>
      <c r="I12" s="3">
        <f>0</f>
        <v>0</v>
      </c>
      <c r="J12" s="3">
        <f>0</f>
        <v>0</v>
      </c>
      <c r="K12" s="3">
        <f>0</f>
        <v>0</v>
      </c>
      <c r="L12" s="3">
        <f>0</f>
        <v>0</v>
      </c>
      <c r="M12" s="3">
        <f>0</f>
        <v>0</v>
      </c>
      <c r="N12" s="3">
        <v>297000</v>
      </c>
      <c r="O12" s="3"/>
      <c r="Q12" s="3">
        <f>SUM(OSRRefD11_1x)+IFERROR(SUM(OSRRefE11_1x),0)</f>
        <v>297000</v>
      </c>
    </row>
    <row r="13" spans="1:18" s="39" customFormat="1" ht="15" hidden="1" customHeight="1" outlineLevel="1" x14ac:dyDescent="0.3">
      <c r="A13" s="24"/>
      <c r="B13" s="11" t="str">
        <f>CONCATENATE("          ","4151"," - ","NON-TAXABLE SALES-FOOD")</f>
        <v xml:space="preserve">          4151 - NON-TAXABLE SALES-FOOD</v>
      </c>
      <c r="C13" s="23"/>
      <c r="D13" s="3">
        <f>--19600</f>
        <v>19600</v>
      </c>
      <c r="E13" s="3">
        <f>--229419.92</f>
        <v>229419.92</v>
      </c>
      <c r="F13" s="3">
        <f>--682773.44</f>
        <v>682773.44</v>
      </c>
      <c r="G13" s="3">
        <f>--796990.21</f>
        <v>796990.21</v>
      </c>
      <c r="H13" s="3">
        <f>--638092.16</f>
        <v>638092.16</v>
      </c>
      <c r="I13" s="3">
        <f>--479494.12</f>
        <v>479494.12</v>
      </c>
      <c r="J13" s="3">
        <f>--309702.33</f>
        <v>309702.33</v>
      </c>
      <c r="K13" s="3">
        <f>--674912.57</f>
        <v>674912.57</v>
      </c>
      <c r="L13" s="3">
        <f>--671884.24</f>
        <v>671884.24</v>
      </c>
      <c r="M13" s="3">
        <f>--836832.84</f>
        <v>836832.84</v>
      </c>
      <c r="N13" s="3"/>
      <c r="O13" s="3"/>
      <c r="Q13" s="3">
        <f>SUM(OSRRefD11_2x)+IFERROR(SUM(OSRRefE11_2x),0)</f>
        <v>5339701.83</v>
      </c>
    </row>
    <row r="14" spans="1:18" s="39" customFormat="1" ht="15" hidden="1" customHeight="1" outlineLevel="1" x14ac:dyDescent="0.3">
      <c r="A14" s="24"/>
      <c r="B14" s="11" t="str">
        <f>CONCATENATE("          ","4153"," - ","NON-TAXABLE SALES-FOOD")</f>
        <v xml:space="preserve">          4153 - NON-TAXABLE SALES-FOOD</v>
      </c>
      <c r="C14" s="23"/>
      <c r="D14" s="3">
        <f>--3280.71</f>
        <v>3280.71</v>
      </c>
      <c r="E14" s="3">
        <f>--1388.02</f>
        <v>1388.02</v>
      </c>
      <c r="F14" s="3">
        <f>--3547.68</f>
        <v>3547.68</v>
      </c>
      <c r="G14" s="3">
        <f>--2794.5</f>
        <v>2794.5</v>
      </c>
      <c r="H14" s="3">
        <f>--1678.36</f>
        <v>1678.36</v>
      </c>
      <c r="I14" s="3">
        <f>--1001.52</f>
        <v>1001.52</v>
      </c>
      <c r="J14" s="3">
        <f>--1106.97</f>
        <v>1106.97</v>
      </c>
      <c r="K14" s="3">
        <f>--2940.69</f>
        <v>2940.69</v>
      </c>
      <c r="L14" s="3">
        <f>--4017.86</f>
        <v>4017.86</v>
      </c>
      <c r="M14" s="3">
        <f>--4401.44</f>
        <v>4401.4399999999996</v>
      </c>
      <c r="N14" s="3"/>
      <c r="O14" s="3"/>
      <c r="Q14" s="3">
        <f>SUM(OSRRefD11_3x)+IFERROR(SUM(OSRRefE11_3x),0)</f>
        <v>26157.75</v>
      </c>
    </row>
    <row r="15" spans="1:18" ht="15" customHeight="1" x14ac:dyDescent="0.3">
      <c r="A15" s="6"/>
      <c r="B15" s="7"/>
      <c r="C15" s="6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Q15" s="4"/>
    </row>
    <row r="16" spans="1:18" s="39" customFormat="1" ht="15" customHeight="1" collapsed="1" x14ac:dyDescent="0.3">
      <c r="A16" s="24"/>
      <c r="B16" s="17" t="s">
        <v>284</v>
      </c>
      <c r="C16" s="23"/>
      <c r="D16" s="4">
        <f>SUM(OSRRefD14x_0)</f>
        <v>17128.84</v>
      </c>
      <c r="E16" s="4">
        <f>SUM(OSRRefD14x_1)</f>
        <v>91448.72</v>
      </c>
      <c r="F16" s="4">
        <f>SUM(OSRRefD14x_2)</f>
        <v>163730.09</v>
      </c>
      <c r="G16" s="4">
        <f>SUM(OSRRefD14x_3)</f>
        <v>222191.58</v>
      </c>
      <c r="H16" s="4">
        <f>SUM(OSRRefD14x_4)</f>
        <v>123227.99</v>
      </c>
      <c r="I16" s="4">
        <f>SUM(OSRRefD14x_5)</f>
        <v>115307.46</v>
      </c>
      <c r="J16" s="4">
        <f>SUM(OSRRefD14x_6)</f>
        <v>40781.550000000003</v>
      </c>
      <c r="K16" s="4">
        <f>SUM(OSRRefD14x_7)</f>
        <v>152052.43</v>
      </c>
      <c r="L16" s="4">
        <f>SUM(OSRRefD14x_8)</f>
        <v>158820.76999999999</v>
      </c>
      <c r="M16" s="4">
        <f>SUM(OSRRefD14x_9)</f>
        <v>156115.98000000001</v>
      </c>
      <c r="N16" s="4">
        <f>SUM(OSRRefE14x_0)</f>
        <v>89100</v>
      </c>
      <c r="O16" s="4">
        <f>SUM(OSRRefE14x_1)</f>
        <v>0</v>
      </c>
      <c r="Q16" s="4">
        <f>SUM(OSRRefG14x)</f>
        <v>1329905.4099999999</v>
      </c>
    </row>
    <row r="17" spans="1:17" s="39" customFormat="1" ht="15" hidden="1" customHeight="1" outlineLevel="1" x14ac:dyDescent="0.3">
      <c r="A17" s="24"/>
      <c r="B17" s="11" t="str">
        <f>CONCATENATE("          ","5000"," - ","PURCHASES @ COST")</f>
        <v xml:space="preserve">          5000 - PURCHASES @ COST</v>
      </c>
      <c r="C17" s="23"/>
      <c r="D17" s="3"/>
      <c r="E17" s="3"/>
      <c r="F17" s="3"/>
      <c r="G17" s="3"/>
      <c r="H17" s="3"/>
      <c r="I17" s="3"/>
      <c r="J17" s="3"/>
      <c r="K17" s="3"/>
      <c r="L17" s="3"/>
      <c r="M17" s="3"/>
      <c r="N17" s="3">
        <v>89100</v>
      </c>
      <c r="O17" s="3"/>
      <c r="Q17" s="3">
        <f>SUM(OSRRefD14_0x)+IFERROR(SUM(OSRRefE14_0x),0)</f>
        <v>89100</v>
      </c>
    </row>
    <row r="18" spans="1:17" s="39" customFormat="1" ht="15" hidden="1" customHeight="1" outlineLevel="1" x14ac:dyDescent="0.3">
      <c r="A18" s="24"/>
      <c r="B18" s="11" t="str">
        <f>CONCATENATE("          ","5053"," - ","PURCHASES @ COST-FOOD")</f>
        <v xml:space="preserve">          5053 - PURCHASES @ COST-FOOD</v>
      </c>
      <c r="C18" s="23"/>
      <c r="D18" s="3">
        <v>17968.84</v>
      </c>
      <c r="E18" s="3">
        <v>101379.72</v>
      </c>
      <c r="F18" s="3">
        <v>166426.09</v>
      </c>
      <c r="G18" s="3">
        <v>220442.58</v>
      </c>
      <c r="H18" s="3">
        <v>121057.99</v>
      </c>
      <c r="I18" s="3">
        <v>97137.46</v>
      </c>
      <c r="J18" s="3">
        <v>56297.55</v>
      </c>
      <c r="K18" s="3">
        <v>155989.43</v>
      </c>
      <c r="L18" s="3">
        <v>151246.76999999999</v>
      </c>
      <c r="M18" s="3">
        <v>158461.98000000001</v>
      </c>
      <c r="N18" s="3"/>
      <c r="O18" s="3"/>
      <c r="Q18" s="3">
        <f>SUM(OSRRefD14_1x)+IFERROR(SUM(OSRRefE14_1x),0)</f>
        <v>1246408.4099999999</v>
      </c>
    </row>
    <row r="19" spans="1:17" s="39" customFormat="1" ht="15" hidden="1" customHeight="1" outlineLevel="1" x14ac:dyDescent="0.3">
      <c r="A19" s="24"/>
      <c r="B19" s="11" t="str">
        <f>CONCATENATE("          ","5059"," - ","PURCHASES @ COST-FOOD")</f>
        <v xml:space="preserve">          5059 - PURCHASES @ COST-FOOD</v>
      </c>
      <c r="C19" s="23"/>
      <c r="D19" s="3">
        <v>-840</v>
      </c>
      <c r="E19" s="3">
        <v>-9931</v>
      </c>
      <c r="F19" s="3">
        <v>-2696</v>
      </c>
      <c r="G19" s="3">
        <v>1749</v>
      </c>
      <c r="H19" s="3">
        <v>2170</v>
      </c>
      <c r="I19" s="3">
        <v>18170</v>
      </c>
      <c r="J19" s="3">
        <v>-15516</v>
      </c>
      <c r="K19" s="3">
        <v>-3937</v>
      </c>
      <c r="L19" s="3">
        <v>7574</v>
      </c>
      <c r="M19" s="3">
        <v>-2346</v>
      </c>
      <c r="N19" s="3"/>
      <c r="O19" s="3"/>
      <c r="Q19" s="3">
        <f>SUM(OSRRefD14_2x)+IFERROR(SUM(OSRRefE14_2x),0)</f>
        <v>-5603</v>
      </c>
    </row>
    <row r="20" spans="1:17" ht="15" customHeight="1" x14ac:dyDescent="0.3">
      <c r="A20" s="6"/>
      <c r="B20" s="7"/>
      <c r="C20" s="7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Q20" s="4"/>
    </row>
    <row r="21" spans="1:17" s="37" customFormat="1" ht="15" customHeight="1" x14ac:dyDescent="0.3">
      <c r="A21" s="7"/>
      <c r="B21" s="18" t="s">
        <v>285</v>
      </c>
      <c r="C21" s="18"/>
      <c r="D21" s="9">
        <f t="shared" ref="D21:O21" si="0">IFERROR(+D10-D16,0)</f>
        <v>5858.5099999999984</v>
      </c>
      <c r="E21" s="9">
        <f t="shared" si="0"/>
        <v>139440.1</v>
      </c>
      <c r="F21" s="9">
        <f t="shared" si="0"/>
        <v>522602.15</v>
      </c>
      <c r="G21" s="9">
        <f t="shared" si="0"/>
        <v>577788.63</v>
      </c>
      <c r="H21" s="9">
        <f t="shared" si="0"/>
        <v>516636.37</v>
      </c>
      <c r="I21" s="9">
        <f t="shared" si="0"/>
        <v>365276.96</v>
      </c>
      <c r="J21" s="9">
        <f t="shared" si="0"/>
        <v>270086.48</v>
      </c>
      <c r="K21" s="9">
        <f t="shared" si="0"/>
        <v>525912.0399999998</v>
      </c>
      <c r="L21" s="9">
        <f t="shared" si="0"/>
        <v>517280.92999999993</v>
      </c>
      <c r="M21" s="9">
        <f t="shared" si="0"/>
        <v>685296.05999999994</v>
      </c>
      <c r="N21" s="9">
        <f t="shared" si="0"/>
        <v>207900</v>
      </c>
      <c r="O21" s="9">
        <f t="shared" si="0"/>
        <v>0</v>
      </c>
      <c r="Q21" s="9">
        <f>IFERROR(+Q10-Q16,0)</f>
        <v>4334078.2299999995</v>
      </c>
    </row>
    <row r="22" spans="1:17" s="38" customFormat="1" ht="15" customHeight="1" x14ac:dyDescent="0.3">
      <c r="B22" s="17"/>
      <c r="C22" s="17"/>
      <c r="D22" s="5">
        <f t="shared" ref="D22:O22" si="1">IFERROR(D21/D10,0)</f>
        <v>0.25485799798584868</v>
      </c>
      <c r="E22" s="5">
        <f t="shared" si="1"/>
        <v>0.60392746604188108</v>
      </c>
      <c r="F22" s="5">
        <f t="shared" si="1"/>
        <v>0.761441936634071</v>
      </c>
      <c r="G22" s="5">
        <f t="shared" si="1"/>
        <v>0.72225365424977206</v>
      </c>
      <c r="H22" s="5">
        <f t="shared" si="1"/>
        <v>0.80741544973687862</v>
      </c>
      <c r="I22" s="5">
        <f t="shared" si="1"/>
        <v>0.76006825190046734</v>
      </c>
      <c r="J22" s="5">
        <f t="shared" si="1"/>
        <v>0.86881394654831512</v>
      </c>
      <c r="K22" s="5">
        <f t="shared" si="1"/>
        <v>0.77572212596922652</v>
      </c>
      <c r="L22" s="5">
        <f t="shared" si="1"/>
        <v>0.76509337278696377</v>
      </c>
      <c r="M22" s="5">
        <f t="shared" si="1"/>
        <v>0.81445953637649393</v>
      </c>
      <c r="N22" s="5">
        <f t="shared" si="1"/>
        <v>0.7</v>
      </c>
      <c r="O22" s="5">
        <f t="shared" si="1"/>
        <v>0</v>
      </c>
      <c r="P22" s="19"/>
      <c r="Q22" s="5">
        <f>IFERROR(Q21/Q10,0)</f>
        <v>0.76519963782946232</v>
      </c>
    </row>
    <row r="23" spans="1:17" ht="15" customHeight="1" x14ac:dyDescent="0.3">
      <c r="A23" s="6"/>
      <c r="B23" s="7"/>
      <c r="C23" s="6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Q23" s="2"/>
    </row>
    <row r="24" spans="1:17" s="37" customFormat="1" ht="15" customHeight="1" x14ac:dyDescent="0.3">
      <c r="A24" s="7"/>
      <c r="B24" s="17" t="s">
        <v>286</v>
      </c>
      <c r="C24" s="7"/>
      <c r="D24" s="12" cm="1">
        <f t="array" ref="D24">SUM(OSRRefD20x_0)</f>
        <v>91690.75</v>
      </c>
      <c r="E24" s="12" cm="1">
        <f t="array" ref="E24">SUM(OSRRefD20x_1)</f>
        <v>129711.97</v>
      </c>
      <c r="F24" s="12" cm="1">
        <f t="array" ref="F24">SUM(OSRRefD20x_2)</f>
        <v>201112.06999999998</v>
      </c>
      <c r="G24" s="12" cm="1">
        <f t="array" ref="G24">SUM(OSRRefD20x_3)</f>
        <v>308528.08</v>
      </c>
      <c r="H24" s="12" cm="1">
        <f t="array" ref="H24">SUM(OSRRefD20x_4)</f>
        <v>196578.66000000003</v>
      </c>
      <c r="I24" s="12" cm="1">
        <f t="array" ref="I24">SUM(OSRRefD20x_5)</f>
        <v>186289.77</v>
      </c>
      <c r="J24" s="12" cm="1">
        <f t="array" ref="J24">SUM(OSRRefD20x_6)</f>
        <v>127504.17000000001</v>
      </c>
      <c r="K24" s="12" cm="1">
        <f t="array" ref="K24">SUM(OSRRefD20x_7)</f>
        <v>217995.12999999998</v>
      </c>
      <c r="L24" s="12" cm="1">
        <f t="array" ref="L24">SUM(OSRRefD20x_8)</f>
        <v>220502.02000000002</v>
      </c>
      <c r="M24" s="12" cm="1">
        <f t="array" ref="M24">SUM(OSRRefD20x_9)</f>
        <v>245578.16000000003</v>
      </c>
      <c r="N24" s="12" cm="1">
        <f t="array" ref="N24">SUM(OSRRefE20x_0)</f>
        <v>169867.87569121993</v>
      </c>
      <c r="O24" s="12" cm="1">
        <f t="array" ref="O24">SUM(OSRRefE20x_1)</f>
        <v>103302.49969121994</v>
      </c>
      <c r="Q24" s="12" cm="1">
        <f t="array" ref="Q24">SUM(OSRRefG20x)</f>
        <v>2198661.1553824404</v>
      </c>
    </row>
    <row r="25" spans="1:17" s="42" customFormat="1" ht="15" customHeight="1" collapsed="1" x14ac:dyDescent="0.3">
      <c r="A25" s="34"/>
      <c r="B25" s="15" t="str">
        <f>CONCATENATE("     ","*Benefits                                         ")</f>
        <v xml:space="preserve">     *Benefits                                         </v>
      </c>
      <c r="C25" s="15"/>
      <c r="D25" s="2">
        <f>SUM(OSRRefD21_0x_0)</f>
        <v>26752.260000000002</v>
      </c>
      <c r="E25" s="2">
        <f>SUM(OSRRefD21_0x_1)</f>
        <v>30558.639999999999</v>
      </c>
      <c r="F25" s="2">
        <f>SUM(OSRRefD21_0x_2)</f>
        <v>31119.300000000003</v>
      </c>
      <c r="G25" s="2">
        <f>SUM(OSRRefD21_0x_3)</f>
        <v>37651.439999999995</v>
      </c>
      <c r="H25" s="2">
        <f>SUM(OSRRefD21_0x_4)</f>
        <v>30810.309999999998</v>
      </c>
      <c r="I25" s="2">
        <f>SUM(OSRRefD21_0x_5)</f>
        <v>28841.649999999998</v>
      </c>
      <c r="J25" s="2">
        <f>SUM(OSRRefD21_0x_6)</f>
        <v>26798.07</v>
      </c>
      <c r="K25" s="2">
        <f>SUM(OSRRefD21_0x_7)</f>
        <v>28763.53</v>
      </c>
      <c r="L25" s="2">
        <f>SUM(OSRRefD21_0x_8)</f>
        <v>28495.360000000001</v>
      </c>
      <c r="M25" s="2">
        <f>SUM(OSRRefD21_0x_9)</f>
        <v>32672.38</v>
      </c>
      <c r="N25" s="2">
        <f>SUM(OSRRefE21_0x_0)</f>
        <v>37072.84266045074</v>
      </c>
      <c r="O25" s="2">
        <f>SUM(OSRRefE21_0x_1)</f>
        <v>34339.384660450742</v>
      </c>
      <c r="Q25" s="3">
        <f>SUM(OSRRefD20_0x)+IFERROR(SUM(OSRRefE20_0x),0)</f>
        <v>373875.16732090147</v>
      </c>
    </row>
    <row r="26" spans="1:17" s="42" customFormat="1" ht="15" hidden="1" customHeight="1" outlineLevel="1" x14ac:dyDescent="0.3">
      <c r="A26" s="34"/>
      <c r="B26" s="11" t="str">
        <f>CONCATENATE("          ","6111"," - ","F.I.C.A.")</f>
        <v xml:space="preserve">          6111 - F.I.C.A.</v>
      </c>
      <c r="C26" s="15"/>
      <c r="D26" s="3">
        <v>3197.69</v>
      </c>
      <c r="E26" s="3">
        <v>4392.45</v>
      </c>
      <c r="F26" s="3">
        <v>5155.2700000000004</v>
      </c>
      <c r="G26" s="3">
        <v>7863.4</v>
      </c>
      <c r="H26" s="3">
        <v>4780.8100000000004</v>
      </c>
      <c r="I26" s="3">
        <v>3919.17</v>
      </c>
      <c r="J26" s="3">
        <v>3152.36</v>
      </c>
      <c r="K26" s="3">
        <v>4736.09</v>
      </c>
      <c r="L26" s="3">
        <v>4408.5600000000004</v>
      </c>
      <c r="M26" s="3">
        <v>6096.37</v>
      </c>
      <c r="N26" s="3">
        <v>3512.8786589123101</v>
      </c>
      <c r="O26" s="3">
        <v>3512.8786589123101</v>
      </c>
      <c r="P26" s="10"/>
      <c r="Q26" s="3">
        <f>SUM(OSRRefD21_0_0x)+IFERROR(SUM(OSRRefE21_0_0x),0)</f>
        <v>54727.927317824622</v>
      </c>
    </row>
    <row r="27" spans="1:17" s="42" customFormat="1" ht="15" hidden="1" customHeight="1" outlineLevel="1" x14ac:dyDescent="0.3">
      <c r="A27" s="34"/>
      <c r="B27" s="11" t="str">
        <f>CONCATENATE("          ","6112"," - ","COMPENSATION INSURANCE")</f>
        <v xml:space="preserve">          6112 - COMPENSATION INSURANCE</v>
      </c>
      <c r="C27" s="15"/>
      <c r="D27" s="3">
        <v>1499.97</v>
      </c>
      <c r="E27" s="3">
        <v>2075.0500000000002</v>
      </c>
      <c r="F27" s="3">
        <v>3195.52</v>
      </c>
      <c r="G27" s="3">
        <v>4805.13</v>
      </c>
      <c r="H27" s="3">
        <v>3295.26</v>
      </c>
      <c r="I27" s="3">
        <v>3186.31</v>
      </c>
      <c r="J27" s="3">
        <v>1773.5</v>
      </c>
      <c r="K27" s="3">
        <v>3687.84</v>
      </c>
      <c r="L27" s="3">
        <v>4192.41</v>
      </c>
      <c r="M27" s="3">
        <v>3163.76</v>
      </c>
      <c r="N27" s="3">
        <v>3392.2160661384601</v>
      </c>
      <c r="O27" s="3">
        <v>1912.2438061384601</v>
      </c>
      <c r="P27" s="10"/>
      <c r="Q27" s="3">
        <f>SUM(OSRRefD21_0_1x)+IFERROR(SUM(OSRRefE21_0_1x),0)</f>
        <v>36179.209872276922</v>
      </c>
    </row>
    <row r="28" spans="1:17" s="42" customFormat="1" ht="15" hidden="1" customHeight="1" outlineLevel="1" x14ac:dyDescent="0.3">
      <c r="A28" s="34"/>
      <c r="B28" s="11" t="str">
        <f>CONCATENATE("          ","6113"," - ","GROUP INSURANCE")</f>
        <v xml:space="preserve">          6113 - GROUP INSURANCE</v>
      </c>
      <c r="C28" s="15"/>
      <c r="D28" s="3">
        <v>15037.24</v>
      </c>
      <c r="E28" s="3">
        <v>16426.810000000001</v>
      </c>
      <c r="F28" s="3">
        <v>16032.62</v>
      </c>
      <c r="G28" s="3">
        <v>14552.35</v>
      </c>
      <c r="H28" s="3">
        <v>15256.21</v>
      </c>
      <c r="I28" s="3">
        <v>14541.32</v>
      </c>
      <c r="J28" s="3">
        <v>12270.9</v>
      </c>
      <c r="K28" s="3">
        <v>13498.45</v>
      </c>
      <c r="L28" s="3">
        <v>12913.95</v>
      </c>
      <c r="M28" s="3">
        <v>13595.11</v>
      </c>
      <c r="N28" s="3">
        <v>21172.769230769201</v>
      </c>
      <c r="O28" s="3">
        <v>21172.769230769201</v>
      </c>
      <c r="P28" s="10"/>
      <c r="Q28" s="3">
        <f>SUM(OSRRefD21_0_2x)+IFERROR(SUM(OSRRefE21_0_2x),0)</f>
        <v>186470.49846153843</v>
      </c>
    </row>
    <row r="29" spans="1:17" s="42" customFormat="1" ht="15" hidden="1" customHeight="1" outlineLevel="1" x14ac:dyDescent="0.3">
      <c r="A29" s="34"/>
      <c r="B29" s="11" t="str">
        <f>CONCATENATE("          ","6114"," - ","STATE UNEMPLOYMENT INSURANCE")</f>
        <v xml:space="preserve">          6114 - STATE UNEMPLOYMENT INSURANCE</v>
      </c>
      <c r="C29" s="15"/>
      <c r="D29" s="3">
        <v>108.33</v>
      </c>
      <c r="E29" s="3">
        <v>149.87</v>
      </c>
      <c r="F29" s="3">
        <v>230.79</v>
      </c>
      <c r="G29" s="3">
        <v>347.02</v>
      </c>
      <c r="H29" s="3">
        <v>237.99</v>
      </c>
      <c r="I29" s="3">
        <v>230.12</v>
      </c>
      <c r="J29" s="3">
        <v>128.09</v>
      </c>
      <c r="K29" s="3">
        <v>266.33999999999997</v>
      </c>
      <c r="L29" s="3">
        <v>302.79000000000002</v>
      </c>
      <c r="M29" s="3">
        <v>228.49</v>
      </c>
      <c r="N29" s="3">
        <v>187.95920155384599</v>
      </c>
      <c r="O29" s="3">
        <v>105.95546155384601</v>
      </c>
      <c r="P29" s="10"/>
      <c r="Q29" s="3">
        <f>SUM(OSRRefD21_0_3x)+IFERROR(SUM(OSRRefE21_0_3x),0)</f>
        <v>2523.7446631076918</v>
      </c>
    </row>
    <row r="30" spans="1:17" s="42" customFormat="1" ht="15" hidden="1" customHeight="1" outlineLevel="1" x14ac:dyDescent="0.3">
      <c r="A30" s="34"/>
      <c r="B30" s="11" t="str">
        <f>CONCATENATE("          ","6115"," - ","P.E.R.S.")</f>
        <v xml:space="preserve">          6115 - P.E.R.S.</v>
      </c>
      <c r="C30" s="15"/>
      <c r="D30" s="3">
        <v>1434.5</v>
      </c>
      <c r="E30" s="3">
        <v>1434.5</v>
      </c>
      <c r="F30" s="3">
        <v>1434.5</v>
      </c>
      <c r="G30" s="3">
        <v>2151.75</v>
      </c>
      <c r="H30" s="3">
        <v>1432.43</v>
      </c>
      <c r="I30" s="3">
        <v>1491.88</v>
      </c>
      <c r="J30" s="3">
        <v>1163.51</v>
      </c>
      <c r="K30" s="3">
        <v>1163.51</v>
      </c>
      <c r="L30" s="3">
        <v>1163.51</v>
      </c>
      <c r="M30" s="3">
        <v>1555.76</v>
      </c>
      <c r="N30" s="3">
        <v>1406.6708415384601</v>
      </c>
      <c r="O30" s="3">
        <v>1406.6708415384601</v>
      </c>
      <c r="P30" s="10"/>
      <c r="Q30" s="3">
        <f>SUM(OSRRefD21_0_4x)+IFERROR(SUM(OSRRefE21_0_4x),0)</f>
        <v>17239.191683076922</v>
      </c>
    </row>
    <row r="31" spans="1:17" s="42" customFormat="1" ht="15" hidden="1" customHeight="1" outlineLevel="1" x14ac:dyDescent="0.3">
      <c r="A31" s="34"/>
      <c r="B31" s="11" t="str">
        <f>CONCATENATE("          ","6116"," - ","EDUCATIONAL BENEFITS")</f>
        <v xml:space="preserve">          6116 - EDUCATIONAL BENEFITS</v>
      </c>
      <c r="C31" s="15"/>
      <c r="D31" s="3"/>
      <c r="E31" s="3"/>
      <c r="F31" s="3"/>
      <c r="G31" s="3"/>
      <c r="H31" s="3"/>
      <c r="I31" s="3"/>
      <c r="J31" s="3"/>
      <c r="K31" s="3"/>
      <c r="L31" s="3"/>
      <c r="M31" s="3"/>
      <c r="N31" s="3">
        <v>0</v>
      </c>
      <c r="O31" s="3">
        <v>0</v>
      </c>
      <c r="P31" s="10"/>
      <c r="Q31" s="3">
        <f>SUM(OSRRefD21_0_5x)+IFERROR(SUM(OSRRefE21_0_5x),0)</f>
        <v>0</v>
      </c>
    </row>
    <row r="32" spans="1:17" s="42" customFormat="1" ht="15" hidden="1" customHeight="1" outlineLevel="1" x14ac:dyDescent="0.3">
      <c r="A32" s="34"/>
      <c r="B32" s="11" t="str">
        <f>CONCATENATE("          ","6117"," - ","RETIREMENT STAFF HOURLY")</f>
        <v xml:space="preserve">          6117 - RETIREMENT STAFF HOURLY</v>
      </c>
      <c r="C32" s="15"/>
      <c r="D32" s="3">
        <v>423.03</v>
      </c>
      <c r="E32" s="3">
        <v>691.24</v>
      </c>
      <c r="F32" s="3">
        <v>316.89999999999998</v>
      </c>
      <c r="G32" s="3">
        <v>461.01</v>
      </c>
      <c r="H32" s="3">
        <v>344.78</v>
      </c>
      <c r="I32" s="3">
        <v>341.07</v>
      </c>
      <c r="J32" s="3">
        <v>724.14</v>
      </c>
      <c r="K32" s="3">
        <v>795.2</v>
      </c>
      <c r="L32" s="3">
        <v>509.94</v>
      </c>
      <c r="M32" s="3">
        <v>535.4</v>
      </c>
      <c r="N32" s="3"/>
      <c r="O32" s="3"/>
      <c r="P32" s="10"/>
      <c r="Q32" s="3">
        <f>SUM(OSRRefD21_0_6x)+IFERROR(SUM(OSRRefE21_0_6x),0)</f>
        <v>5142.7099999999991</v>
      </c>
    </row>
    <row r="33" spans="1:17" s="42" customFormat="1" ht="15" hidden="1" customHeight="1" outlineLevel="1" x14ac:dyDescent="0.3">
      <c r="A33" s="34"/>
      <c r="B33" s="11" t="str">
        <f>CONCATENATE("          ","6118"," - ","VACATION")</f>
        <v xml:space="preserve">          6118 - VACATION</v>
      </c>
      <c r="C33" s="15"/>
      <c r="D33" s="3">
        <v>2494.04</v>
      </c>
      <c r="E33" s="3">
        <v>2542.33</v>
      </c>
      <c r="F33" s="3">
        <v>2432.7399999999998</v>
      </c>
      <c r="G33" s="3">
        <v>3436.63</v>
      </c>
      <c r="H33" s="3">
        <v>2493.56</v>
      </c>
      <c r="I33" s="3">
        <v>2549.44</v>
      </c>
      <c r="J33" s="3">
        <v>4206.37</v>
      </c>
      <c r="K33" s="3">
        <v>2315.2199999999998</v>
      </c>
      <c r="L33" s="3">
        <v>2337.8000000000002</v>
      </c>
      <c r="M33" s="3">
        <v>3662.53</v>
      </c>
      <c r="N33" s="3">
        <v>1967.9663307692299</v>
      </c>
      <c r="O33" s="3">
        <v>1967.9663307692299</v>
      </c>
      <c r="P33" s="10"/>
      <c r="Q33" s="3">
        <f>SUM(OSRRefD21_0_7x)+IFERROR(SUM(OSRRefE21_0_7x),0)</f>
        <v>32406.59266153846</v>
      </c>
    </row>
    <row r="34" spans="1:17" s="42" customFormat="1" ht="15" hidden="1" customHeight="1" outlineLevel="1" x14ac:dyDescent="0.3">
      <c r="A34" s="34"/>
      <c r="B34" s="11" t="str">
        <f>CONCATENATE("          ","6119"," - ","SICK LEAVE")</f>
        <v xml:space="preserve">          6119 - SICK LEAVE</v>
      </c>
      <c r="C34" s="15"/>
      <c r="D34" s="3">
        <v>1724</v>
      </c>
      <c r="E34" s="3">
        <v>1790.8</v>
      </c>
      <c r="F34" s="3">
        <v>1644.52</v>
      </c>
      <c r="G34" s="3">
        <v>2337.33</v>
      </c>
      <c r="H34" s="3">
        <v>1753.35</v>
      </c>
      <c r="I34" s="3">
        <v>1820.3</v>
      </c>
      <c r="J34" s="3">
        <v>2761.95</v>
      </c>
      <c r="K34" s="3">
        <v>1625.17</v>
      </c>
      <c r="L34" s="3">
        <v>1746.2</v>
      </c>
      <c r="M34" s="3">
        <v>2759.52</v>
      </c>
      <c r="N34" s="3">
        <v>3157.3823307692301</v>
      </c>
      <c r="O34" s="3">
        <v>1985.9003307692301</v>
      </c>
      <c r="P34" s="10"/>
      <c r="Q34" s="3">
        <f>SUM(OSRRefD21_0_8x)+IFERROR(SUM(OSRRefE21_0_8x),0)</f>
        <v>25106.422661538461</v>
      </c>
    </row>
    <row r="35" spans="1:17" s="42" customFormat="1" ht="15" hidden="1" customHeight="1" outlineLevel="1" x14ac:dyDescent="0.3">
      <c r="A35" s="34"/>
      <c r="B35" s="11" t="str">
        <f>CONCATENATE("          ","6156"," - ","EMPLOYEE MEALS")</f>
        <v xml:space="preserve">          6156 - EMPLOYEE MEALS</v>
      </c>
      <c r="C35" s="15"/>
      <c r="D35" s="3">
        <v>833.46</v>
      </c>
      <c r="E35" s="3">
        <v>1055.5899999999999</v>
      </c>
      <c r="F35" s="3">
        <v>676.44</v>
      </c>
      <c r="G35" s="3">
        <v>1696.82</v>
      </c>
      <c r="H35" s="3">
        <v>1215.92</v>
      </c>
      <c r="I35" s="3">
        <v>762.04</v>
      </c>
      <c r="J35" s="3">
        <v>617.25</v>
      </c>
      <c r="K35" s="3">
        <v>675.71</v>
      </c>
      <c r="L35" s="3">
        <v>920.2</v>
      </c>
      <c r="M35" s="3">
        <v>1075.44</v>
      </c>
      <c r="N35" s="3">
        <v>2275</v>
      </c>
      <c r="O35" s="3">
        <v>2275</v>
      </c>
      <c r="P35" s="10"/>
      <c r="Q35" s="3">
        <f>SUM(OSRRefD21_0_9x)+IFERROR(SUM(OSRRefE21_0_9x),0)</f>
        <v>14078.87</v>
      </c>
    </row>
    <row r="36" spans="1:17" s="42" customFormat="1" ht="15" customHeight="1" collapsed="1" x14ac:dyDescent="0.3">
      <c r="A36" s="34"/>
      <c r="B36" s="15" t="str">
        <f>CONCATENATE("     ","*Payroll                                          ")</f>
        <v xml:space="preserve">     *Payroll                                          </v>
      </c>
      <c r="C36" s="15"/>
      <c r="D36" s="2">
        <f>SUM(OSRRefD21_1x_0)</f>
        <v>50603.56</v>
      </c>
      <c r="E36" s="2">
        <f>SUM(OSRRefD21_1x_1)</f>
        <v>60842.899999999994</v>
      </c>
      <c r="F36" s="2">
        <f>SUM(OSRRefD21_1x_2)</f>
        <v>88403.16</v>
      </c>
      <c r="G36" s="2">
        <f>SUM(OSRRefD21_1x_3)</f>
        <v>155091.72</v>
      </c>
      <c r="H36" s="2">
        <f>SUM(OSRRefD21_1x_4)</f>
        <v>92085.890000000014</v>
      </c>
      <c r="I36" s="2">
        <f>SUM(OSRRefD21_1x_5)</f>
        <v>92077.35</v>
      </c>
      <c r="J36" s="2">
        <f>SUM(OSRRefD21_1x_6)</f>
        <v>63605.69</v>
      </c>
      <c r="K36" s="2">
        <f>SUM(OSRRefD21_1x_7)</f>
        <v>111991.66</v>
      </c>
      <c r="L36" s="2">
        <f>SUM(OSRRefD21_1x_8)</f>
        <v>115281.98000000001</v>
      </c>
      <c r="M36" s="2">
        <f>SUM(OSRRefD21_1x_9)</f>
        <v>118552.25</v>
      </c>
      <c r="N36" s="2">
        <f>SUM(OSRRefE21_1x_0)</f>
        <v>84379.033030769206</v>
      </c>
      <c r="O36" s="2">
        <f>SUM(OSRRefE21_1x_1)</f>
        <v>46501.115030769201</v>
      </c>
      <c r="Q36" s="3">
        <f>SUM(OSRRefD20_1x)+IFERROR(SUM(OSRRefE20_1x),0)</f>
        <v>1079416.3080615385</v>
      </c>
    </row>
    <row r="37" spans="1:17" s="42" customFormat="1" ht="15" hidden="1" customHeight="1" outlineLevel="1" x14ac:dyDescent="0.3">
      <c r="A37" s="34"/>
      <c r="B37" s="11" t="str">
        <f>CONCATENATE("          ","6001"," - ","ADMINISTRATIVE SALARIES")</f>
        <v xml:space="preserve">          6001 - ADMINISTRATIVE SALARIES</v>
      </c>
      <c r="C37" s="15"/>
      <c r="D37" s="3"/>
      <c r="E37" s="3"/>
      <c r="F37" s="3"/>
      <c r="G37" s="3"/>
      <c r="H37" s="3"/>
      <c r="I37" s="3"/>
      <c r="J37" s="3"/>
      <c r="K37" s="3"/>
      <c r="L37" s="3"/>
      <c r="M37" s="3"/>
      <c r="N37" s="3">
        <v>0</v>
      </c>
      <c r="O37" s="3">
        <v>0</v>
      </c>
      <c r="P37" s="10"/>
      <c r="Q37" s="3">
        <f>SUM(OSRRefD21_1_0x)+IFERROR(SUM(OSRRefE21_1_0x),0)</f>
        <v>0</v>
      </c>
    </row>
    <row r="38" spans="1:17" s="42" customFormat="1" ht="15" hidden="1" customHeight="1" outlineLevel="1" x14ac:dyDescent="0.3">
      <c r="A38" s="34"/>
      <c r="B38" s="11" t="str">
        <f>CONCATENATE("          ","6002"," - ","STAFF SALARIES")</f>
        <v xml:space="preserve">          6002 - STAFF SALARIES</v>
      </c>
      <c r="C38" s="15"/>
      <c r="D38" s="3">
        <v>19293.919999999998</v>
      </c>
      <c r="E38" s="3">
        <v>15794.86</v>
      </c>
      <c r="F38" s="3">
        <v>18135.740000000002</v>
      </c>
      <c r="G38" s="3">
        <v>21184.42</v>
      </c>
      <c r="H38" s="3">
        <v>14579.74</v>
      </c>
      <c r="I38" s="3">
        <v>15104.22</v>
      </c>
      <c r="J38" s="3">
        <v>14511.56</v>
      </c>
      <c r="K38" s="3">
        <v>11464.56</v>
      </c>
      <c r="L38" s="3">
        <v>12189.06</v>
      </c>
      <c r="M38" s="3">
        <v>9900.76</v>
      </c>
      <c r="N38" s="3">
        <v>15375.239430769199</v>
      </c>
      <c r="O38" s="3">
        <v>15375.239430769199</v>
      </c>
      <c r="P38" s="10"/>
      <c r="Q38" s="3">
        <f>SUM(OSRRefD21_1_1x)+IFERROR(SUM(OSRRefE21_1_1x),0)</f>
        <v>182909.31886153843</v>
      </c>
    </row>
    <row r="39" spans="1:17" s="42" customFormat="1" ht="15" hidden="1" customHeight="1" outlineLevel="1" x14ac:dyDescent="0.3">
      <c r="A39" s="34"/>
      <c r="B39" s="11" t="str">
        <f>CONCATENATE("          ","6003"," - ","STAFF HOURLY-9 MONTH")</f>
        <v xml:space="preserve">          6003 - STAFF HOURLY-9 MONTH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/>
      <c r="N39" s="3">
        <v>0</v>
      </c>
      <c r="O39" s="3">
        <v>0</v>
      </c>
      <c r="P39" s="10"/>
      <c r="Q39" s="3">
        <f>SUM(OSRRefD21_1_2x)+IFERROR(SUM(OSRRefE21_1_2x),0)</f>
        <v>0</v>
      </c>
    </row>
    <row r="40" spans="1:17" s="42" customFormat="1" ht="15" hidden="1" customHeight="1" outlineLevel="1" x14ac:dyDescent="0.3">
      <c r="A40" s="34"/>
      <c r="B40" s="11" t="str">
        <f>CONCATENATE("          ","6004"," - ","STAFF HOURLY")</f>
        <v xml:space="preserve">          6004 - STAFF HOURLY</v>
      </c>
      <c r="C40" s="15"/>
      <c r="D40" s="3">
        <v>19405.97</v>
      </c>
      <c r="E40" s="3">
        <v>18809.28</v>
      </c>
      <c r="F40" s="3">
        <v>31330.560000000001</v>
      </c>
      <c r="G40" s="3">
        <v>50633.87</v>
      </c>
      <c r="H40" s="3">
        <v>31684.03</v>
      </c>
      <c r="I40" s="3">
        <v>21916.48</v>
      </c>
      <c r="J40" s="3">
        <v>20199.490000000002</v>
      </c>
      <c r="K40" s="3">
        <v>34584.019999999997</v>
      </c>
      <c r="L40" s="3">
        <v>21492.16</v>
      </c>
      <c r="M40" s="3">
        <v>39613.49</v>
      </c>
      <c r="N40" s="3">
        <v>26709.4656</v>
      </c>
      <c r="O40" s="3">
        <v>26709.4656</v>
      </c>
      <c r="P40" s="10"/>
      <c r="Q40" s="3">
        <f>SUM(OSRRefD21_1_3x)+IFERROR(SUM(OSRRefE21_1_3x),0)</f>
        <v>343088.28119999997</v>
      </c>
    </row>
    <row r="41" spans="1:17" s="42" customFormat="1" ht="15" hidden="1" customHeight="1" outlineLevel="1" x14ac:dyDescent="0.3">
      <c r="A41" s="34"/>
      <c r="B41" s="11" t="str">
        <f>CONCATENATE("          ","6005"," - ","TEMPORARY WAGES-HOURLY")</f>
        <v xml:space="preserve">          6005 - TEMPORARY WAGES-HOURLY</v>
      </c>
      <c r="C41" s="15"/>
      <c r="D41" s="3">
        <v>4625.88</v>
      </c>
      <c r="E41" s="3">
        <v>8216.98</v>
      </c>
      <c r="F41" s="3">
        <v>17998.93</v>
      </c>
      <c r="G41" s="3">
        <v>50818.2</v>
      </c>
      <c r="H41" s="3">
        <v>12002.98</v>
      </c>
      <c r="I41" s="3">
        <v>17344.400000000001</v>
      </c>
      <c r="J41" s="3">
        <v>3595.03</v>
      </c>
      <c r="K41" s="3">
        <v>22991.58</v>
      </c>
      <c r="L41" s="3">
        <v>12810.28</v>
      </c>
      <c r="M41" s="3">
        <v>21390.02</v>
      </c>
      <c r="N41" s="3">
        <v>8917.2099999999991</v>
      </c>
      <c r="O41" s="3">
        <v>4416.41</v>
      </c>
      <c r="P41" s="10"/>
      <c r="Q41" s="3">
        <f>SUM(OSRRefD21_1_4x)+IFERROR(SUM(OSRRefE21_1_4x),0)</f>
        <v>185127.89999999997</v>
      </c>
    </row>
    <row r="42" spans="1:17" s="42" customFormat="1" ht="15" hidden="1" customHeight="1" outlineLevel="1" x14ac:dyDescent="0.3">
      <c r="A42" s="34"/>
      <c r="B42" s="11" t="str">
        <f>CONCATENATE("          ","6006"," - ","TEMPORARY PART TIME")</f>
        <v xml:space="preserve">          6006 - TEMPORARY PART TIME</v>
      </c>
      <c r="C42" s="15"/>
      <c r="D42" s="3"/>
      <c r="E42" s="3"/>
      <c r="F42" s="3"/>
      <c r="G42" s="3"/>
      <c r="H42" s="3"/>
      <c r="I42" s="3"/>
      <c r="J42" s="3"/>
      <c r="K42" s="3">
        <v>644.6</v>
      </c>
      <c r="L42" s="3">
        <v>1540.2</v>
      </c>
      <c r="M42" s="3">
        <v>1049.1199999999999</v>
      </c>
      <c r="N42" s="3">
        <v>0</v>
      </c>
      <c r="O42" s="3">
        <v>0</v>
      </c>
      <c r="P42" s="10"/>
      <c r="Q42" s="3">
        <f>SUM(OSRRefD21_1_5x)+IFERROR(SUM(OSRRefE21_1_5x),0)</f>
        <v>3233.92</v>
      </c>
    </row>
    <row r="43" spans="1:17" s="42" customFormat="1" ht="15" hidden="1" customHeight="1" outlineLevel="1" x14ac:dyDescent="0.3">
      <c r="A43" s="34"/>
      <c r="B43" s="11" t="str">
        <f>CONCATENATE("          ","6007"," - ","STUDENT HOURLY")</f>
        <v xml:space="preserve">          6007 - STUDENT HOURLY</v>
      </c>
      <c r="C43" s="15"/>
      <c r="D43" s="3">
        <v>7277.79</v>
      </c>
      <c r="E43" s="3">
        <v>16392.32</v>
      </c>
      <c r="F43" s="3">
        <v>19037.71</v>
      </c>
      <c r="G43" s="3">
        <v>26035.39</v>
      </c>
      <c r="H43" s="3">
        <v>23160.1</v>
      </c>
      <c r="I43" s="3">
        <v>22918.31</v>
      </c>
      <c r="J43" s="3">
        <v>19632.16</v>
      </c>
      <c r="K43" s="3">
        <v>20308.3</v>
      </c>
      <c r="L43" s="3">
        <v>52906.65</v>
      </c>
      <c r="M43" s="3">
        <v>23900.41</v>
      </c>
      <c r="N43" s="3">
        <v>0</v>
      </c>
      <c r="O43" s="3">
        <v>0</v>
      </c>
      <c r="P43" s="10"/>
      <c r="Q43" s="3">
        <f>SUM(OSRRefD21_1_6x)+IFERROR(SUM(OSRRefE21_1_6x),0)</f>
        <v>231569.13999999998</v>
      </c>
    </row>
    <row r="44" spans="1:17" s="42" customFormat="1" ht="15" hidden="1" customHeight="1" outlineLevel="1" x14ac:dyDescent="0.3">
      <c r="A44" s="34"/>
      <c r="B44" s="11" t="str">
        <f>CONCATENATE("          ","6008"," - ","STUDENT HOURLY-FICA EXEMPT")</f>
        <v xml:space="preserve">          6008 - STUDENT HOURLY-FICA EXEMPT</v>
      </c>
      <c r="C44" s="15"/>
      <c r="D44" s="3"/>
      <c r="E44" s="3">
        <v>1629.46</v>
      </c>
      <c r="F44" s="3">
        <v>1900.22</v>
      </c>
      <c r="G44" s="3">
        <v>6419.84</v>
      </c>
      <c r="H44" s="3">
        <v>10659.04</v>
      </c>
      <c r="I44" s="3">
        <v>14793.94</v>
      </c>
      <c r="J44" s="3">
        <v>5667.45</v>
      </c>
      <c r="K44" s="3">
        <v>21998.6</v>
      </c>
      <c r="L44" s="3">
        <v>14343.63</v>
      </c>
      <c r="M44" s="3">
        <v>22698.45</v>
      </c>
      <c r="N44" s="3">
        <v>33377.118000000002</v>
      </c>
      <c r="O44" s="3">
        <v>0</v>
      </c>
      <c r="P44" s="10"/>
      <c r="Q44" s="3">
        <f>SUM(OSRRefD21_1_7x)+IFERROR(SUM(OSRRefE21_1_7x),0)</f>
        <v>133487.74799999999</v>
      </c>
    </row>
    <row r="45" spans="1:17" s="42" customFormat="1" ht="15" hidden="1" customHeight="1" outlineLevel="1" x14ac:dyDescent="0.3">
      <c r="A45" s="34"/>
      <c r="B45" s="11" t="str">
        <f>CONCATENATE("          ","6009"," - ","TEMPORARY-SEASONAL")</f>
        <v xml:space="preserve">          6009 - TEMPORARY-SEASONAL</v>
      </c>
      <c r="C45" s="15"/>
      <c r="D45" s="3"/>
      <c r="E45" s="3"/>
      <c r="F45" s="3"/>
      <c r="G45" s="3"/>
      <c r="H45" s="3"/>
      <c r="I45" s="3"/>
      <c r="J45" s="3"/>
      <c r="K45" s="3"/>
      <c r="L45" s="3"/>
      <c r="M45" s="3"/>
      <c r="N45" s="3">
        <v>0</v>
      </c>
      <c r="O45" s="3">
        <v>0</v>
      </c>
      <c r="P45" s="10"/>
      <c r="Q45" s="3">
        <f>SUM(OSRRefD21_1_8x)+IFERROR(SUM(OSRRefE21_1_8x),0)</f>
        <v>0</v>
      </c>
    </row>
    <row r="46" spans="1:17" s="42" customFormat="1" ht="15" hidden="1" customHeight="1" outlineLevel="1" x14ac:dyDescent="0.3">
      <c r="A46" s="34"/>
      <c r="B46" s="11" t="str">
        <f>CONCATENATE("          ","6010"," - ","GRATUITY")</f>
        <v xml:space="preserve">          6010 - GRATUITY</v>
      </c>
      <c r="C46" s="15"/>
      <c r="D46" s="3"/>
      <c r="E46" s="3"/>
      <c r="F46" s="3"/>
      <c r="G46" s="3"/>
      <c r="H46" s="3"/>
      <c r="I46" s="3"/>
      <c r="J46" s="3"/>
      <c r="K46" s="3"/>
      <c r="L46" s="3"/>
      <c r="M46" s="3"/>
      <c r="N46" s="3">
        <v>0</v>
      </c>
      <c r="O46" s="3">
        <v>0</v>
      </c>
      <c r="P46" s="10"/>
      <c r="Q46" s="3">
        <f>SUM(OSRRefD21_1_9x)+IFERROR(SUM(OSRRefE21_1_9x),0)</f>
        <v>0</v>
      </c>
    </row>
    <row r="47" spans="1:17" s="42" customFormat="1" ht="15" customHeight="1" collapsed="1" x14ac:dyDescent="0.3">
      <c r="A47" s="34"/>
      <c r="B47" s="15" t="str">
        <f>CONCATENATE("     ","Advertising/Promo                                 ")</f>
        <v xml:space="preserve">     Advertising/Promo                                 </v>
      </c>
      <c r="C47" s="15"/>
      <c r="D47" s="2">
        <f>SUM(OSRRefD21_2x_0)</f>
        <v>40.31</v>
      </c>
      <c r="E47" s="2">
        <f>SUM(OSRRefD21_2x_1)</f>
        <v>624.13</v>
      </c>
      <c r="F47" s="2">
        <f>SUM(OSRRefD21_2x_2)</f>
        <v>290.82</v>
      </c>
      <c r="G47" s="2">
        <f>SUM(OSRRefD21_2x_3)</f>
        <v>0</v>
      </c>
      <c r="H47" s="2">
        <f>SUM(OSRRefD21_2x_4)</f>
        <v>0</v>
      </c>
      <c r="I47" s="2">
        <f>SUM(OSRRefD21_2x_5)</f>
        <v>68.040000000000006</v>
      </c>
      <c r="J47" s="2">
        <f>SUM(OSRRefD21_2x_6)</f>
        <v>14.39</v>
      </c>
      <c r="K47" s="2">
        <f>SUM(OSRRefD21_2x_7)</f>
        <v>0</v>
      </c>
      <c r="L47" s="2">
        <f>SUM(OSRRefD21_2x_8)</f>
        <v>42.16</v>
      </c>
      <c r="M47" s="2">
        <f>SUM(OSRRefD21_2x_9)</f>
        <v>6.96</v>
      </c>
      <c r="N47" s="2">
        <f>SUM(OSRRefE21_2x_0)</f>
        <v>369</v>
      </c>
      <c r="O47" s="2">
        <f>SUM(OSRRefE21_2x_1)</f>
        <v>369</v>
      </c>
      <c r="Q47" s="3">
        <f>SUM(OSRRefD20_2x)+IFERROR(SUM(OSRRefE20_2x),0)</f>
        <v>1824.8100000000002</v>
      </c>
    </row>
    <row r="48" spans="1:17" s="42" customFormat="1" ht="15" hidden="1" customHeight="1" outlineLevel="1" x14ac:dyDescent="0.3">
      <c r="A48" s="34"/>
      <c r="B48" s="11" t="str">
        <f>CONCATENATE("          ","6362"," - ","ADVERTISING EXPENSE")</f>
        <v xml:space="preserve">          6362 - ADVERTISING EXPENSE</v>
      </c>
      <c r="C48" s="15"/>
      <c r="D48" s="3">
        <v>40.31</v>
      </c>
      <c r="E48" s="3">
        <v>624.13</v>
      </c>
      <c r="F48" s="3">
        <v>290.82</v>
      </c>
      <c r="G48" s="3"/>
      <c r="H48" s="3"/>
      <c r="I48" s="3">
        <v>68.040000000000006</v>
      </c>
      <c r="J48" s="3">
        <v>14.39</v>
      </c>
      <c r="K48" s="3"/>
      <c r="L48" s="3">
        <v>42.16</v>
      </c>
      <c r="M48" s="3">
        <v>6.96</v>
      </c>
      <c r="N48" s="3">
        <v>369</v>
      </c>
      <c r="O48" s="3">
        <v>369</v>
      </c>
      <c r="P48" s="10"/>
      <c r="Q48" s="3">
        <f>SUM(OSRRefD21_2_0x)+IFERROR(SUM(OSRRefE21_2_0x),0)</f>
        <v>1824.8100000000002</v>
      </c>
    </row>
    <row r="49" spans="1:17" s="42" customFormat="1" ht="15" customHeight="1" collapsed="1" x14ac:dyDescent="0.3">
      <c r="A49" s="34"/>
      <c r="B49" s="15" t="str">
        <f>CONCATENATE("     ","Bad Debts/Over/Short                              ")</f>
        <v xml:space="preserve">     Bad Debts/Over/Short                              </v>
      </c>
      <c r="C49" s="15"/>
      <c r="D49" s="2">
        <f>SUM(OSRRefD21_3x_0)</f>
        <v>0</v>
      </c>
      <c r="E49" s="2">
        <f>SUM(OSRRefD21_3x_1)</f>
        <v>0</v>
      </c>
      <c r="F49" s="2">
        <f>SUM(OSRRefD21_3x_2)</f>
        <v>0</v>
      </c>
      <c r="G49" s="2">
        <f>SUM(OSRRefD21_3x_3)</f>
        <v>0</v>
      </c>
      <c r="H49" s="2">
        <f>SUM(OSRRefD21_3x_4)</f>
        <v>0</v>
      </c>
      <c r="I49" s="2">
        <f>SUM(OSRRefD21_3x_5)</f>
        <v>0</v>
      </c>
      <c r="J49" s="2">
        <f>SUM(OSRRefD21_3x_6)</f>
        <v>9.1</v>
      </c>
      <c r="K49" s="2">
        <f>SUM(OSRRefD21_3x_7)</f>
        <v>-9.1</v>
      </c>
      <c r="L49" s="2">
        <f>SUM(OSRRefD21_3x_8)</f>
        <v>0</v>
      </c>
      <c r="M49" s="2">
        <f>SUM(OSRRefD21_3x_9)</f>
        <v>0</v>
      </c>
      <c r="N49" s="2">
        <f>SUM(OSRRefE21_3x_0)</f>
        <v>8</v>
      </c>
      <c r="O49" s="2">
        <f>SUM(OSRRefE21_3x_1)</f>
        <v>0</v>
      </c>
      <c r="Q49" s="3">
        <f>SUM(OSRRefD20_3x)+IFERROR(SUM(OSRRefE20_3x),0)</f>
        <v>8</v>
      </c>
    </row>
    <row r="50" spans="1:17" s="42" customFormat="1" ht="15" hidden="1" customHeight="1" outlineLevel="1" x14ac:dyDescent="0.3">
      <c r="A50" s="34"/>
      <c r="B50" s="11" t="str">
        <f>CONCATENATE("          ","6272"," - ","CASH (OVER/SHORT)")</f>
        <v xml:space="preserve">          6272 - CASH (OVER/SHORT)</v>
      </c>
      <c r="C50" s="15"/>
      <c r="D50" s="3"/>
      <c r="E50" s="3"/>
      <c r="F50" s="3"/>
      <c r="G50" s="3"/>
      <c r="H50" s="3"/>
      <c r="I50" s="3"/>
      <c r="J50" s="3">
        <v>9.1</v>
      </c>
      <c r="K50" s="3">
        <v>-9.1</v>
      </c>
      <c r="L50" s="3"/>
      <c r="M50" s="3"/>
      <c r="N50" s="3">
        <v>8</v>
      </c>
      <c r="O50" s="3"/>
      <c r="P50" s="10"/>
      <c r="Q50" s="3">
        <f>SUM(OSRRefD21_3_0x)+IFERROR(SUM(OSRRefE21_3_0x),0)</f>
        <v>8</v>
      </c>
    </row>
    <row r="51" spans="1:17" s="42" customFormat="1" ht="15" customHeight="1" collapsed="1" x14ac:dyDescent="0.3">
      <c r="A51" s="34"/>
      <c r="B51" s="15" t="str">
        <f>CONCATENATE("     ","Bank/card Fees                                    ")</f>
        <v xml:space="preserve">     Bank/card Fees                                    </v>
      </c>
      <c r="C51" s="15"/>
      <c r="D51" s="2">
        <f>SUM(OSRRefD21_4x_0)</f>
        <v>77.05</v>
      </c>
      <c r="E51" s="2">
        <f>SUM(OSRRefD21_4x_1)</f>
        <v>40.56</v>
      </c>
      <c r="F51" s="2">
        <f>SUM(OSRRefD21_4x_2)</f>
        <v>54.15</v>
      </c>
      <c r="G51" s="2">
        <f>SUM(OSRRefD21_4x_3)</f>
        <v>51.38</v>
      </c>
      <c r="H51" s="2">
        <f>SUM(OSRRefD21_4x_4)</f>
        <v>41.17</v>
      </c>
      <c r="I51" s="2">
        <f>SUM(OSRRefD21_4x_5)</f>
        <v>68.28</v>
      </c>
      <c r="J51" s="2">
        <f>SUM(OSRRefD21_4x_6)</f>
        <v>19.440000000000001</v>
      </c>
      <c r="K51" s="2">
        <f>SUM(OSRRefD21_4x_7)</f>
        <v>72.959999999999994</v>
      </c>
      <c r="L51" s="2">
        <f>SUM(OSRRefD21_4x_8)</f>
        <v>65.34</v>
      </c>
      <c r="M51" s="2">
        <f>SUM(OSRRefD21_4x_9)</f>
        <v>74.94</v>
      </c>
      <c r="N51" s="2">
        <f>SUM(OSRRefE21_4x_0)</f>
        <v>135</v>
      </c>
      <c r="O51" s="2">
        <f>SUM(OSRRefE21_4x_1)</f>
        <v>135</v>
      </c>
      <c r="Q51" s="3">
        <f>SUM(OSRRefD20_4x)+IFERROR(SUM(OSRRefE20_4x),0)</f>
        <v>835.27</v>
      </c>
    </row>
    <row r="52" spans="1:17" s="42" customFormat="1" ht="15" hidden="1" customHeight="1" outlineLevel="1" x14ac:dyDescent="0.3">
      <c r="A52" s="34"/>
      <c r="B52" s="11" t="str">
        <f>CONCATENATE("          ","6381"," - ","BANK/CREDIT CARD FEES")</f>
        <v xml:space="preserve">          6381 - BANK/CREDIT CARD FEES</v>
      </c>
      <c r="C52" s="15"/>
      <c r="D52" s="3">
        <v>77.05</v>
      </c>
      <c r="E52" s="3">
        <v>40.56</v>
      </c>
      <c r="F52" s="3">
        <v>54.15</v>
      </c>
      <c r="G52" s="3">
        <v>51.38</v>
      </c>
      <c r="H52" s="3">
        <v>41.17</v>
      </c>
      <c r="I52" s="3">
        <v>68.28</v>
      </c>
      <c r="J52" s="3">
        <v>19.440000000000001</v>
      </c>
      <c r="K52" s="3">
        <v>72.959999999999994</v>
      </c>
      <c r="L52" s="3">
        <v>65.34</v>
      </c>
      <c r="M52" s="3">
        <v>74.94</v>
      </c>
      <c r="N52" s="3">
        <v>135</v>
      </c>
      <c r="O52" s="3">
        <v>135</v>
      </c>
      <c r="P52" s="10"/>
      <c r="Q52" s="3">
        <f>SUM(OSRRefD21_4_0x)+IFERROR(SUM(OSRRefE21_4_0x),0)</f>
        <v>835.27</v>
      </c>
    </row>
    <row r="53" spans="1:17" s="42" customFormat="1" ht="15" customHeight="1" collapsed="1" x14ac:dyDescent="0.3">
      <c r="A53" s="34"/>
      <c r="B53" s="15" t="str">
        <f>CONCATENATE("     ","Depreciation                                      ")</f>
        <v xml:space="preserve">     Depreciation                                      </v>
      </c>
      <c r="C53" s="15"/>
      <c r="D53" s="2">
        <f>SUM(OSRRefD21_5x_0)</f>
        <v>273.51</v>
      </c>
      <c r="E53" s="2">
        <f>SUM(OSRRefD21_5x_1)</f>
        <v>273.51</v>
      </c>
      <c r="F53" s="2">
        <f>SUM(OSRRefD21_5x_2)</f>
        <v>273.51</v>
      </c>
      <c r="G53" s="2">
        <f>SUM(OSRRefD21_5x_3)</f>
        <v>273.51</v>
      </c>
      <c r="H53" s="2">
        <f>SUM(OSRRefD21_5x_4)</f>
        <v>273.51</v>
      </c>
      <c r="I53" s="2">
        <f>SUM(OSRRefD21_5x_5)</f>
        <v>273.51</v>
      </c>
      <c r="J53" s="2">
        <f>SUM(OSRRefD21_5x_6)</f>
        <v>273.51</v>
      </c>
      <c r="K53" s="2">
        <f>SUM(OSRRefD21_5x_7)</f>
        <v>273.51</v>
      </c>
      <c r="L53" s="2">
        <f>SUM(OSRRefD21_5x_8)</f>
        <v>273.51</v>
      </c>
      <c r="M53" s="2">
        <f>SUM(OSRRefD21_5x_9)</f>
        <v>273.51</v>
      </c>
      <c r="N53" s="2">
        <f>SUM(OSRRefE21_5x_0)</f>
        <v>273</v>
      </c>
      <c r="O53" s="2">
        <f>SUM(OSRRefE21_5x_1)</f>
        <v>273</v>
      </c>
      <c r="Q53" s="3">
        <f>SUM(OSRRefD20_5x)+IFERROR(SUM(OSRRefE20_5x),0)</f>
        <v>3281.1000000000004</v>
      </c>
    </row>
    <row r="54" spans="1:17" s="42" customFormat="1" ht="15" hidden="1" customHeight="1" outlineLevel="1" x14ac:dyDescent="0.3">
      <c r="A54" s="34"/>
      <c r="B54" s="11" t="str">
        <f>CONCATENATE("          ","6322"," - ","EQUIPMENT DEPRECIATION EXPENSE")</f>
        <v xml:space="preserve">          6322 - EQUIPMENT DEPRECIATION EXPENSE</v>
      </c>
      <c r="C54" s="15"/>
      <c r="D54" s="3">
        <v>273.51</v>
      </c>
      <c r="E54" s="3">
        <v>273.51</v>
      </c>
      <c r="F54" s="3">
        <v>273.51</v>
      </c>
      <c r="G54" s="3">
        <v>273.51</v>
      </c>
      <c r="H54" s="3">
        <v>273.51</v>
      </c>
      <c r="I54" s="3">
        <v>273.51</v>
      </c>
      <c r="J54" s="3">
        <v>273.51</v>
      </c>
      <c r="K54" s="3">
        <v>273.51</v>
      </c>
      <c r="L54" s="3">
        <v>273.51</v>
      </c>
      <c r="M54" s="3">
        <v>273.51</v>
      </c>
      <c r="N54" s="3">
        <v>273</v>
      </c>
      <c r="O54" s="3">
        <v>273</v>
      </c>
      <c r="P54" s="10"/>
      <c r="Q54" s="3">
        <f>SUM(OSRRefD21_5_0x)+IFERROR(SUM(OSRRefE21_5_0x),0)</f>
        <v>3281.1000000000004</v>
      </c>
    </row>
    <row r="55" spans="1:17" s="42" customFormat="1" ht="15" customHeight="1" collapsed="1" x14ac:dyDescent="0.3">
      <c r="A55" s="34"/>
      <c r="B55" s="15" t="str">
        <f>CONCATENATE("     ","Donations                                         ")</f>
        <v xml:space="preserve">     Donations                                         </v>
      </c>
      <c r="C55" s="15"/>
      <c r="D55" s="2">
        <f>SUM(OSRRefD21_6x_0)</f>
        <v>0</v>
      </c>
      <c r="E55" s="2">
        <f>SUM(OSRRefD21_6x_1)</f>
        <v>1458.85</v>
      </c>
      <c r="F55" s="2">
        <f>SUM(OSRRefD21_6x_2)</f>
        <v>2945.42</v>
      </c>
      <c r="G55" s="2">
        <f>SUM(OSRRefD21_6x_3)</f>
        <v>3477.05</v>
      </c>
      <c r="H55" s="2">
        <f>SUM(OSRRefD21_6x_4)</f>
        <v>2781.64</v>
      </c>
      <c r="I55" s="2">
        <f>SUM(OSRRefD21_6x_5)</f>
        <v>1457.04</v>
      </c>
      <c r="J55" s="2">
        <f>SUM(OSRRefD21_6x_6)</f>
        <v>1335.25</v>
      </c>
      <c r="K55" s="2">
        <f>SUM(OSRRefD21_6x_7)</f>
        <v>2875.93</v>
      </c>
      <c r="L55" s="2">
        <f>SUM(OSRRefD21_6x_8)</f>
        <v>2396.61</v>
      </c>
      <c r="M55" s="2">
        <f>SUM(OSRRefD21_6x_9)</f>
        <v>2995.76</v>
      </c>
      <c r="N55" s="2">
        <f>SUM(OSRRefE21_6x_0)</f>
        <v>6500</v>
      </c>
      <c r="O55" s="2">
        <f>SUM(OSRRefE21_6x_1)</f>
        <v>0</v>
      </c>
      <c r="Q55" s="3">
        <f>SUM(OSRRefD20_6x)+IFERROR(SUM(OSRRefE20_6x),0)</f>
        <v>28223.550000000003</v>
      </c>
    </row>
    <row r="56" spans="1:17" s="42" customFormat="1" ht="15" hidden="1" customHeight="1" outlineLevel="1" x14ac:dyDescent="0.3">
      <c r="A56" s="34"/>
      <c r="B56" s="11" t="str">
        <f>CONCATENATE("          ","6399"," - ","DONATION-ON CAMPUS")</f>
        <v xml:space="preserve">          6399 - DONATION-ON CAMPUS</v>
      </c>
      <c r="C56" s="15"/>
      <c r="D56" s="3"/>
      <c r="E56" s="3">
        <v>1458.85</v>
      </c>
      <c r="F56" s="3">
        <v>2945.42</v>
      </c>
      <c r="G56" s="3">
        <v>3477.05</v>
      </c>
      <c r="H56" s="3">
        <v>2781.64</v>
      </c>
      <c r="I56" s="3">
        <v>1457.04</v>
      </c>
      <c r="J56" s="3">
        <v>1335.25</v>
      </c>
      <c r="K56" s="3">
        <v>2875.93</v>
      </c>
      <c r="L56" s="3">
        <v>2396.61</v>
      </c>
      <c r="M56" s="3">
        <v>2995.76</v>
      </c>
      <c r="N56" s="3">
        <v>6500</v>
      </c>
      <c r="O56" s="3"/>
      <c r="P56" s="10"/>
      <c r="Q56" s="3">
        <f>SUM(OSRRefD21_6_0x)+IFERROR(SUM(OSRRefE21_6_0x),0)</f>
        <v>28223.550000000003</v>
      </c>
    </row>
    <row r="57" spans="1:17" s="42" customFormat="1" ht="15" customHeight="1" collapsed="1" x14ac:dyDescent="0.3">
      <c r="A57" s="34"/>
      <c r="B57" s="15" t="str">
        <f>CONCATENATE("     ","Employees' Appreciation                           ")</f>
        <v xml:space="preserve">     Employees' Appreciation                           </v>
      </c>
      <c r="C57" s="15"/>
      <c r="D57" s="2">
        <f>SUM(OSRRefD21_7x_0)</f>
        <v>0</v>
      </c>
      <c r="E57" s="2">
        <f>SUM(OSRRefD21_7x_1)</f>
        <v>0</v>
      </c>
      <c r="F57" s="2">
        <f>SUM(OSRRefD21_7x_2)</f>
        <v>0</v>
      </c>
      <c r="G57" s="2">
        <f>SUM(OSRRefD21_7x_3)</f>
        <v>0</v>
      </c>
      <c r="H57" s="2">
        <f>SUM(OSRRefD21_7x_4)</f>
        <v>0</v>
      </c>
      <c r="I57" s="2">
        <f>SUM(OSRRefD21_7x_5)</f>
        <v>113.4</v>
      </c>
      <c r="J57" s="2">
        <f>SUM(OSRRefD21_7x_6)</f>
        <v>0</v>
      </c>
      <c r="K57" s="2">
        <f>SUM(OSRRefD21_7x_7)</f>
        <v>87.37</v>
      </c>
      <c r="L57" s="2">
        <f>SUM(OSRRefD21_7x_8)</f>
        <v>0</v>
      </c>
      <c r="M57" s="2">
        <f>SUM(OSRRefD21_7x_9)</f>
        <v>0</v>
      </c>
      <c r="N57" s="2">
        <f>SUM(OSRRefE21_7x_0)</f>
        <v>150</v>
      </c>
      <c r="O57" s="2">
        <f>SUM(OSRRefE21_7x_1)</f>
        <v>150</v>
      </c>
      <c r="Q57" s="3">
        <f>SUM(OSRRefD20_7x)+IFERROR(SUM(OSRRefE20_7x),0)</f>
        <v>500.77</v>
      </c>
    </row>
    <row r="58" spans="1:17" s="42" customFormat="1" ht="15" hidden="1" customHeight="1" outlineLevel="1" x14ac:dyDescent="0.3">
      <c r="A58" s="34"/>
      <c r="B58" s="11" t="str">
        <f>CONCATENATE("          ","6277"," - ","EMPLOYEE APPRECIATION")</f>
        <v xml:space="preserve">          6277 - EMPLOYEE APPRECIATION</v>
      </c>
      <c r="C58" s="15"/>
      <c r="D58" s="3"/>
      <c r="E58" s="3"/>
      <c r="F58" s="3"/>
      <c r="G58" s="3"/>
      <c r="H58" s="3"/>
      <c r="I58" s="3">
        <v>113.4</v>
      </c>
      <c r="J58" s="3"/>
      <c r="K58" s="3">
        <v>87.37</v>
      </c>
      <c r="L58" s="3"/>
      <c r="M58" s="3"/>
      <c r="N58" s="3">
        <v>150</v>
      </c>
      <c r="O58" s="3">
        <v>150</v>
      </c>
      <c r="P58" s="10"/>
      <c r="Q58" s="3">
        <f>SUM(OSRRefD21_7_0x)+IFERROR(SUM(OSRRefE21_7_0x),0)</f>
        <v>500.77</v>
      </c>
    </row>
    <row r="59" spans="1:17" s="42" customFormat="1" ht="15" customHeight="1" collapsed="1" x14ac:dyDescent="0.3">
      <c r="A59" s="34"/>
      <c r="B59" s="15" t="str">
        <f>CONCATENATE("     ","Equipment Rental                                  ")</f>
        <v xml:space="preserve">     Equipment Rental                                  </v>
      </c>
      <c r="C59" s="15"/>
      <c r="D59" s="2">
        <f>SUM(OSRRefD21_8x_0)</f>
        <v>427.1</v>
      </c>
      <c r="E59" s="2">
        <f>SUM(OSRRefD21_8x_1)</f>
        <v>265.36</v>
      </c>
      <c r="F59" s="2">
        <f>SUM(OSRRefD21_8x_2)</f>
        <v>135.26</v>
      </c>
      <c r="G59" s="2">
        <f>SUM(OSRRefD21_8x_3)</f>
        <v>461.73</v>
      </c>
      <c r="H59" s="2">
        <f>SUM(OSRRefD21_8x_4)</f>
        <v>135.26</v>
      </c>
      <c r="I59" s="2">
        <f>SUM(OSRRefD21_8x_5)</f>
        <v>543.94000000000005</v>
      </c>
      <c r="J59" s="2">
        <f>SUM(OSRRefD21_8x_6)</f>
        <v>249.74</v>
      </c>
      <c r="K59" s="2">
        <f>SUM(OSRRefD21_8x_7)</f>
        <v>378.12</v>
      </c>
      <c r="L59" s="2">
        <f>SUM(OSRRefD21_8x_8)</f>
        <v>271.74</v>
      </c>
      <c r="M59" s="2">
        <f>SUM(OSRRefD21_8x_9)</f>
        <v>502.49</v>
      </c>
      <c r="N59" s="2">
        <f>SUM(OSRRefE21_8x_0)</f>
        <v>295</v>
      </c>
      <c r="O59" s="2">
        <f>SUM(OSRRefE21_8x_1)</f>
        <v>295</v>
      </c>
      <c r="Q59" s="3">
        <f>SUM(OSRRefD20_8x)+IFERROR(SUM(OSRRefE20_8x),0)</f>
        <v>3960.74</v>
      </c>
    </row>
    <row r="60" spans="1:17" s="42" customFormat="1" ht="15" hidden="1" customHeight="1" outlineLevel="1" x14ac:dyDescent="0.3">
      <c r="A60" s="34"/>
      <c r="B60" s="11" t="str">
        <f>CONCATENATE("          ","6351"," - ","EQUIPMENT RENTAL")</f>
        <v xml:space="preserve">          6351 - EQUIPMENT RENTAL</v>
      </c>
      <c r="C60" s="15"/>
      <c r="D60" s="3">
        <v>427.1</v>
      </c>
      <c r="E60" s="3">
        <v>265.36</v>
      </c>
      <c r="F60" s="3">
        <v>135.26</v>
      </c>
      <c r="G60" s="3">
        <v>461.73</v>
      </c>
      <c r="H60" s="3">
        <v>135.26</v>
      </c>
      <c r="I60" s="3">
        <v>543.94000000000005</v>
      </c>
      <c r="J60" s="3">
        <v>249.74</v>
      </c>
      <c r="K60" s="3">
        <v>378.12</v>
      </c>
      <c r="L60" s="3">
        <v>271.74</v>
      </c>
      <c r="M60" s="3">
        <v>502.49</v>
      </c>
      <c r="N60" s="3">
        <v>295</v>
      </c>
      <c r="O60" s="3">
        <v>295</v>
      </c>
      <c r="P60" s="10"/>
      <c r="Q60" s="3">
        <f>SUM(OSRRefD21_8_0x)+IFERROR(SUM(OSRRefE21_8_0x),0)</f>
        <v>3960.74</v>
      </c>
    </row>
    <row r="61" spans="1:17" s="42" customFormat="1" ht="15" customHeight="1" collapsed="1" x14ac:dyDescent="0.3">
      <c r="A61" s="34"/>
      <c r="B61" s="15" t="str">
        <f>CONCATENATE("     ","General                                           ")</f>
        <v xml:space="preserve">     General                                           </v>
      </c>
      <c r="C61" s="15"/>
      <c r="D61" s="2">
        <f>SUM(OSRRefD21_9x_0)</f>
        <v>88.38</v>
      </c>
      <c r="E61" s="2">
        <f>SUM(OSRRefD21_9x_1)</f>
        <v>1469.55</v>
      </c>
      <c r="F61" s="2">
        <f>SUM(OSRRefD21_9x_2)</f>
        <v>0</v>
      </c>
      <c r="G61" s="2">
        <f>SUM(OSRRefD21_9x_3)</f>
        <v>0</v>
      </c>
      <c r="H61" s="2">
        <f>SUM(OSRRefD21_9x_4)</f>
        <v>0</v>
      </c>
      <c r="I61" s="2">
        <f>SUM(OSRRefD21_9x_5)</f>
        <v>0</v>
      </c>
      <c r="J61" s="2">
        <f>SUM(OSRRefD21_9x_6)</f>
        <v>368.25</v>
      </c>
      <c r="K61" s="2">
        <f>SUM(OSRRefD21_9x_7)</f>
        <v>0</v>
      </c>
      <c r="L61" s="2">
        <f>SUM(OSRRefD21_9x_8)</f>
        <v>0</v>
      </c>
      <c r="M61" s="2">
        <f>SUM(OSRRefD21_9x_9)</f>
        <v>2134.44</v>
      </c>
      <c r="N61" s="2">
        <f>SUM(OSRRefE21_9x_0)</f>
        <v>190</v>
      </c>
      <c r="O61" s="2">
        <f>SUM(OSRRefE21_9x_1)</f>
        <v>190</v>
      </c>
      <c r="Q61" s="3">
        <f>SUM(OSRRefD20_9x)+IFERROR(SUM(OSRRefE20_9x),0)</f>
        <v>4440.62</v>
      </c>
    </row>
    <row r="62" spans="1:17" s="42" customFormat="1" ht="15" hidden="1" customHeight="1" outlineLevel="1" x14ac:dyDescent="0.3">
      <c r="A62" s="34"/>
      <c r="B62" s="11" t="str">
        <f>CONCATENATE("          ","6279"," - ","GENERAL EXPENSE")</f>
        <v xml:space="preserve">          6279 - GENERAL EXPENSE</v>
      </c>
      <c r="C62" s="15"/>
      <c r="D62" s="3">
        <v>88.38</v>
      </c>
      <c r="E62" s="3">
        <v>1469.55</v>
      </c>
      <c r="F62" s="3"/>
      <c r="G62" s="3"/>
      <c r="H62" s="3"/>
      <c r="I62" s="3"/>
      <c r="J62" s="3">
        <v>368.25</v>
      </c>
      <c r="K62" s="3"/>
      <c r="L62" s="3"/>
      <c r="M62" s="3">
        <v>2134.44</v>
      </c>
      <c r="N62" s="3">
        <v>190</v>
      </c>
      <c r="O62" s="3">
        <v>190</v>
      </c>
      <c r="P62" s="10"/>
      <c r="Q62" s="3">
        <f>SUM(OSRRefD21_9_0x)+IFERROR(SUM(OSRRefE21_9_0x),0)</f>
        <v>4440.62</v>
      </c>
    </row>
    <row r="63" spans="1:17" s="42" customFormat="1" ht="15" customHeight="1" collapsed="1" x14ac:dyDescent="0.3">
      <c r="A63" s="34"/>
      <c r="B63" s="15" t="str">
        <f>CONCATENATE("     ","R/H Commissions                                   ")</f>
        <v xml:space="preserve">     R/H Commissions                                   </v>
      </c>
      <c r="C63" s="15"/>
      <c r="D63" s="2">
        <f>SUM(OSRRefD21_10x_0)</f>
        <v>1568</v>
      </c>
      <c r="E63" s="2">
        <f>SUM(OSRRefD21_10x_1)</f>
        <v>18625.39</v>
      </c>
      <c r="F63" s="2">
        <f>SUM(OSRRefD21_10x_2)</f>
        <v>51101.53</v>
      </c>
      <c r="G63" s="2">
        <f>SUM(OSRRefD21_10x_3)</f>
        <v>63720.25</v>
      </c>
      <c r="H63" s="2">
        <f>SUM(OSRRefD21_10x_4)</f>
        <v>50966.61</v>
      </c>
      <c r="I63" s="2">
        <f>SUM(OSRRefD21_10x_5)</f>
        <v>38279.85</v>
      </c>
      <c r="J63" s="2">
        <f>SUM(OSRRefD21_10x_6)</f>
        <v>24669.37</v>
      </c>
      <c r="K63" s="2">
        <f>SUM(OSRRefD21_10x_7)</f>
        <v>53856.19</v>
      </c>
      <c r="L63" s="2">
        <f>SUM(OSRRefD21_10x_8)</f>
        <v>54140.57</v>
      </c>
      <c r="M63" s="2">
        <f>SUM(OSRRefD21_10x_9)</f>
        <v>66706.97</v>
      </c>
      <c r="N63" s="2">
        <f>SUM(OSRRefE21_10x_0)</f>
        <v>19440</v>
      </c>
      <c r="O63" s="2">
        <f>SUM(OSRRefE21_10x_1)</f>
        <v>0</v>
      </c>
      <c r="Q63" s="3">
        <f>SUM(OSRRefD20_10x)+IFERROR(SUM(OSRRefE20_10x),0)</f>
        <v>443074.73</v>
      </c>
    </row>
    <row r="64" spans="1:17" s="42" customFormat="1" ht="15" hidden="1" customHeight="1" outlineLevel="1" x14ac:dyDescent="0.3">
      <c r="A64" s="34"/>
      <c r="B64" s="11" t="str">
        <f>CONCATENATE("          ","6387"," - ","COMMISSION DUE HOUSING")</f>
        <v xml:space="preserve">          6387 - COMMISSION DUE HOUSING</v>
      </c>
      <c r="C64" s="15"/>
      <c r="D64" s="3">
        <v>1568</v>
      </c>
      <c r="E64" s="3">
        <v>18625.39</v>
      </c>
      <c r="F64" s="3">
        <v>51101.53</v>
      </c>
      <c r="G64" s="3">
        <v>63720.25</v>
      </c>
      <c r="H64" s="3">
        <v>50966.61</v>
      </c>
      <c r="I64" s="3">
        <v>38279.85</v>
      </c>
      <c r="J64" s="3">
        <v>24669.37</v>
      </c>
      <c r="K64" s="3">
        <v>53856.19</v>
      </c>
      <c r="L64" s="3">
        <v>54140.57</v>
      </c>
      <c r="M64" s="3">
        <v>66706.97</v>
      </c>
      <c r="N64" s="3">
        <v>19440</v>
      </c>
      <c r="O64" s="3"/>
      <c r="P64" s="10"/>
      <c r="Q64" s="3">
        <f>SUM(OSRRefD21_10_0x)+IFERROR(SUM(OSRRefE21_10_0x),0)</f>
        <v>443074.73</v>
      </c>
    </row>
    <row r="65" spans="1:17" s="42" customFormat="1" ht="15" customHeight="1" collapsed="1" x14ac:dyDescent="0.3">
      <c r="A65" s="34"/>
      <c r="B65" s="15" t="str">
        <f>CONCATENATE("     ","Repair and Maintenance                            ")</f>
        <v xml:space="preserve">     Repair and Maintenance                            </v>
      </c>
      <c r="C65" s="15"/>
      <c r="D65" s="2">
        <f>SUM(OSRRefD21_11x_0)</f>
        <v>629</v>
      </c>
      <c r="E65" s="2">
        <f>SUM(OSRRefD21_11x_1)</f>
        <v>42.3</v>
      </c>
      <c r="F65" s="2">
        <f>SUM(OSRRefD21_11x_2)</f>
        <v>83.83</v>
      </c>
      <c r="G65" s="2">
        <f>SUM(OSRRefD21_11x_3)</f>
        <v>1244.3800000000001</v>
      </c>
      <c r="H65" s="2">
        <f>SUM(OSRRefD21_11x_4)</f>
        <v>7.75</v>
      </c>
      <c r="I65" s="2">
        <f>SUM(OSRRefD21_11x_5)</f>
        <v>105.7</v>
      </c>
      <c r="J65" s="2">
        <f>SUM(OSRRefD21_11x_6)</f>
        <v>5.35</v>
      </c>
      <c r="K65" s="2">
        <f>SUM(OSRRefD21_11x_7)</f>
        <v>10.93</v>
      </c>
      <c r="L65" s="2">
        <f>SUM(OSRRefD21_11x_8)</f>
        <v>3790.76</v>
      </c>
      <c r="M65" s="2">
        <f>SUM(OSRRefD21_11x_9)</f>
        <v>4.67</v>
      </c>
      <c r="N65" s="2">
        <f>SUM(OSRRefE21_11x_0)</f>
        <v>200</v>
      </c>
      <c r="O65" s="2">
        <f>SUM(OSRRefE21_11x_1)</f>
        <v>200</v>
      </c>
      <c r="Q65" s="3">
        <f>SUM(OSRRefD20_11x)+IFERROR(SUM(OSRRefE20_11x),0)</f>
        <v>6324.67</v>
      </c>
    </row>
    <row r="66" spans="1:17" s="42" customFormat="1" ht="15" hidden="1" customHeight="1" outlineLevel="1" x14ac:dyDescent="0.3">
      <c r="A66" s="34"/>
      <c r="B66" s="11" t="str">
        <f>CONCATENATE("          ","6373"," - ","MAINTENANCE CONTRACTS")</f>
        <v xml:space="preserve">          6373 - MAINTENANCE CONTRACTS</v>
      </c>
      <c r="C66" s="15"/>
      <c r="D66" s="3">
        <v>14</v>
      </c>
      <c r="E66" s="3"/>
      <c r="F66" s="3">
        <v>83.83</v>
      </c>
      <c r="G66" s="3">
        <v>57.15</v>
      </c>
      <c r="H66" s="3">
        <v>7.75</v>
      </c>
      <c r="I66" s="3">
        <v>105.7</v>
      </c>
      <c r="J66" s="3">
        <v>5.35</v>
      </c>
      <c r="K66" s="3">
        <v>10.93</v>
      </c>
      <c r="L66" s="3">
        <v>3697.26</v>
      </c>
      <c r="M66" s="3">
        <v>4.67</v>
      </c>
      <c r="N66" s="3"/>
      <c r="O66" s="3"/>
      <c r="P66" s="10"/>
      <c r="Q66" s="3">
        <f>SUM(OSRRefD21_11_0x)+IFERROR(SUM(OSRRefE21_11_0x),0)</f>
        <v>3986.6400000000003</v>
      </c>
    </row>
    <row r="67" spans="1:17" s="42" customFormat="1" ht="15" hidden="1" customHeight="1" outlineLevel="1" x14ac:dyDescent="0.3">
      <c r="A67" s="34"/>
      <c r="B67" s="11" t="str">
        <f>CONCATENATE("          ","6375"," - ","OUTSIDE REPAIRS &amp; MAINTENANCE")</f>
        <v xml:space="preserve">          6375 - OUTSIDE REPAIRS &amp; MAINTENANCE</v>
      </c>
      <c r="C67" s="15"/>
      <c r="D67" s="3">
        <v>615</v>
      </c>
      <c r="E67" s="3">
        <v>42.3</v>
      </c>
      <c r="F67" s="3"/>
      <c r="G67" s="3">
        <v>1187.23</v>
      </c>
      <c r="H67" s="3"/>
      <c r="I67" s="3"/>
      <c r="J67" s="3"/>
      <c r="K67" s="3"/>
      <c r="L67" s="3">
        <v>93.5</v>
      </c>
      <c r="M67" s="3"/>
      <c r="N67" s="3">
        <v>200</v>
      </c>
      <c r="O67" s="3">
        <v>200</v>
      </c>
      <c r="P67" s="10"/>
      <c r="Q67" s="3">
        <f>SUM(OSRRefD21_11_1x)+IFERROR(SUM(OSRRefE21_11_1x),0)</f>
        <v>2338.0299999999997</v>
      </c>
    </row>
    <row r="68" spans="1:17" s="42" customFormat="1" ht="15" customHeight="1" collapsed="1" x14ac:dyDescent="0.3">
      <c r="A68" s="34"/>
      <c r="B68" s="15" t="str">
        <f>CONCATENATE("     ","Services                                          ")</f>
        <v xml:space="preserve">     Services                                          </v>
      </c>
      <c r="C68" s="15"/>
      <c r="D68" s="2">
        <f>SUM(OSRRefD21_12x_0)</f>
        <v>5812.9</v>
      </c>
      <c r="E68" s="2">
        <f>SUM(OSRRefD21_12x_1)</f>
        <v>6091.05</v>
      </c>
      <c r="F68" s="2">
        <f>SUM(OSRRefD21_12x_2)</f>
        <v>6297.38</v>
      </c>
      <c r="G68" s="2">
        <f>SUM(OSRRefD21_12x_3)</f>
        <v>7270.24</v>
      </c>
      <c r="H68" s="2">
        <f>SUM(OSRRefD21_12x_4)</f>
        <v>7572.07</v>
      </c>
      <c r="I68" s="2">
        <f>SUM(OSRRefD21_12x_5)</f>
        <v>6140.6100000000006</v>
      </c>
      <c r="J68" s="2">
        <f>SUM(OSRRefD21_12x_6)</f>
        <v>6565.7300000000005</v>
      </c>
      <c r="K68" s="2">
        <f>SUM(OSRRefD21_12x_7)</f>
        <v>6713.77</v>
      </c>
      <c r="L68" s="2">
        <f>SUM(OSRRefD21_12x_8)</f>
        <v>7544.0300000000007</v>
      </c>
      <c r="M68" s="2">
        <f>SUM(OSRRefD21_12x_9)</f>
        <v>7412</v>
      </c>
      <c r="N68" s="2">
        <f>SUM(OSRRefE21_12x_0)</f>
        <v>7422</v>
      </c>
      <c r="O68" s="2">
        <f>SUM(OSRRefE21_12x_1)</f>
        <v>7418</v>
      </c>
      <c r="Q68" s="3">
        <f>SUM(OSRRefD20_12x)+IFERROR(SUM(OSRRefE20_12x),0)</f>
        <v>82259.78</v>
      </c>
    </row>
    <row r="69" spans="1:17" s="42" customFormat="1" ht="15" hidden="1" customHeight="1" outlineLevel="1" x14ac:dyDescent="0.3">
      <c r="A69" s="34"/>
      <c r="B69" s="11" t="str">
        <f>CONCATENATE("          ","6282"," - ","JANITORIAL/EXTERMINATOR EXPENS")</f>
        <v xml:space="preserve">          6282 - JANITORIAL/EXTERMINATOR EXPENS</v>
      </c>
      <c r="C69" s="15"/>
      <c r="D69" s="3">
        <v>421.34</v>
      </c>
      <c r="E69" s="3">
        <v>421.34</v>
      </c>
      <c r="F69" s="3">
        <v>459.25</v>
      </c>
      <c r="G69" s="3">
        <v>1438.62</v>
      </c>
      <c r="H69" s="3">
        <v>459.25</v>
      </c>
      <c r="I69" s="3">
        <v>459.25</v>
      </c>
      <c r="J69" s="3">
        <v>459.25</v>
      </c>
      <c r="K69" s="3">
        <v>459.25</v>
      </c>
      <c r="L69" s="3">
        <v>459.25</v>
      </c>
      <c r="M69" s="3">
        <v>459.25</v>
      </c>
      <c r="N69" s="3">
        <v>450</v>
      </c>
      <c r="O69" s="3">
        <v>450</v>
      </c>
      <c r="P69" s="10"/>
      <c r="Q69" s="3">
        <f>SUM(OSRRefD21_12_0x)+IFERROR(SUM(OSRRefE21_12_0x),0)</f>
        <v>6396.0499999999993</v>
      </c>
    </row>
    <row r="70" spans="1:17" s="42" customFormat="1" ht="15" hidden="1" customHeight="1" outlineLevel="1" x14ac:dyDescent="0.3">
      <c r="A70" s="34"/>
      <c r="B70" s="11" t="str">
        <f>CONCATENATE("          ","6284"," - ","TRASH REMOVAL EXPENSE")</f>
        <v xml:space="preserve">          6284 - TRASH REMOVAL EXPENSE</v>
      </c>
      <c r="C70" s="15"/>
      <c r="D70" s="3"/>
      <c r="E70" s="3"/>
      <c r="F70" s="3"/>
      <c r="G70" s="3"/>
      <c r="H70" s="3"/>
      <c r="I70" s="3"/>
      <c r="J70" s="3"/>
      <c r="K70" s="3"/>
      <c r="L70" s="3"/>
      <c r="M70" s="3"/>
      <c r="N70" s="3">
        <v>50</v>
      </c>
      <c r="O70" s="3">
        <v>50</v>
      </c>
      <c r="P70" s="10"/>
      <c r="Q70" s="3">
        <f>SUM(OSRRefD21_12_1x)+IFERROR(SUM(OSRRefE21_12_1x),0)</f>
        <v>100</v>
      </c>
    </row>
    <row r="71" spans="1:17" s="42" customFormat="1" ht="15" hidden="1" customHeight="1" outlineLevel="1" x14ac:dyDescent="0.3">
      <c r="A71" s="34"/>
      <c r="B71" s="11" t="str">
        <f>CONCATENATE("          ","6285"," - ","JANITORIAL SERVICES")</f>
        <v xml:space="preserve">          6285 - JANITORIAL SERVICES</v>
      </c>
      <c r="C71" s="15"/>
      <c r="D71" s="3">
        <v>4468.33</v>
      </c>
      <c r="E71" s="3">
        <v>4468.33</v>
      </c>
      <c r="F71" s="3">
        <v>4668.33</v>
      </c>
      <c r="G71" s="3">
        <v>4468.33</v>
      </c>
      <c r="H71" s="3">
        <v>6019.04</v>
      </c>
      <c r="I71" s="3">
        <v>5051.18</v>
      </c>
      <c r="J71" s="3">
        <v>5236.5200000000004</v>
      </c>
      <c r="K71" s="3">
        <v>5291.22</v>
      </c>
      <c r="L71" s="3">
        <v>5163.43</v>
      </c>
      <c r="M71" s="3">
        <v>4468.33</v>
      </c>
      <c r="N71" s="3">
        <v>5255</v>
      </c>
      <c r="O71" s="3">
        <v>5255</v>
      </c>
      <c r="P71" s="10"/>
      <c r="Q71" s="3">
        <f>SUM(OSRRefD21_12_2x)+IFERROR(SUM(OSRRefE21_12_2x),0)</f>
        <v>59813.04</v>
      </c>
    </row>
    <row r="72" spans="1:17" s="42" customFormat="1" ht="15" hidden="1" customHeight="1" outlineLevel="1" x14ac:dyDescent="0.3">
      <c r="A72" s="34"/>
      <c r="B72" s="11" t="str">
        <f>CONCATENATE("          ","6286"," - ","LAUNDRY EXPENSE")</f>
        <v xml:space="preserve">          6286 - LAUNDRY EXPENSE</v>
      </c>
      <c r="C72" s="15"/>
      <c r="D72" s="3">
        <v>923.23</v>
      </c>
      <c r="E72" s="3">
        <v>1201.3800000000001</v>
      </c>
      <c r="F72" s="3">
        <v>1169.8</v>
      </c>
      <c r="G72" s="3">
        <v>1363.29</v>
      </c>
      <c r="H72" s="3">
        <v>1093.78</v>
      </c>
      <c r="I72" s="3">
        <v>630.17999999999995</v>
      </c>
      <c r="J72" s="3">
        <v>869.96</v>
      </c>
      <c r="K72" s="3">
        <v>963.3</v>
      </c>
      <c r="L72" s="3">
        <v>1921.35</v>
      </c>
      <c r="M72" s="3">
        <v>2484.42</v>
      </c>
      <c r="N72" s="3">
        <v>1667</v>
      </c>
      <c r="O72" s="3">
        <v>1663</v>
      </c>
      <c r="P72" s="10"/>
      <c r="Q72" s="3">
        <f>SUM(OSRRefD21_12_3x)+IFERROR(SUM(OSRRefE21_12_3x),0)</f>
        <v>15950.69</v>
      </c>
    </row>
    <row r="73" spans="1:17" s="42" customFormat="1" ht="15" customHeight="1" collapsed="1" x14ac:dyDescent="0.3">
      <c r="A73" s="34"/>
      <c r="B73" s="15" t="str">
        <f>CONCATENATE("     ","Supplies                                          ")</f>
        <v xml:space="preserve">     Supplies                                          </v>
      </c>
      <c r="C73" s="15"/>
      <c r="D73" s="2">
        <f>SUM(OSRRefD21_13x_0)</f>
        <v>5201.6799999999994</v>
      </c>
      <c r="E73" s="2">
        <f>SUM(OSRRefD21_13x_1)</f>
        <v>9110.73</v>
      </c>
      <c r="F73" s="2">
        <f>SUM(OSRRefD21_13x_2)</f>
        <v>20098.71</v>
      </c>
      <c r="G73" s="2">
        <f>SUM(OSRRefD21_13x_3)</f>
        <v>38827.379999999997</v>
      </c>
      <c r="H73" s="2">
        <f>SUM(OSRRefD21_13x_4)</f>
        <v>11350.45</v>
      </c>
      <c r="I73" s="2">
        <f>SUM(OSRRefD21_13x_5)</f>
        <v>18161.400000000001</v>
      </c>
      <c r="J73" s="2">
        <f>SUM(OSRRefD21_13x_6)</f>
        <v>3281.2799999999997</v>
      </c>
      <c r="K73" s="2">
        <f>SUM(OSRRefD21_13x_7)</f>
        <v>12671.26</v>
      </c>
      <c r="L73" s="2">
        <f>SUM(OSRRefD21_13x_8)</f>
        <v>7890.96</v>
      </c>
      <c r="M73" s="2">
        <f>SUM(OSRRefD21_13x_9)</f>
        <v>13470.79</v>
      </c>
      <c r="N73" s="2">
        <f>SUM(OSRRefE21_13x_0)</f>
        <v>13066</v>
      </c>
      <c r="O73" s="2">
        <f>SUM(OSRRefE21_13x_1)</f>
        <v>13064</v>
      </c>
      <c r="Q73" s="3">
        <f>SUM(OSRRefD20_13x)+IFERROR(SUM(OSRRefE20_13x),0)</f>
        <v>166194.64000000001</v>
      </c>
    </row>
    <row r="74" spans="1:17" s="42" customFormat="1" ht="15" hidden="1" customHeight="1" outlineLevel="1" x14ac:dyDescent="0.3">
      <c r="A74" s="34"/>
      <c r="B74" s="11" t="str">
        <f>CONCATENATE("          ","6234"," - ","EXPENDABLE SUPPLIES &amp; EQUIPMEN")</f>
        <v xml:space="preserve">          6234 - EXPENDABLE SUPPLIES &amp; EQUIPMEN</v>
      </c>
      <c r="C74" s="15"/>
      <c r="D74" s="3"/>
      <c r="E74" s="3"/>
      <c r="F74" s="3"/>
      <c r="G74" s="3"/>
      <c r="H74" s="3"/>
      <c r="I74" s="3">
        <v>315</v>
      </c>
      <c r="J74" s="3"/>
      <c r="K74" s="3"/>
      <c r="L74" s="3"/>
      <c r="M74" s="3"/>
      <c r="N74" s="3"/>
      <c r="O74" s="3"/>
      <c r="P74" s="10"/>
      <c r="Q74" s="3">
        <f>SUM(OSRRefD21_13_0x)+IFERROR(SUM(OSRRefE21_13_0x),0)</f>
        <v>315</v>
      </c>
    </row>
    <row r="75" spans="1:17" s="42" customFormat="1" ht="15" hidden="1" customHeight="1" outlineLevel="1" x14ac:dyDescent="0.3">
      <c r="A75" s="34"/>
      <c r="B75" s="11" t="str">
        <f>CONCATENATE("          ","6235"," - ","COVID-19 EXPENSES")</f>
        <v xml:space="preserve">          6235 - COVID-19 EXPENSES</v>
      </c>
      <c r="C75" s="15"/>
      <c r="D75" s="3"/>
      <c r="E75" s="3"/>
      <c r="F75" s="3"/>
      <c r="G75" s="3"/>
      <c r="H75" s="3"/>
      <c r="I75" s="3"/>
      <c r="J75" s="3"/>
      <c r="K75" s="3">
        <v>158.76</v>
      </c>
      <c r="L75" s="3"/>
      <c r="M75" s="3"/>
      <c r="N75" s="3"/>
      <c r="O75" s="3"/>
      <c r="P75" s="10"/>
      <c r="Q75" s="3">
        <f>SUM(OSRRefD21_13_1x)+IFERROR(SUM(OSRRefE21_13_1x),0)</f>
        <v>158.76</v>
      </c>
    </row>
    <row r="76" spans="1:17" s="42" customFormat="1" ht="15" hidden="1" customHeight="1" outlineLevel="1" x14ac:dyDescent="0.3">
      <c r="A76" s="34"/>
      <c r="B76" s="11" t="str">
        <f>CONCATENATE("          ","6237"," - ","JANITORIAL SUPPLIES")</f>
        <v xml:space="preserve">          6237 - JANITORIAL SUPPLIES</v>
      </c>
      <c r="C76" s="15"/>
      <c r="D76" s="3">
        <v>3701.95</v>
      </c>
      <c r="E76" s="3"/>
      <c r="F76" s="3">
        <v>3997.04</v>
      </c>
      <c r="G76" s="3">
        <v>3394.94</v>
      </c>
      <c r="H76" s="3">
        <v>2339.33</v>
      </c>
      <c r="I76" s="3">
        <v>2015.85</v>
      </c>
      <c r="J76" s="3">
        <v>668.33</v>
      </c>
      <c r="K76" s="3">
        <v>3139.58</v>
      </c>
      <c r="L76" s="3">
        <v>828.88</v>
      </c>
      <c r="M76" s="3">
        <v>7612.72</v>
      </c>
      <c r="N76" s="3">
        <v>3750</v>
      </c>
      <c r="O76" s="3">
        <v>3750</v>
      </c>
      <c r="P76" s="10"/>
      <c r="Q76" s="3">
        <f>SUM(OSRRefD21_13_2x)+IFERROR(SUM(OSRRefE21_13_2x),0)</f>
        <v>35198.620000000003</v>
      </c>
    </row>
    <row r="77" spans="1:17" s="42" customFormat="1" ht="15" hidden="1" customHeight="1" outlineLevel="1" x14ac:dyDescent="0.3">
      <c r="A77" s="34"/>
      <c r="B77" s="11" t="str">
        <f>CONCATENATE("          ","6239"," - ","KITCHEN SUPPLIES")</f>
        <v xml:space="preserve">          6239 - KITCHEN SUPPLIES</v>
      </c>
      <c r="C77" s="15"/>
      <c r="D77" s="3"/>
      <c r="E77" s="3">
        <v>1016.81</v>
      </c>
      <c r="F77" s="3">
        <v>3028.13</v>
      </c>
      <c r="G77" s="3">
        <v>4817.3500000000004</v>
      </c>
      <c r="H77" s="3">
        <v>500.13</v>
      </c>
      <c r="I77" s="3">
        <v>143.83000000000001</v>
      </c>
      <c r="J77" s="3"/>
      <c r="K77" s="3">
        <v>582.53</v>
      </c>
      <c r="L77" s="3">
        <v>307.89</v>
      </c>
      <c r="M77" s="3">
        <v>529.97</v>
      </c>
      <c r="N77" s="3">
        <v>1800</v>
      </c>
      <c r="O77" s="3">
        <v>1800</v>
      </c>
      <c r="P77" s="10"/>
      <c r="Q77" s="3">
        <f>SUM(OSRRefD21_13_3x)+IFERROR(SUM(OSRRefE21_13_3x),0)</f>
        <v>14526.64</v>
      </c>
    </row>
    <row r="78" spans="1:17" s="42" customFormat="1" ht="15" hidden="1" customHeight="1" outlineLevel="1" x14ac:dyDescent="0.3">
      <c r="A78" s="34"/>
      <c r="B78" s="11" t="str">
        <f>CONCATENATE("          ","6241"," - ","OFFICE EXPENSE")</f>
        <v xml:space="preserve">          6241 - OFFICE EXPENSE</v>
      </c>
      <c r="C78" s="15"/>
      <c r="D78" s="3">
        <v>436.66</v>
      </c>
      <c r="E78" s="3">
        <v>932.42</v>
      </c>
      <c r="F78" s="3">
        <v>329.73</v>
      </c>
      <c r="G78" s="3">
        <v>1034.22</v>
      </c>
      <c r="H78" s="3">
        <v>434.45</v>
      </c>
      <c r="I78" s="3">
        <v>404.74</v>
      </c>
      <c r="J78" s="3">
        <v>9.35</v>
      </c>
      <c r="K78" s="3">
        <v>276.97000000000003</v>
      </c>
      <c r="L78" s="3">
        <v>150.32</v>
      </c>
      <c r="M78" s="3">
        <v>2.21</v>
      </c>
      <c r="N78" s="3">
        <v>820</v>
      </c>
      <c r="O78" s="3">
        <v>820</v>
      </c>
      <c r="P78" s="10"/>
      <c r="Q78" s="3">
        <f>SUM(OSRRefD21_13_4x)+IFERROR(SUM(OSRRefE21_13_4x),0)</f>
        <v>5651.07</v>
      </c>
    </row>
    <row r="79" spans="1:17" s="42" customFormat="1" ht="15" hidden="1" customHeight="1" outlineLevel="1" x14ac:dyDescent="0.3">
      <c r="A79" s="34"/>
      <c r="B79" s="11" t="str">
        <f>CONCATENATE("          ","6243"," - ","PAPER SUPPLIES")</f>
        <v xml:space="preserve">          6243 - PAPER SUPPLIES</v>
      </c>
      <c r="C79" s="15"/>
      <c r="D79" s="3">
        <v>1063.07</v>
      </c>
      <c r="E79" s="3">
        <v>7161.5</v>
      </c>
      <c r="F79" s="3">
        <v>12616.47</v>
      </c>
      <c r="G79" s="3">
        <v>27629.87</v>
      </c>
      <c r="H79" s="3">
        <v>7900.31</v>
      </c>
      <c r="I79" s="3">
        <v>15281.98</v>
      </c>
      <c r="J79" s="3">
        <v>2603.6</v>
      </c>
      <c r="K79" s="3">
        <v>8438.07</v>
      </c>
      <c r="L79" s="3">
        <v>5671.71</v>
      </c>
      <c r="M79" s="3">
        <v>5325.89</v>
      </c>
      <c r="N79" s="3">
        <v>6300</v>
      </c>
      <c r="O79" s="3">
        <v>6300</v>
      </c>
      <c r="P79" s="10"/>
      <c r="Q79" s="3">
        <f>SUM(OSRRefD21_13_5x)+IFERROR(SUM(OSRRefE21_13_5x),0)</f>
        <v>106292.47</v>
      </c>
    </row>
    <row r="80" spans="1:17" s="42" customFormat="1" ht="15" hidden="1" customHeight="1" outlineLevel="1" x14ac:dyDescent="0.3">
      <c r="A80" s="34"/>
      <c r="B80" s="11" t="str">
        <f>CONCATENATE("          ","6244"," - ","SAFETY SUPPLY EXPENSE")</f>
        <v xml:space="preserve">          6244 - SAFETY SUPPLY EXPENSE</v>
      </c>
      <c r="C80" s="15"/>
      <c r="D80" s="3"/>
      <c r="E80" s="3"/>
      <c r="F80" s="3"/>
      <c r="G80" s="3"/>
      <c r="H80" s="3"/>
      <c r="I80" s="3"/>
      <c r="J80" s="3"/>
      <c r="K80" s="3"/>
      <c r="L80" s="3"/>
      <c r="M80" s="3"/>
      <c r="N80" s="3">
        <v>200</v>
      </c>
      <c r="O80" s="3">
        <v>200</v>
      </c>
      <c r="P80" s="10"/>
      <c r="Q80" s="3">
        <f>SUM(OSRRefD21_13_6x)+IFERROR(SUM(OSRRefE21_13_6x),0)</f>
        <v>400</v>
      </c>
    </row>
    <row r="81" spans="1:17" s="42" customFormat="1" ht="15" hidden="1" customHeight="1" outlineLevel="1" x14ac:dyDescent="0.3">
      <c r="A81" s="34"/>
      <c r="B81" s="11" t="str">
        <f>CONCATENATE("          ","6247"," - ","STORE SUPPLIES")</f>
        <v xml:space="preserve">          6247 - STORE SUPPLIES</v>
      </c>
      <c r="C81" s="15"/>
      <c r="D81" s="3"/>
      <c r="E81" s="3"/>
      <c r="F81" s="3">
        <v>127.34</v>
      </c>
      <c r="G81" s="3">
        <v>80.59</v>
      </c>
      <c r="H81" s="3">
        <v>176.23</v>
      </c>
      <c r="I81" s="3"/>
      <c r="J81" s="3"/>
      <c r="K81" s="3">
        <v>75.349999999999994</v>
      </c>
      <c r="L81" s="3"/>
      <c r="M81" s="3"/>
      <c r="N81" s="3"/>
      <c r="O81" s="3"/>
      <c r="P81" s="10"/>
      <c r="Q81" s="3">
        <f>SUM(OSRRefD21_13_7x)+IFERROR(SUM(OSRRefE21_13_7x),0)</f>
        <v>459.51</v>
      </c>
    </row>
    <row r="82" spans="1:17" s="42" customFormat="1" ht="15" hidden="1" customHeight="1" outlineLevel="1" x14ac:dyDescent="0.3">
      <c r="A82" s="34"/>
      <c r="B82" s="11" t="str">
        <f>CONCATENATE("          ","6248"," - ","UNIFORMS")</f>
        <v xml:space="preserve">          6248 - UNIFORMS</v>
      </c>
      <c r="C82" s="15"/>
      <c r="D82" s="3"/>
      <c r="E82" s="3"/>
      <c r="F82" s="3"/>
      <c r="G82" s="3">
        <v>1870.41</v>
      </c>
      <c r="H82" s="3"/>
      <c r="I82" s="3"/>
      <c r="J82" s="3"/>
      <c r="K82" s="3"/>
      <c r="L82" s="3">
        <v>932.16</v>
      </c>
      <c r="M82" s="3"/>
      <c r="N82" s="3">
        <v>196</v>
      </c>
      <c r="O82" s="3">
        <v>194</v>
      </c>
      <c r="P82" s="10"/>
      <c r="Q82" s="3">
        <f>SUM(OSRRefD21_13_8x)+IFERROR(SUM(OSRRefE21_13_8x),0)</f>
        <v>3192.57</v>
      </c>
    </row>
    <row r="83" spans="1:17" s="42" customFormat="1" ht="15" customHeight="1" collapsed="1" x14ac:dyDescent="0.3">
      <c r="A83" s="34"/>
      <c r="B83" s="15" t="str">
        <f>CONCATENATE("     ","Telephone/Data Lines                              ")</f>
        <v xml:space="preserve">     Telephone/Data Lines                              </v>
      </c>
      <c r="C83" s="15"/>
      <c r="D83" s="2">
        <f>SUM(OSRRefD21_14x_0)</f>
        <v>217</v>
      </c>
      <c r="E83" s="2">
        <f>SUM(OSRRefD21_14x_1)</f>
        <v>309</v>
      </c>
      <c r="F83" s="2">
        <f>SUM(OSRRefD21_14x_2)</f>
        <v>309</v>
      </c>
      <c r="G83" s="2">
        <f>SUM(OSRRefD21_14x_3)</f>
        <v>459</v>
      </c>
      <c r="H83" s="2">
        <f>SUM(OSRRefD21_14x_4)</f>
        <v>309</v>
      </c>
      <c r="I83" s="2">
        <f>SUM(OSRRefD21_14x_5)</f>
        <v>159</v>
      </c>
      <c r="J83" s="2">
        <f>SUM(OSRRefD21_14x_6)</f>
        <v>309</v>
      </c>
      <c r="K83" s="2">
        <f>SUM(OSRRefD21_14x_7)</f>
        <v>309</v>
      </c>
      <c r="L83" s="2">
        <f>SUM(OSRRefD21_14x_8)</f>
        <v>309</v>
      </c>
      <c r="M83" s="2">
        <f>SUM(OSRRefD21_14x_9)</f>
        <v>459</v>
      </c>
      <c r="N83" s="2">
        <f>SUM(OSRRefE21_14x_0)</f>
        <v>218</v>
      </c>
      <c r="O83" s="2">
        <f>SUM(OSRRefE21_14x_1)</f>
        <v>218</v>
      </c>
      <c r="Q83" s="3">
        <f>SUM(OSRRefD20_14x)+IFERROR(SUM(OSRRefE20_14x),0)</f>
        <v>3584</v>
      </c>
    </row>
    <row r="84" spans="1:17" s="42" customFormat="1" ht="15" hidden="1" customHeight="1" outlineLevel="1" x14ac:dyDescent="0.3">
      <c r="A84" s="34"/>
      <c r="B84" s="11" t="str">
        <f>CONCATENATE("          ","6309"," - ","TELEPHONE")</f>
        <v xml:space="preserve">          6309 - TELEPHONE</v>
      </c>
      <c r="C84" s="15"/>
      <c r="D84" s="3">
        <v>217</v>
      </c>
      <c r="E84" s="3">
        <v>309</v>
      </c>
      <c r="F84" s="3">
        <v>309</v>
      </c>
      <c r="G84" s="3">
        <v>459</v>
      </c>
      <c r="H84" s="3">
        <v>309</v>
      </c>
      <c r="I84" s="3">
        <v>159</v>
      </c>
      <c r="J84" s="3">
        <v>309</v>
      </c>
      <c r="K84" s="3">
        <v>309</v>
      </c>
      <c r="L84" s="3">
        <v>309</v>
      </c>
      <c r="M84" s="3">
        <v>459</v>
      </c>
      <c r="N84" s="3">
        <v>218</v>
      </c>
      <c r="O84" s="3">
        <v>218</v>
      </c>
      <c r="P84" s="10"/>
      <c r="Q84" s="3">
        <f>SUM(OSRRefD21_14_0x)+IFERROR(SUM(OSRRefE21_14_0x),0)</f>
        <v>3584</v>
      </c>
    </row>
    <row r="85" spans="1:17" s="42" customFormat="1" ht="15" customHeight="1" collapsed="1" x14ac:dyDescent="0.3">
      <c r="A85" s="34"/>
      <c r="B85" s="15" t="str">
        <f>CONCATENATE("     ","Training                                          ")</f>
        <v xml:space="preserve">     Training                                          </v>
      </c>
      <c r="C85" s="15"/>
      <c r="D85" s="2">
        <f>SUM(OSRRefD21_15x_0)</f>
        <v>0</v>
      </c>
      <c r="E85" s="2">
        <f>SUM(OSRRefD21_15x_1)</f>
        <v>0</v>
      </c>
      <c r="F85" s="2">
        <f>SUM(OSRRefD21_15x_2)</f>
        <v>0</v>
      </c>
      <c r="G85" s="2">
        <f>SUM(OSRRefD21_15x_3)</f>
        <v>0</v>
      </c>
      <c r="H85" s="2">
        <f>SUM(OSRRefD21_15x_4)</f>
        <v>245</v>
      </c>
      <c r="I85" s="2">
        <f>SUM(OSRRefD21_15x_5)</f>
        <v>0</v>
      </c>
      <c r="J85" s="2">
        <f>SUM(OSRRefD21_15x_6)</f>
        <v>0</v>
      </c>
      <c r="K85" s="2">
        <f>SUM(OSRRefD21_15x_7)</f>
        <v>0</v>
      </c>
      <c r="L85" s="2">
        <f>SUM(OSRRefD21_15x_8)</f>
        <v>0</v>
      </c>
      <c r="M85" s="2">
        <f>SUM(OSRRefD21_15x_9)</f>
        <v>312</v>
      </c>
      <c r="N85" s="2">
        <f>SUM(OSRRefE21_15x_0)</f>
        <v>150</v>
      </c>
      <c r="O85" s="2">
        <f>SUM(OSRRefE21_15x_1)</f>
        <v>150</v>
      </c>
      <c r="Q85" s="3">
        <f>SUM(OSRRefD20_15x)+IFERROR(SUM(OSRRefE20_15x),0)</f>
        <v>857</v>
      </c>
    </row>
    <row r="86" spans="1:17" s="42" customFormat="1" ht="15" hidden="1" customHeight="1" outlineLevel="1" x14ac:dyDescent="0.3">
      <c r="A86" s="34"/>
      <c r="B86" s="11" t="str">
        <f>CONCATENATE("          ","6376"," - ","TRAINING")</f>
        <v xml:space="preserve">          6376 - TRAINING</v>
      </c>
      <c r="C86" s="15"/>
      <c r="D86" s="3"/>
      <c r="E86" s="3"/>
      <c r="F86" s="3"/>
      <c r="G86" s="3"/>
      <c r="H86" s="3">
        <v>245</v>
      </c>
      <c r="I86" s="3"/>
      <c r="J86" s="3"/>
      <c r="K86" s="3"/>
      <c r="L86" s="3"/>
      <c r="M86" s="3">
        <v>312</v>
      </c>
      <c r="N86" s="3">
        <v>150</v>
      </c>
      <c r="O86" s="3">
        <v>150</v>
      </c>
      <c r="P86" s="10"/>
      <c r="Q86" s="3">
        <f>SUM(OSRRefD21_15_0x)+IFERROR(SUM(OSRRefE21_15_0x),0)</f>
        <v>857</v>
      </c>
    </row>
    <row r="87" spans="1:17" s="40" customFormat="1" ht="15" customHeight="1" x14ac:dyDescent="0.3">
      <c r="A87" s="22"/>
      <c r="B87" s="22"/>
      <c r="C87" s="2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Q87" s="2"/>
    </row>
    <row r="88" spans="1:17" s="39" customFormat="1" ht="15" customHeight="1" x14ac:dyDescent="0.3">
      <c r="A88" s="24"/>
      <c r="B88" s="17" t="s">
        <v>287</v>
      </c>
      <c r="C88" s="23"/>
      <c r="D88" s="4">
        <f>0</f>
        <v>0</v>
      </c>
      <c r="E88" s="4">
        <f>0</f>
        <v>0</v>
      </c>
      <c r="F88" s="4">
        <f>0</f>
        <v>0</v>
      </c>
      <c r="G88" s="4">
        <f>0</f>
        <v>0</v>
      </c>
      <c r="H88" s="4">
        <f>0</f>
        <v>0</v>
      </c>
      <c r="I88" s="4">
        <f>0</f>
        <v>0</v>
      </c>
      <c r="J88" s="4">
        <f>0</f>
        <v>0</v>
      </c>
      <c r="K88" s="4">
        <f>0</f>
        <v>0</v>
      </c>
      <c r="L88" s="4">
        <f>0</f>
        <v>0</v>
      </c>
      <c r="M88" s="4">
        <f>0</f>
        <v>0</v>
      </c>
      <c r="N88" s="4"/>
      <c r="O88" s="4"/>
      <c r="Q88" s="3">
        <f>SUM(OSRRefD23_0x)+IFERROR(SUM(OSRRefE23_0x),0)</f>
        <v>0</v>
      </c>
    </row>
    <row r="89" spans="1:17" ht="15" customHeight="1" x14ac:dyDescent="0.3">
      <c r="A89" s="6"/>
      <c r="B89" s="7"/>
      <c r="C89" s="7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Q89" s="4"/>
    </row>
    <row r="90" spans="1:17" s="37" customFormat="1" ht="15" customHeight="1" x14ac:dyDescent="0.3">
      <c r="A90" s="7"/>
      <c r="B90" s="18" t="s">
        <v>288</v>
      </c>
      <c r="C90" s="18"/>
      <c r="D90" s="9">
        <f t="shared" ref="D90:O90" si="2">IFERROR(+D21-D24+D88,0)</f>
        <v>-85832.24</v>
      </c>
      <c r="E90" s="9">
        <f t="shared" si="2"/>
        <v>9728.1300000000047</v>
      </c>
      <c r="F90" s="9">
        <f t="shared" si="2"/>
        <v>321490.08000000007</v>
      </c>
      <c r="G90" s="9">
        <f t="shared" si="2"/>
        <v>269260.55</v>
      </c>
      <c r="H90" s="9">
        <f t="shared" si="2"/>
        <v>320057.70999999996</v>
      </c>
      <c r="I90" s="9">
        <f t="shared" si="2"/>
        <v>178987.19000000003</v>
      </c>
      <c r="J90" s="9">
        <f t="shared" si="2"/>
        <v>142582.30999999997</v>
      </c>
      <c r="K90" s="9">
        <f t="shared" si="2"/>
        <v>307916.9099999998</v>
      </c>
      <c r="L90" s="9">
        <f t="shared" si="2"/>
        <v>296778.90999999992</v>
      </c>
      <c r="M90" s="9">
        <f t="shared" si="2"/>
        <v>439717.89999999991</v>
      </c>
      <c r="N90" s="9">
        <f t="shared" si="2"/>
        <v>38032.124308780069</v>
      </c>
      <c r="O90" s="9">
        <f t="shared" si="2"/>
        <v>-103302.49969121994</v>
      </c>
      <c r="Q90" s="9">
        <f>IFERROR(+Q21-Q24+Q88,0)</f>
        <v>2135417.0746175591</v>
      </c>
    </row>
    <row r="91" spans="1:17" s="38" customFormat="1" ht="15" customHeight="1" x14ac:dyDescent="0.3">
      <c r="B91" s="17"/>
      <c r="C91" s="17"/>
      <c r="D91" s="5">
        <f t="shared" ref="D91:O91" si="3">IFERROR(D90/D10,0)</f>
        <v>-3.733890161327861</v>
      </c>
      <c r="E91" s="5">
        <f t="shared" si="3"/>
        <v>4.2133395631715753E-2</v>
      </c>
      <c r="F91" s="5">
        <f t="shared" si="3"/>
        <v>0.46841756989297206</v>
      </c>
      <c r="G91" s="5">
        <f t="shared" si="3"/>
        <v>0.33658401374704006</v>
      </c>
      <c r="H91" s="5">
        <f t="shared" si="3"/>
        <v>0.5001961822033657</v>
      </c>
      <c r="I91" s="5">
        <f t="shared" si="3"/>
        <v>0.37243652218272083</v>
      </c>
      <c r="J91" s="5">
        <f t="shared" si="3"/>
        <v>0.45865864688626867</v>
      </c>
      <c r="K91" s="5">
        <f t="shared" si="3"/>
        <v>0.45417853534418973</v>
      </c>
      <c r="L91" s="5">
        <f t="shared" si="3"/>
        <v>0.43895601800734996</v>
      </c>
      <c r="M91" s="5">
        <f t="shared" si="3"/>
        <v>0.52259520793165726</v>
      </c>
      <c r="N91" s="5">
        <f t="shared" si="3"/>
        <v>0.12805429060195309</v>
      </c>
      <c r="O91" s="5">
        <f t="shared" si="3"/>
        <v>0</v>
      </c>
      <c r="P91" s="19"/>
      <c r="Q91" s="5">
        <f>IFERROR(Q90/Q10,0)</f>
        <v>0.37701681543302606</v>
      </c>
    </row>
    <row r="92" spans="1:17" ht="15" customHeight="1" x14ac:dyDescent="0.3">
      <c r="A92" s="6"/>
      <c r="B92" s="7"/>
      <c r="C92" s="6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Q92" s="4"/>
    </row>
    <row r="93" spans="1:17" s="37" customFormat="1" ht="15" customHeight="1" x14ac:dyDescent="0.3">
      <c r="A93" s="26"/>
      <c r="B93" s="7" t="s">
        <v>289</v>
      </c>
      <c r="C93" s="7"/>
      <c r="D93" s="4">
        <v>10620.07</v>
      </c>
      <c r="E93" s="4">
        <v>27317.4</v>
      </c>
      <c r="F93" s="4">
        <v>78437.41</v>
      </c>
      <c r="G93" s="4">
        <v>84776.55</v>
      </c>
      <c r="H93" s="4">
        <v>82340.83</v>
      </c>
      <c r="I93" s="4">
        <v>60844.93</v>
      </c>
      <c r="J93" s="4">
        <v>75466.69</v>
      </c>
      <c r="K93" s="4">
        <v>60697.35</v>
      </c>
      <c r="L93" s="4">
        <v>59614.64</v>
      </c>
      <c r="M93" s="4">
        <v>67876.86</v>
      </c>
      <c r="N93" s="4">
        <v>40664</v>
      </c>
      <c r="O93" s="4">
        <v>-46035</v>
      </c>
      <c r="Q93" s="3">
        <f>SUM(OSRRefD28_0x)+IFERROR(SUM(OSRRefE28_0x),0)</f>
        <v>602621.73</v>
      </c>
    </row>
    <row r="94" spans="1:17" ht="15" customHeight="1" x14ac:dyDescent="0.3">
      <c r="A94" s="6"/>
      <c r="B94" s="7"/>
      <c r="C94" s="7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Q94" s="4"/>
    </row>
    <row r="95" spans="1:17" s="37" customFormat="1" ht="15.75" customHeight="1" x14ac:dyDescent="0.3">
      <c r="A95" s="7"/>
      <c r="B95" s="18" t="s">
        <v>290</v>
      </c>
      <c r="C95" s="18"/>
      <c r="D95" s="8">
        <f t="shared" ref="D95:O95" si="4">IFERROR(+D90-D93,0)</f>
        <v>-96452.31</v>
      </c>
      <c r="E95" s="8">
        <f t="shared" si="4"/>
        <v>-17589.269999999997</v>
      </c>
      <c r="F95" s="8">
        <f t="shared" si="4"/>
        <v>243052.67000000007</v>
      </c>
      <c r="G95" s="8">
        <f t="shared" si="4"/>
        <v>184484</v>
      </c>
      <c r="H95" s="8">
        <f t="shared" si="4"/>
        <v>237716.87999999995</v>
      </c>
      <c r="I95" s="8">
        <f t="shared" si="4"/>
        <v>118142.26000000004</v>
      </c>
      <c r="J95" s="8">
        <f t="shared" si="4"/>
        <v>67115.619999999966</v>
      </c>
      <c r="K95" s="8">
        <f t="shared" si="4"/>
        <v>247219.55999999979</v>
      </c>
      <c r="L95" s="8">
        <f t="shared" si="4"/>
        <v>237164.2699999999</v>
      </c>
      <c r="M95" s="8">
        <f t="shared" si="4"/>
        <v>371841.03999999992</v>
      </c>
      <c r="N95" s="8">
        <f t="shared" si="4"/>
        <v>-2631.8756912199315</v>
      </c>
      <c r="O95" s="8">
        <f t="shared" si="4"/>
        <v>-57267.499691219942</v>
      </c>
      <c r="Q95" s="8">
        <f>IFERROR(+Q90-Q93,0)</f>
        <v>1532795.3446175591</v>
      </c>
    </row>
    <row r="96" spans="1:17" ht="15.75" customHeight="1" x14ac:dyDescent="0.3">
      <c r="A96" s="6"/>
      <c r="B96" s="6"/>
      <c r="C96" s="6"/>
      <c r="D96" s="5">
        <f t="shared" ref="D96:O96" si="5">IFERROR(D95/D10,0)</f>
        <v>-4.1958864331904291</v>
      </c>
      <c r="E96" s="5">
        <f t="shared" si="5"/>
        <v>-7.6180691641977272E-2</v>
      </c>
      <c r="F96" s="5">
        <f t="shared" si="5"/>
        <v>0.35413267195491221</v>
      </c>
      <c r="G96" s="5">
        <f t="shared" si="5"/>
        <v>0.23061070473230832</v>
      </c>
      <c r="H96" s="5">
        <f t="shared" si="5"/>
        <v>0.3715113621893239</v>
      </c>
      <c r="I96" s="5">
        <f t="shared" si="5"/>
        <v>0.24583039957891276</v>
      </c>
      <c r="J96" s="5">
        <f t="shared" si="5"/>
        <v>0.21589746620133299</v>
      </c>
      <c r="K96" s="5">
        <f t="shared" si="5"/>
        <v>0.36464972862073414</v>
      </c>
      <c r="L96" s="5">
        <f t="shared" si="5"/>
        <v>0.35078194597055429</v>
      </c>
      <c r="M96" s="5">
        <f t="shared" si="5"/>
        <v>0.4419250287885112</v>
      </c>
      <c r="N96" s="5">
        <f t="shared" si="5"/>
        <v>-8.8615343138718234E-3</v>
      </c>
      <c r="O96" s="5">
        <f t="shared" si="5"/>
        <v>0</v>
      </c>
      <c r="P96" s="19"/>
      <c r="Q96" s="5">
        <f>IFERROR(Q95/Q10,0)</f>
        <v>0.27062142866951489</v>
      </c>
    </row>
    <row r="97" spans="1:17" ht="15" customHeight="1" x14ac:dyDescent="0.3">
      <c r="A97" s="6"/>
      <c r="B97" s="6"/>
      <c r="C97" s="6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Q97" s="4"/>
    </row>
    <row r="98" spans="1:17" ht="15" customHeight="1" x14ac:dyDescent="0.3">
      <c r="A98" s="6"/>
      <c r="B98" s="6"/>
      <c r="C98" s="6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Q98" s="4"/>
    </row>
    <row r="99" spans="1:17" s="37" customFormat="1" ht="15.75" customHeight="1" x14ac:dyDescent="0.3">
      <c r="A99" s="7"/>
      <c r="B99" s="18" t="s">
        <v>293</v>
      </c>
      <c r="C99" s="18"/>
      <c r="D99" s="8">
        <f t="shared" ref="D99:O99" si="6">IFERROR(SUM(D95:D98),0)</f>
        <v>-96456.505886433195</v>
      </c>
      <c r="E99" s="8">
        <f t="shared" si="6"/>
        <v>-17589.346180691638</v>
      </c>
      <c r="F99" s="8">
        <f t="shared" si="6"/>
        <v>243053.02413267203</v>
      </c>
      <c r="G99" s="8">
        <f t="shared" si="6"/>
        <v>184484.23061070472</v>
      </c>
      <c r="H99" s="8">
        <f t="shared" si="6"/>
        <v>237717.25151136215</v>
      </c>
      <c r="I99" s="8">
        <f t="shared" si="6"/>
        <v>118142.50583039962</v>
      </c>
      <c r="J99" s="8">
        <f t="shared" si="6"/>
        <v>67115.835897466168</v>
      </c>
      <c r="K99" s="8">
        <f t="shared" si="6"/>
        <v>247219.9246497284</v>
      </c>
      <c r="L99" s="8">
        <f t="shared" si="6"/>
        <v>237164.62078194588</v>
      </c>
      <c r="M99" s="8">
        <f t="shared" si="6"/>
        <v>371841.48192502873</v>
      </c>
      <c r="N99" s="8">
        <f t="shared" si="6"/>
        <v>-2631.8845527542453</v>
      </c>
      <c r="O99" s="8">
        <f t="shared" si="6"/>
        <v>-57267.499691219942</v>
      </c>
      <c r="Q99" s="8">
        <f>IFERROR(SUM(Q95:Q98),0)</f>
        <v>1532795.6152389878</v>
      </c>
    </row>
    <row r="100" spans="1:17" ht="15.75" customHeight="1" x14ac:dyDescent="0.3">
      <c r="A100" s="6"/>
      <c r="C100" s="6"/>
      <c r="D100" s="5">
        <f t="shared" ref="D100:O100" si="7">IFERROR(D99/D10,0)</f>
        <v>-4.1960689634269803</v>
      </c>
      <c r="E100" s="5">
        <f t="shared" si="7"/>
        <v>-7.6181021587323441E-2</v>
      </c>
      <c r="F100" s="5">
        <f t="shared" si="7"/>
        <v>0.35413318793340093</v>
      </c>
      <c r="G100" s="5">
        <f t="shared" si="7"/>
        <v>0.23061099300282031</v>
      </c>
      <c r="H100" s="5">
        <f t="shared" si="7"/>
        <v>0.37151194279888028</v>
      </c>
      <c r="I100" s="5">
        <f t="shared" si="7"/>
        <v>0.24583091110277694</v>
      </c>
      <c r="J100" s="5">
        <f t="shared" si="7"/>
        <v>0.21589816070010859</v>
      </c>
      <c r="K100" s="5">
        <f t="shared" si="7"/>
        <v>0.36465026648037835</v>
      </c>
      <c r="L100" s="5">
        <f t="shared" si="7"/>
        <v>0.35078246480070363</v>
      </c>
      <c r="M100" s="5">
        <f t="shared" si="7"/>
        <v>0.44192555400684397</v>
      </c>
      <c r="N100" s="5">
        <f t="shared" si="7"/>
        <v>-8.8615641506876938E-3</v>
      </c>
      <c r="O100" s="5">
        <f t="shared" si="7"/>
        <v>0</v>
      </c>
      <c r="P100" s="19"/>
      <c r="Q100" s="5">
        <f>IFERROR(Q99/Q10,0)</f>
        <v>0.27062147644885992</v>
      </c>
    </row>
    <row r="101" spans="1:17" ht="15" customHeight="1" x14ac:dyDescent="0.3">
      <c r="A101" s="6"/>
      <c r="B101" s="33">
        <v>44694.892891863426</v>
      </c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Q101" s="14"/>
    </row>
    <row r="102" spans="1:17" ht="15" customHeight="1" x14ac:dyDescent="0.3">
      <c r="A102" s="6"/>
      <c r="B102" s="31" t="s">
        <v>294</v>
      </c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Q102" s="14"/>
    </row>
    <row r="103" spans="1:17" ht="15" customHeight="1" x14ac:dyDescent="0.3">
      <c r="A103" s="6"/>
      <c r="B103" s="27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Q103" s="14"/>
    </row>
    <row r="104" spans="1:17" ht="15" customHeight="1" x14ac:dyDescent="0.3"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Q104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747FA-F274-0C9C-3FF9-15399F36D79A}">
  <sheetPr>
    <tabColor rgb="FF92D050"/>
    <outlinePr summaryBelow="0" summaryRight="0"/>
    <pageSetUpPr fitToPage="1"/>
  </sheetPr>
  <dimension ref="A2:R104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","450"," - ","Beachside Dining Hall")</f>
        <v>Department 450 - Beachside Dining Hall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0</v>
      </c>
      <c r="E10" s="4">
        <f>SUM(OSRRefD11x_1)</f>
        <v>41892.78</v>
      </c>
      <c r="F10" s="4">
        <f>SUM(OSRRefD11x_2)</f>
        <v>162218.18999999997</v>
      </c>
      <c r="G10" s="4">
        <f>SUM(OSRRefD11x_3)</f>
        <v>289059.61</v>
      </c>
      <c r="H10" s="4">
        <f>SUM(OSRRefD11x_4)</f>
        <v>231129.65</v>
      </c>
      <c r="I10" s="4">
        <f>SUM(OSRRefD11x_5)</f>
        <v>173612.78</v>
      </c>
      <c r="J10" s="4">
        <f>SUM(OSRRefD11x_6)</f>
        <v>116650.59000000001</v>
      </c>
      <c r="K10" s="4">
        <f>SUM(OSRRefD11x_7)</f>
        <v>255748.21</v>
      </c>
      <c r="L10" s="4">
        <f>SUM(OSRRefD11x_8)</f>
        <v>258493.59999999998</v>
      </c>
      <c r="M10" s="4">
        <f>SUM(OSRRefD11x_9)</f>
        <v>320679.87000000005</v>
      </c>
      <c r="N10" s="4">
        <f>SUM(OSRRefE11x_0)</f>
        <v>64800</v>
      </c>
      <c r="O10" s="4">
        <f>SUM(OSRRefE11x_1)</f>
        <v>0</v>
      </c>
      <c r="P10" s="25"/>
      <c r="Q10" s="4">
        <f>SUM(OSRRefG11x)</f>
        <v>1914285.2800000003</v>
      </c>
      <c r="R10" s="25"/>
    </row>
    <row r="11" spans="1:18" s="39" customFormat="1" ht="15" hidden="1" customHeight="1" outlineLevel="1" x14ac:dyDescent="0.3">
      <c r="A11" s="24"/>
      <c r="B11" s="11" t="str">
        <f>CONCATENATE("          ","4053"," - ","TAXABLE SALES-FOOD")</f>
        <v xml:space="preserve">          4053 - TAXABLE SALES-FOOD</v>
      </c>
      <c r="C11" s="23"/>
      <c r="D11" s="3">
        <f>0</f>
        <v>0</v>
      </c>
      <c r="E11" s="3">
        <f>0</f>
        <v>0</v>
      </c>
      <c r="F11" s="3">
        <f>--62.83</f>
        <v>62.83</v>
      </c>
      <c r="G11" s="3">
        <f>--11.12</f>
        <v>11.12</v>
      </c>
      <c r="H11" s="3">
        <f>--35.12</f>
        <v>35.119999999999997</v>
      </c>
      <c r="I11" s="3">
        <f>--54.05</f>
        <v>54.05</v>
      </c>
      <c r="J11" s="3">
        <f>--30.24</f>
        <v>30.24</v>
      </c>
      <c r="K11" s="3">
        <f>--52.48</f>
        <v>52.48</v>
      </c>
      <c r="L11" s="3">
        <f>--36.77</f>
        <v>36.770000000000003</v>
      </c>
      <c r="M11" s="3">
        <f>--71.71</f>
        <v>71.709999999999994</v>
      </c>
      <c r="N11" s="3"/>
      <c r="O11" s="3"/>
      <c r="Q11" s="3">
        <f>SUM(OSRRefD11_0x)+IFERROR(SUM(OSRRefE11_0x),0)</f>
        <v>354.32</v>
      </c>
    </row>
    <row r="12" spans="1:18" s="39" customFormat="1" ht="15" hidden="1" customHeight="1" outlineLevel="1" x14ac:dyDescent="0.3">
      <c r="A12" s="24"/>
      <c r="B12" s="11" t="str">
        <f>CONCATENATE("          ","4100"," - ","NON-TAXABLE SALES")</f>
        <v xml:space="preserve">          4100 - NON-TAXABLE SALES</v>
      </c>
      <c r="C12" s="23"/>
      <c r="D12" s="3">
        <f>0</f>
        <v>0</v>
      </c>
      <c r="E12" s="3">
        <f>0</f>
        <v>0</v>
      </c>
      <c r="F12" s="3">
        <f>0</f>
        <v>0</v>
      </c>
      <c r="G12" s="3">
        <f>0</f>
        <v>0</v>
      </c>
      <c r="H12" s="3">
        <f>0</f>
        <v>0</v>
      </c>
      <c r="I12" s="3">
        <f>0</f>
        <v>0</v>
      </c>
      <c r="J12" s="3">
        <f>0</f>
        <v>0</v>
      </c>
      <c r="K12" s="3">
        <f>0</f>
        <v>0</v>
      </c>
      <c r="L12" s="3">
        <f>0</f>
        <v>0</v>
      </c>
      <c r="M12" s="3">
        <f>0</f>
        <v>0</v>
      </c>
      <c r="N12" s="3">
        <v>64800</v>
      </c>
      <c r="O12" s="3"/>
      <c r="Q12" s="3">
        <f>SUM(OSRRefD11_1x)+IFERROR(SUM(OSRRefE11_1x),0)</f>
        <v>64800</v>
      </c>
    </row>
    <row r="13" spans="1:18" s="39" customFormat="1" ht="15" hidden="1" customHeight="1" outlineLevel="1" x14ac:dyDescent="0.3">
      <c r="A13" s="24"/>
      <c r="B13" s="11" t="str">
        <f>CONCATENATE("          ","4151"," - ","NON-TAXABLE SALES-FOOD")</f>
        <v xml:space="preserve">          4151 - NON-TAXABLE SALES-FOOD</v>
      </c>
      <c r="C13" s="23"/>
      <c r="D13" s="3">
        <f>0</f>
        <v>0</v>
      </c>
      <c r="E13" s="3">
        <f>--41610.58</f>
        <v>41610.58</v>
      </c>
      <c r="F13" s="3">
        <f>--161127.28</f>
        <v>161127.28</v>
      </c>
      <c r="G13" s="3">
        <f>--287723.81</f>
        <v>287723.81</v>
      </c>
      <c r="H13" s="3">
        <f>--230179.05</f>
        <v>230179.05</v>
      </c>
      <c r="I13" s="3">
        <f>--172634.28</f>
        <v>172634.28</v>
      </c>
      <c r="J13" s="3">
        <f>--116127.57</f>
        <v>116127.57</v>
      </c>
      <c r="K13" s="3">
        <f>--254494.61</f>
        <v>254494.61</v>
      </c>
      <c r="L13" s="3">
        <f>--257279.9</f>
        <v>257279.9</v>
      </c>
      <c r="M13" s="3">
        <f>--319316.57</f>
        <v>319316.57</v>
      </c>
      <c r="N13" s="3"/>
      <c r="O13" s="3"/>
      <c r="Q13" s="3">
        <f>SUM(OSRRefD11_2x)+IFERROR(SUM(OSRRefE11_2x),0)</f>
        <v>1840493.6500000001</v>
      </c>
    </row>
    <row r="14" spans="1:18" s="39" customFormat="1" ht="15" hidden="1" customHeight="1" outlineLevel="1" x14ac:dyDescent="0.3">
      <c r="A14" s="24"/>
      <c r="B14" s="11" t="str">
        <f>CONCATENATE("          ","4153"," - ","NON-TAXABLE SALES-FOOD")</f>
        <v xml:space="preserve">          4153 - NON-TAXABLE SALES-FOOD</v>
      </c>
      <c r="C14" s="23"/>
      <c r="D14" s="3">
        <f>0</f>
        <v>0</v>
      </c>
      <c r="E14" s="3">
        <f>--282.2</f>
        <v>282.2</v>
      </c>
      <c r="F14" s="3">
        <f>--1028.08</f>
        <v>1028.08</v>
      </c>
      <c r="G14" s="3">
        <f>--1324.68</f>
        <v>1324.68</v>
      </c>
      <c r="H14" s="3">
        <f>--915.48</f>
        <v>915.48</v>
      </c>
      <c r="I14" s="3">
        <f>--924.45</f>
        <v>924.45</v>
      </c>
      <c r="J14" s="3">
        <f>--492.78</f>
        <v>492.78</v>
      </c>
      <c r="K14" s="3">
        <f>--1201.12</f>
        <v>1201.1199999999999</v>
      </c>
      <c r="L14" s="3">
        <f>--1176.93</f>
        <v>1176.93</v>
      </c>
      <c r="M14" s="3">
        <f>--1291.59</f>
        <v>1291.5899999999999</v>
      </c>
      <c r="N14" s="3"/>
      <c r="O14" s="3"/>
      <c r="Q14" s="3">
        <f>SUM(OSRRefD11_3x)+IFERROR(SUM(OSRRefE11_3x),0)</f>
        <v>8637.31</v>
      </c>
    </row>
    <row r="15" spans="1:18" ht="15" customHeight="1" x14ac:dyDescent="0.3">
      <c r="A15" s="6"/>
      <c r="B15" s="7"/>
      <c r="C15" s="6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Q15" s="4"/>
    </row>
    <row r="16" spans="1:18" s="39" customFormat="1" ht="15" customHeight="1" collapsed="1" x14ac:dyDescent="0.3">
      <c r="A16" s="24"/>
      <c r="B16" s="17" t="s">
        <v>284</v>
      </c>
      <c r="C16" s="23"/>
      <c r="D16" s="4">
        <f>SUM(OSRRefD14x_0)</f>
        <v>0</v>
      </c>
      <c r="E16" s="4">
        <f>SUM(OSRRefD14x_1)</f>
        <v>34326.449999999997</v>
      </c>
      <c r="F16" s="4">
        <f>SUM(OSRRefD14x_2)</f>
        <v>55730.09</v>
      </c>
      <c r="G16" s="4">
        <f>SUM(OSRRefD14x_3)</f>
        <v>71470.430000000008</v>
      </c>
      <c r="H16" s="4">
        <f>SUM(OSRRefD14x_4)</f>
        <v>42969.06</v>
      </c>
      <c r="I16" s="4">
        <f>SUM(OSRRefD14x_5)</f>
        <v>32880.259999999995</v>
      </c>
      <c r="J16" s="4">
        <f>SUM(OSRRefD14x_6)</f>
        <v>24438.3</v>
      </c>
      <c r="K16" s="4">
        <f>SUM(OSRRefD14x_7)</f>
        <v>51252.57</v>
      </c>
      <c r="L16" s="4">
        <f>SUM(OSRRefD14x_8)</f>
        <v>59490.44</v>
      </c>
      <c r="M16" s="4">
        <f>SUM(OSRRefD14x_9)</f>
        <v>59987.05</v>
      </c>
      <c r="N16" s="4">
        <f>SUM(OSRRefE14x_0)</f>
        <v>14256</v>
      </c>
      <c r="O16" s="4">
        <f>SUM(OSRRefE14x_1)</f>
        <v>0</v>
      </c>
      <c r="Q16" s="4">
        <f>SUM(OSRRefG14x)</f>
        <v>446800.65</v>
      </c>
    </row>
    <row r="17" spans="1:17" s="39" customFormat="1" ht="15" hidden="1" customHeight="1" outlineLevel="1" x14ac:dyDescent="0.3">
      <c r="A17" s="24"/>
      <c r="B17" s="11" t="str">
        <f>CONCATENATE("          ","5000"," - ","PURCHASES @ COST")</f>
        <v xml:space="preserve">          5000 - PURCHASES @ COST</v>
      </c>
      <c r="C17" s="23"/>
      <c r="D17" s="3"/>
      <c r="E17" s="3"/>
      <c r="F17" s="3"/>
      <c r="G17" s="3"/>
      <c r="H17" s="3"/>
      <c r="I17" s="3"/>
      <c r="J17" s="3"/>
      <c r="K17" s="3"/>
      <c r="L17" s="3"/>
      <c r="M17" s="3"/>
      <c r="N17" s="3">
        <v>14256</v>
      </c>
      <c r="O17" s="3"/>
      <c r="Q17" s="3">
        <f>SUM(OSRRefD14_0x)+IFERROR(SUM(OSRRefE14_0x),0)</f>
        <v>14256</v>
      </c>
    </row>
    <row r="18" spans="1:17" s="39" customFormat="1" ht="15" hidden="1" customHeight="1" outlineLevel="1" x14ac:dyDescent="0.3">
      <c r="A18" s="24"/>
      <c r="B18" s="11" t="str">
        <f>CONCATENATE("          ","5053"," - ","PURCHASES @ COST-FOOD")</f>
        <v xml:space="preserve">          5053 - PURCHASES @ COST-FOOD</v>
      </c>
      <c r="C18" s="23"/>
      <c r="D18" s="3"/>
      <c r="E18" s="3">
        <v>47579.45</v>
      </c>
      <c r="F18" s="3">
        <v>63697.09</v>
      </c>
      <c r="G18" s="3">
        <v>68749.490000000005</v>
      </c>
      <c r="H18" s="3">
        <v>43314.06</v>
      </c>
      <c r="I18" s="3">
        <v>22863.26</v>
      </c>
      <c r="J18" s="3">
        <v>27390.3</v>
      </c>
      <c r="K18" s="3">
        <v>57968.57</v>
      </c>
      <c r="L18" s="3">
        <v>53716.44</v>
      </c>
      <c r="M18" s="3">
        <v>61532.05</v>
      </c>
      <c r="N18" s="3"/>
      <c r="O18" s="3"/>
      <c r="Q18" s="3">
        <f>SUM(OSRRefD14_1x)+IFERROR(SUM(OSRRefE14_1x),0)</f>
        <v>446810.71</v>
      </c>
    </row>
    <row r="19" spans="1:17" s="39" customFormat="1" ht="15" hidden="1" customHeight="1" outlineLevel="1" x14ac:dyDescent="0.3">
      <c r="A19" s="24"/>
      <c r="B19" s="11" t="str">
        <f>CONCATENATE("          ","5059"," - ","PURCHASES @ COST-FOOD")</f>
        <v xml:space="preserve">          5059 - PURCHASES @ COST-FOOD</v>
      </c>
      <c r="C19" s="23"/>
      <c r="D19" s="3"/>
      <c r="E19" s="3">
        <v>-13253</v>
      </c>
      <c r="F19" s="3">
        <v>-7967</v>
      </c>
      <c r="G19" s="3">
        <v>2720.94</v>
      </c>
      <c r="H19" s="3">
        <v>-345</v>
      </c>
      <c r="I19" s="3">
        <v>10017</v>
      </c>
      <c r="J19" s="3">
        <v>-2952</v>
      </c>
      <c r="K19" s="3">
        <v>-6716</v>
      </c>
      <c r="L19" s="3">
        <v>5774</v>
      </c>
      <c r="M19" s="3">
        <v>-1545</v>
      </c>
      <c r="N19" s="3"/>
      <c r="O19" s="3"/>
      <c r="Q19" s="3">
        <f>SUM(OSRRefD14_2x)+IFERROR(SUM(OSRRefE14_2x),0)</f>
        <v>-14266.060000000001</v>
      </c>
    </row>
    <row r="20" spans="1:17" ht="15" customHeight="1" x14ac:dyDescent="0.3">
      <c r="A20" s="6"/>
      <c r="B20" s="7"/>
      <c r="C20" s="7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Q20" s="4"/>
    </row>
    <row r="21" spans="1:17" s="37" customFormat="1" ht="15" customHeight="1" x14ac:dyDescent="0.3">
      <c r="A21" s="7"/>
      <c r="B21" s="18" t="s">
        <v>285</v>
      </c>
      <c r="C21" s="18"/>
      <c r="D21" s="9">
        <f t="shared" ref="D21:O21" si="0">IFERROR(+D10-D16,0)</f>
        <v>0</v>
      </c>
      <c r="E21" s="9">
        <f t="shared" si="0"/>
        <v>7566.3300000000017</v>
      </c>
      <c r="F21" s="9">
        <f t="shared" si="0"/>
        <v>106488.09999999998</v>
      </c>
      <c r="G21" s="9">
        <f t="shared" si="0"/>
        <v>217589.18</v>
      </c>
      <c r="H21" s="9">
        <f t="shared" si="0"/>
        <v>188160.59</v>
      </c>
      <c r="I21" s="9">
        <f t="shared" si="0"/>
        <v>140732.52000000002</v>
      </c>
      <c r="J21" s="9">
        <f t="shared" si="0"/>
        <v>92212.290000000008</v>
      </c>
      <c r="K21" s="9">
        <f t="shared" si="0"/>
        <v>204495.63999999998</v>
      </c>
      <c r="L21" s="9">
        <f t="shared" si="0"/>
        <v>199003.15999999997</v>
      </c>
      <c r="M21" s="9">
        <f t="shared" si="0"/>
        <v>260692.82000000007</v>
      </c>
      <c r="N21" s="9">
        <f t="shared" si="0"/>
        <v>50544</v>
      </c>
      <c r="O21" s="9">
        <f t="shared" si="0"/>
        <v>0</v>
      </c>
      <c r="Q21" s="9">
        <f>IFERROR(+Q10-Q16,0)</f>
        <v>1467484.6300000004</v>
      </c>
    </row>
    <row r="22" spans="1:17" s="38" customFormat="1" ht="15" customHeight="1" x14ac:dyDescent="0.3">
      <c r="B22" s="17"/>
      <c r="C22" s="17"/>
      <c r="D22" s="5">
        <f t="shared" ref="D22:O22" si="1">IFERROR(D21/D10,0)</f>
        <v>0</v>
      </c>
      <c r="E22" s="5">
        <f t="shared" si="1"/>
        <v>0.18061179038488259</v>
      </c>
      <c r="F22" s="5">
        <f t="shared" si="1"/>
        <v>0.65644980997507119</v>
      </c>
      <c r="G22" s="5">
        <f t="shared" si="1"/>
        <v>0.75274847288419167</v>
      </c>
      <c r="H22" s="5">
        <f t="shared" si="1"/>
        <v>0.8140910956253341</v>
      </c>
      <c r="I22" s="5">
        <f t="shared" si="1"/>
        <v>0.81061152295355221</v>
      </c>
      <c r="J22" s="5">
        <f t="shared" si="1"/>
        <v>0.79049998804120925</v>
      </c>
      <c r="K22" s="5">
        <f t="shared" si="1"/>
        <v>0.79959754166021335</v>
      </c>
      <c r="L22" s="5">
        <f t="shared" si="1"/>
        <v>0.76985720342786046</v>
      </c>
      <c r="M22" s="5">
        <f t="shared" si="1"/>
        <v>0.81293789971911867</v>
      </c>
      <c r="N22" s="5">
        <f t="shared" si="1"/>
        <v>0.78</v>
      </c>
      <c r="O22" s="5">
        <f t="shared" si="1"/>
        <v>0</v>
      </c>
      <c r="P22" s="19"/>
      <c r="Q22" s="5">
        <f>IFERROR(Q21/Q10,0)</f>
        <v>0.76659662242192039</v>
      </c>
    </row>
    <row r="23" spans="1:17" ht="15" customHeight="1" x14ac:dyDescent="0.3">
      <c r="A23" s="6"/>
      <c r="B23" s="7"/>
      <c r="C23" s="6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Q23" s="2"/>
    </row>
    <row r="24" spans="1:17" s="37" customFormat="1" ht="15" customHeight="1" x14ac:dyDescent="0.3">
      <c r="A24" s="7"/>
      <c r="B24" s="17" t="s">
        <v>286</v>
      </c>
      <c r="C24" s="7"/>
      <c r="D24" s="12" cm="1">
        <f t="array" ref="D24">SUM(OSRRefD20x_0)</f>
        <v>40764.729999999996</v>
      </c>
      <c r="E24" s="12" cm="1">
        <f t="array" ref="E24">SUM(OSRRefD20x_1)</f>
        <v>72082.450000000012</v>
      </c>
      <c r="F24" s="12" cm="1">
        <f t="array" ref="F24">SUM(OSRRefD20x_2)</f>
        <v>122556.41</v>
      </c>
      <c r="G24" s="12" cm="1">
        <f t="array" ref="G24">SUM(OSRRefD20x_3)</f>
        <v>199825.16999999995</v>
      </c>
      <c r="H24" s="12" cm="1">
        <f t="array" ref="H24">SUM(OSRRefD20x_4)</f>
        <v>119707.03000000001</v>
      </c>
      <c r="I24" s="12" cm="1">
        <f t="array" ref="I24">SUM(OSRRefD20x_5)</f>
        <v>111423.10999999999</v>
      </c>
      <c r="J24" s="12" cm="1">
        <f t="array" ref="J24">SUM(OSRRefD20x_6)</f>
        <v>80142.510000000009</v>
      </c>
      <c r="K24" s="12" cm="1">
        <f t="array" ref="K24">SUM(OSRRefD20x_7)</f>
        <v>133254.40000000002</v>
      </c>
      <c r="L24" s="12" cm="1">
        <f t="array" ref="L24">SUM(OSRRefD20x_8)</f>
        <v>137737.92000000004</v>
      </c>
      <c r="M24" s="12" cm="1">
        <f t="array" ref="M24">SUM(OSRRefD20x_9)</f>
        <v>156636.03999999998</v>
      </c>
      <c r="N24" s="12" cm="1">
        <f t="array" ref="N24">SUM(OSRRefE20x_0)</f>
        <v>101331.21499692311</v>
      </c>
      <c r="O24" s="12" cm="1">
        <f t="array" ref="O24">SUM(OSRRefE20x_1)</f>
        <v>67671.92699692311</v>
      </c>
      <c r="Q24" s="12" cm="1">
        <f t="array" ref="Q24">SUM(OSRRefG20x)</f>
        <v>1343132.9119938463</v>
      </c>
    </row>
    <row r="25" spans="1:17" s="42" customFormat="1" ht="15" customHeight="1" collapsed="1" x14ac:dyDescent="0.3">
      <c r="A25" s="34"/>
      <c r="B25" s="15" t="str">
        <f>CONCATENATE("     ","*Benefits                                         ")</f>
        <v xml:space="preserve">     *Benefits                                         </v>
      </c>
      <c r="C25" s="15"/>
      <c r="D25" s="2">
        <f>SUM(OSRRefD21_0x_0)</f>
        <v>18504.859999999997</v>
      </c>
      <c r="E25" s="2">
        <f>SUM(OSRRefD21_0x_1)</f>
        <v>20397.68</v>
      </c>
      <c r="F25" s="2">
        <f>SUM(OSRRefD21_0x_2)</f>
        <v>22817.989999999998</v>
      </c>
      <c r="G25" s="2">
        <f>SUM(OSRRefD21_0x_3)</f>
        <v>28618.34</v>
      </c>
      <c r="H25" s="2">
        <f>SUM(OSRRefD21_0x_4)</f>
        <v>23035.47</v>
      </c>
      <c r="I25" s="2">
        <f>SUM(OSRRefD21_0x_5)</f>
        <v>22057.569999999996</v>
      </c>
      <c r="J25" s="2">
        <f>SUM(OSRRefD21_0x_6)</f>
        <v>24304.190000000002</v>
      </c>
      <c r="K25" s="2">
        <f>SUM(OSRRefD21_0x_7)</f>
        <v>25878.030000000002</v>
      </c>
      <c r="L25" s="2">
        <f>SUM(OSRRefD21_0x_8)</f>
        <v>26482.829999999998</v>
      </c>
      <c r="M25" s="2">
        <f>SUM(OSRRefD21_0x_9)</f>
        <v>30711.189999999995</v>
      </c>
      <c r="N25" s="2">
        <f>SUM(OSRRefE21_0x_0)</f>
        <v>29000.835612307725</v>
      </c>
      <c r="O25" s="2">
        <f>SUM(OSRRefE21_0x_1)</f>
        <v>27581.43161230773</v>
      </c>
      <c r="Q25" s="3">
        <f>SUM(OSRRefD20_0x)+IFERROR(SUM(OSRRefE20_0x),0)</f>
        <v>299390.41722461546</v>
      </c>
    </row>
    <row r="26" spans="1:17" s="42" customFormat="1" ht="15" hidden="1" customHeight="1" outlineLevel="1" x14ac:dyDescent="0.3">
      <c r="A26" s="34"/>
      <c r="B26" s="11" t="str">
        <f>CONCATENATE("          ","6111"," - ","F.I.C.A.")</f>
        <v xml:space="preserve">          6111 - F.I.C.A.</v>
      </c>
      <c r="C26" s="15"/>
      <c r="D26" s="3">
        <v>1377.24</v>
      </c>
      <c r="E26" s="3">
        <v>2187.8000000000002</v>
      </c>
      <c r="F26" s="3">
        <v>4154.1000000000004</v>
      </c>
      <c r="G26" s="3">
        <v>5036.92</v>
      </c>
      <c r="H26" s="3">
        <v>2980.93</v>
      </c>
      <c r="I26" s="3">
        <v>2826.53</v>
      </c>
      <c r="J26" s="3">
        <v>2313.65</v>
      </c>
      <c r="K26" s="3">
        <v>3555.4</v>
      </c>
      <c r="L26" s="3">
        <v>3612.93</v>
      </c>
      <c r="M26" s="3">
        <v>4995.6899999999996</v>
      </c>
      <c r="N26" s="3">
        <v>2633.9977661538501</v>
      </c>
      <c r="O26" s="3">
        <v>2633.9977661538501</v>
      </c>
      <c r="P26" s="10"/>
      <c r="Q26" s="3">
        <f>SUM(OSRRefD21_0_0x)+IFERROR(SUM(OSRRefE21_0_0x),0)</f>
        <v>38309.185532307703</v>
      </c>
    </row>
    <row r="27" spans="1:17" s="42" customFormat="1" ht="15" hidden="1" customHeight="1" outlineLevel="1" x14ac:dyDescent="0.3">
      <c r="A27" s="34"/>
      <c r="B27" s="11" t="str">
        <f>CONCATENATE("          ","6112"," - ","COMPENSATION INSURANCE")</f>
        <v xml:space="preserve">          6112 - COMPENSATION INSURANCE</v>
      </c>
      <c r="C27" s="15"/>
      <c r="D27" s="3">
        <v>646.99</v>
      </c>
      <c r="E27" s="3">
        <v>973.22</v>
      </c>
      <c r="F27" s="3">
        <v>2139</v>
      </c>
      <c r="G27" s="3">
        <v>3718.33</v>
      </c>
      <c r="H27" s="3">
        <v>2384.36</v>
      </c>
      <c r="I27" s="3">
        <v>2093.1</v>
      </c>
      <c r="J27" s="3">
        <v>1197.9000000000001</v>
      </c>
      <c r="K27" s="3">
        <v>2480</v>
      </c>
      <c r="L27" s="3">
        <v>2603.37</v>
      </c>
      <c r="M27" s="3">
        <v>2232.94</v>
      </c>
      <c r="N27" s="3">
        <v>2072.9422492307699</v>
      </c>
      <c r="O27" s="3">
        <v>1304.43636923077</v>
      </c>
      <c r="P27" s="10"/>
      <c r="Q27" s="3">
        <f>SUM(OSRRefD21_0_1x)+IFERROR(SUM(OSRRefE21_0_1x),0)</f>
        <v>23846.588618461537</v>
      </c>
    </row>
    <row r="28" spans="1:17" s="42" customFormat="1" ht="15" hidden="1" customHeight="1" outlineLevel="1" x14ac:dyDescent="0.3">
      <c r="A28" s="34"/>
      <c r="B28" s="11" t="str">
        <f>CONCATENATE("          ","6113"," - ","GROUP INSURANCE")</f>
        <v xml:space="preserve">          6113 - GROUP INSURANCE</v>
      </c>
      <c r="C28" s="15"/>
      <c r="D28" s="3">
        <v>12451.67</v>
      </c>
      <c r="E28" s="3">
        <v>12451.66</v>
      </c>
      <c r="F28" s="3">
        <v>10735.63</v>
      </c>
      <c r="G28" s="3">
        <v>11951.73</v>
      </c>
      <c r="H28" s="3">
        <v>11954.18</v>
      </c>
      <c r="I28" s="3">
        <v>11954.17</v>
      </c>
      <c r="J28" s="3">
        <v>12752.57</v>
      </c>
      <c r="K28" s="3">
        <v>12774.24</v>
      </c>
      <c r="L28" s="3">
        <v>12774.24</v>
      </c>
      <c r="M28" s="3">
        <v>12774.22</v>
      </c>
      <c r="N28" s="3">
        <v>18578.538461538501</v>
      </c>
      <c r="O28" s="3">
        <v>18578.538461538501</v>
      </c>
      <c r="P28" s="10"/>
      <c r="Q28" s="3">
        <f>SUM(OSRRefD21_0_2x)+IFERROR(SUM(OSRRefE21_0_2x),0)</f>
        <v>159731.38692307702</v>
      </c>
    </row>
    <row r="29" spans="1:17" s="42" customFormat="1" ht="15" hidden="1" customHeight="1" outlineLevel="1" x14ac:dyDescent="0.3">
      <c r="A29" s="34"/>
      <c r="B29" s="11" t="str">
        <f>CONCATENATE("          ","6114"," - ","STATE UNEMPLOYMENT INSURANCE")</f>
        <v xml:space="preserve">          6114 - STATE UNEMPLOYMENT INSURANCE</v>
      </c>
      <c r="C29" s="15"/>
      <c r="D29" s="3">
        <v>46.73</v>
      </c>
      <c r="E29" s="3">
        <v>70.290000000000006</v>
      </c>
      <c r="F29" s="3">
        <v>154.47999999999999</v>
      </c>
      <c r="G29" s="3">
        <v>268.55</v>
      </c>
      <c r="H29" s="3">
        <v>172.2</v>
      </c>
      <c r="I29" s="3">
        <v>151.18</v>
      </c>
      <c r="J29" s="3">
        <v>86.5</v>
      </c>
      <c r="K29" s="3">
        <v>179.15</v>
      </c>
      <c r="L29" s="3">
        <v>188</v>
      </c>
      <c r="M29" s="3">
        <v>161.25</v>
      </c>
      <c r="N29" s="3">
        <v>114.85959692307701</v>
      </c>
      <c r="O29" s="3">
        <v>72.277476923076904</v>
      </c>
      <c r="P29" s="10"/>
      <c r="Q29" s="3">
        <f>SUM(OSRRefD21_0_3x)+IFERROR(SUM(OSRRefE21_0_3x),0)</f>
        <v>1665.4670738461541</v>
      </c>
    </row>
    <row r="30" spans="1:17" s="42" customFormat="1" ht="15" hidden="1" customHeight="1" outlineLevel="1" x14ac:dyDescent="0.3">
      <c r="A30" s="34"/>
      <c r="B30" s="11" t="str">
        <f>CONCATENATE("          ","6115"," - ","P.E.R.S.")</f>
        <v xml:space="preserve">          6115 - P.E.R.S.</v>
      </c>
      <c r="C30" s="15"/>
      <c r="D30" s="3">
        <v>487.42</v>
      </c>
      <c r="E30" s="3">
        <v>685.93</v>
      </c>
      <c r="F30" s="3">
        <v>836.6</v>
      </c>
      <c r="G30" s="3">
        <v>595.52</v>
      </c>
      <c r="H30" s="3">
        <v>397.02</v>
      </c>
      <c r="I30" s="3">
        <v>397.02</v>
      </c>
      <c r="J30" s="3">
        <v>1247.6300000000001</v>
      </c>
      <c r="K30" s="3">
        <v>1240.45</v>
      </c>
      <c r="L30" s="3">
        <v>1247.6300000000001</v>
      </c>
      <c r="M30" s="3">
        <v>1595.35</v>
      </c>
      <c r="N30" s="3">
        <v>408.83076923076902</v>
      </c>
      <c r="O30" s="3">
        <v>408.83076923076902</v>
      </c>
      <c r="P30" s="10"/>
      <c r="Q30" s="3">
        <f>SUM(OSRRefD21_0_4x)+IFERROR(SUM(OSRRefE21_0_4x),0)</f>
        <v>9548.2315384615376</v>
      </c>
    </row>
    <row r="31" spans="1:17" s="42" customFormat="1" ht="15" hidden="1" customHeight="1" outlineLevel="1" x14ac:dyDescent="0.3">
      <c r="A31" s="34"/>
      <c r="B31" s="11" t="str">
        <f>CONCATENATE("          ","6116"," - ","EDUCATIONAL BENEFITS")</f>
        <v xml:space="preserve">          6116 - EDUCATIONAL BENEFITS</v>
      </c>
      <c r="C31" s="15"/>
      <c r="D31" s="3"/>
      <c r="E31" s="3"/>
      <c r="F31" s="3"/>
      <c r="G31" s="3"/>
      <c r="H31" s="3"/>
      <c r="I31" s="3"/>
      <c r="J31" s="3"/>
      <c r="K31" s="3"/>
      <c r="L31" s="3"/>
      <c r="M31" s="3"/>
      <c r="N31" s="3">
        <v>0</v>
      </c>
      <c r="O31" s="3">
        <v>0</v>
      </c>
      <c r="P31" s="10"/>
      <c r="Q31" s="3">
        <f>SUM(OSRRefD21_0_5x)+IFERROR(SUM(OSRRefE21_0_5x),0)</f>
        <v>0</v>
      </c>
    </row>
    <row r="32" spans="1:17" s="42" customFormat="1" ht="15" hidden="1" customHeight="1" outlineLevel="1" x14ac:dyDescent="0.3">
      <c r="A32" s="34"/>
      <c r="B32" s="11" t="str">
        <f>CONCATENATE("          ","6117"," - ","RETIREMENT STAFF HOURLY")</f>
        <v xml:space="preserve">          6117 - RETIREMENT STAFF HOURLY</v>
      </c>
      <c r="C32" s="15"/>
      <c r="D32" s="3">
        <v>512.19000000000005</v>
      </c>
      <c r="E32" s="3">
        <v>921.45</v>
      </c>
      <c r="F32" s="3">
        <v>552.17999999999995</v>
      </c>
      <c r="G32" s="3">
        <v>898.11</v>
      </c>
      <c r="H32" s="3">
        <v>873.9</v>
      </c>
      <c r="I32" s="3">
        <v>726.17</v>
      </c>
      <c r="J32" s="3">
        <v>552.92999999999995</v>
      </c>
      <c r="K32" s="3">
        <v>517.77</v>
      </c>
      <c r="L32" s="3">
        <v>498.67</v>
      </c>
      <c r="M32" s="3">
        <v>425.73</v>
      </c>
      <c r="N32" s="3"/>
      <c r="O32" s="3"/>
      <c r="P32" s="10"/>
      <c r="Q32" s="3">
        <f>SUM(OSRRefD21_0_6x)+IFERROR(SUM(OSRRefE21_0_6x),0)</f>
        <v>6479.1</v>
      </c>
    </row>
    <row r="33" spans="1:17" s="42" customFormat="1" ht="15" hidden="1" customHeight="1" outlineLevel="1" x14ac:dyDescent="0.3">
      <c r="A33" s="34"/>
      <c r="B33" s="11" t="str">
        <f>CONCATENATE("          ","6118"," - ","VACATION")</f>
        <v xml:space="preserve">          6118 - VACATION</v>
      </c>
      <c r="C33" s="15"/>
      <c r="D33" s="3">
        <v>1260.5899999999999</v>
      </c>
      <c r="E33" s="3">
        <v>1329.08</v>
      </c>
      <c r="F33" s="3">
        <v>1644.87</v>
      </c>
      <c r="G33" s="3">
        <v>2384.17</v>
      </c>
      <c r="H33" s="3">
        <v>1599.52</v>
      </c>
      <c r="I33" s="3">
        <v>1599.52</v>
      </c>
      <c r="J33" s="3">
        <v>2680.01</v>
      </c>
      <c r="K33" s="3">
        <v>2175.36</v>
      </c>
      <c r="L33" s="3">
        <v>2264.0500000000002</v>
      </c>
      <c r="M33" s="3">
        <v>4120.71</v>
      </c>
      <c r="N33" s="3">
        <v>1625.81538461538</v>
      </c>
      <c r="O33" s="3">
        <v>1625.81538461538</v>
      </c>
      <c r="P33" s="10"/>
      <c r="Q33" s="3">
        <f>SUM(OSRRefD21_0_7x)+IFERROR(SUM(OSRRefE21_0_7x),0)</f>
        <v>24309.510769230761</v>
      </c>
    </row>
    <row r="34" spans="1:17" s="42" customFormat="1" ht="15" hidden="1" customHeight="1" outlineLevel="1" x14ac:dyDescent="0.3">
      <c r="A34" s="34"/>
      <c r="B34" s="11" t="str">
        <f>CONCATENATE("          ","6119"," - ","SICK LEAVE")</f>
        <v xml:space="preserve">          6119 - SICK LEAVE</v>
      </c>
      <c r="C34" s="15"/>
      <c r="D34" s="3">
        <v>961.41</v>
      </c>
      <c r="E34" s="3">
        <v>1060.42</v>
      </c>
      <c r="F34" s="3">
        <v>1459.52</v>
      </c>
      <c r="G34" s="3">
        <v>2152.41</v>
      </c>
      <c r="H34" s="3">
        <v>1384.76</v>
      </c>
      <c r="I34" s="3">
        <v>1384.76</v>
      </c>
      <c r="J34" s="3">
        <v>2595.77</v>
      </c>
      <c r="K34" s="3">
        <v>1652.22</v>
      </c>
      <c r="L34" s="3">
        <v>1723.21</v>
      </c>
      <c r="M34" s="3">
        <v>3167.16</v>
      </c>
      <c r="N34" s="3">
        <v>1640.8513846153801</v>
      </c>
      <c r="O34" s="3">
        <v>1032.5353846153801</v>
      </c>
      <c r="P34" s="10"/>
      <c r="Q34" s="3">
        <f>SUM(OSRRefD21_0_8x)+IFERROR(SUM(OSRRefE21_0_8x),0)</f>
        <v>20215.026769230761</v>
      </c>
    </row>
    <row r="35" spans="1:17" s="42" customFormat="1" ht="15" hidden="1" customHeight="1" outlineLevel="1" x14ac:dyDescent="0.3">
      <c r="A35" s="34"/>
      <c r="B35" s="11" t="str">
        <f>CONCATENATE("          ","6156"," - ","EMPLOYEE MEALS")</f>
        <v xml:space="preserve">          6156 - EMPLOYEE MEALS</v>
      </c>
      <c r="C35" s="15"/>
      <c r="D35" s="3">
        <v>760.62</v>
      </c>
      <c r="E35" s="3">
        <v>717.83</v>
      </c>
      <c r="F35" s="3">
        <v>1141.6099999999999</v>
      </c>
      <c r="G35" s="3">
        <v>1612.6</v>
      </c>
      <c r="H35" s="3">
        <v>1288.5999999999999</v>
      </c>
      <c r="I35" s="3">
        <v>925.12</v>
      </c>
      <c r="J35" s="3">
        <v>877.23</v>
      </c>
      <c r="K35" s="3">
        <v>1303.44</v>
      </c>
      <c r="L35" s="3">
        <v>1570.73</v>
      </c>
      <c r="M35" s="3">
        <v>1238.1400000000001</v>
      </c>
      <c r="N35" s="3">
        <v>1925</v>
      </c>
      <c r="O35" s="3">
        <v>1925</v>
      </c>
      <c r="P35" s="10"/>
      <c r="Q35" s="3">
        <f>SUM(OSRRefD21_0_9x)+IFERROR(SUM(OSRRefE21_0_9x),0)</f>
        <v>15285.92</v>
      </c>
    </row>
    <row r="36" spans="1:17" s="42" customFormat="1" ht="15" customHeight="1" collapsed="1" x14ac:dyDescent="0.3">
      <c r="A36" s="34"/>
      <c r="B36" s="15" t="str">
        <f>CONCATENATE("     ","*Payroll                                          ")</f>
        <v xml:space="preserve">     *Payroll                                          </v>
      </c>
      <c r="C36" s="15"/>
      <c r="D36" s="2">
        <f>SUM(OSRRefD21_1x_0)</f>
        <v>19517.169999999998</v>
      </c>
      <c r="E36" s="2">
        <f>SUM(OSRRefD21_1x_1)</f>
        <v>33411.229999999996</v>
      </c>
      <c r="F36" s="2">
        <f>SUM(OSRRefD21_1x_2)</f>
        <v>68381.959999999992</v>
      </c>
      <c r="G36" s="2">
        <f>SUM(OSRRefD21_1x_3)</f>
        <v>112128.89</v>
      </c>
      <c r="H36" s="2">
        <f>SUM(OSRRefD21_1x_4)</f>
        <v>64971.34</v>
      </c>
      <c r="I36" s="2">
        <f>SUM(OSRRefD21_1x_5)</f>
        <v>65424.09</v>
      </c>
      <c r="J36" s="2">
        <f>SUM(OSRRefD21_1x_6)</f>
        <v>40771.869999999995</v>
      </c>
      <c r="K36" s="2">
        <f>SUM(OSRRefD21_1x_7)</f>
        <v>69521.95</v>
      </c>
      <c r="L36" s="2">
        <f>SUM(OSRRefD21_1x_8)</f>
        <v>76079.680000000008</v>
      </c>
      <c r="M36" s="2">
        <f>SUM(OSRRefD21_1x_9)</f>
        <v>77426.409999999989</v>
      </c>
      <c r="N36" s="2">
        <f>SUM(OSRRefE21_1x_0)</f>
        <v>51428.379384615379</v>
      </c>
      <c r="O36" s="2">
        <f>SUM(OSRRefE21_1x_1)</f>
        <v>31759.49538461538</v>
      </c>
      <c r="Q36" s="3">
        <f>SUM(OSRRefD20_1x)+IFERROR(SUM(OSRRefE20_1x),0)</f>
        <v>710822.46476923069</v>
      </c>
    </row>
    <row r="37" spans="1:17" s="42" customFormat="1" ht="15" hidden="1" customHeight="1" outlineLevel="1" x14ac:dyDescent="0.3">
      <c r="A37" s="34"/>
      <c r="B37" s="11" t="str">
        <f>CONCATENATE("          ","6001"," - ","ADMINISTRATIVE SALARIES")</f>
        <v xml:space="preserve">          6001 - ADMINISTRATIVE SALARIES</v>
      </c>
      <c r="C37" s="15"/>
      <c r="D37" s="3"/>
      <c r="E37" s="3"/>
      <c r="F37" s="3"/>
      <c r="G37" s="3"/>
      <c r="H37" s="3"/>
      <c r="I37" s="3"/>
      <c r="J37" s="3"/>
      <c r="K37" s="3"/>
      <c r="L37" s="3"/>
      <c r="M37" s="3"/>
      <c r="N37" s="3">
        <v>0</v>
      </c>
      <c r="O37" s="3">
        <v>0</v>
      </c>
      <c r="P37" s="10"/>
      <c r="Q37" s="3">
        <f>SUM(OSRRefD21_1_0x)+IFERROR(SUM(OSRRefE21_1_0x),0)</f>
        <v>0</v>
      </c>
    </row>
    <row r="38" spans="1:17" s="42" customFormat="1" ht="15" hidden="1" customHeight="1" outlineLevel="1" x14ac:dyDescent="0.3">
      <c r="A38" s="34"/>
      <c r="B38" s="11" t="str">
        <f>CONCATENATE("          ","6002"," - ","STAFF SALARIES")</f>
        <v xml:space="preserve">          6002 - STAFF SALARIES</v>
      </c>
      <c r="C38" s="15"/>
      <c r="D38" s="3">
        <v>5600</v>
      </c>
      <c r="E38" s="3">
        <v>4819.3900000000003</v>
      </c>
      <c r="F38" s="3">
        <v>8136.36</v>
      </c>
      <c r="G38" s="3">
        <v>6374.71</v>
      </c>
      <c r="H38" s="3">
        <v>5230.78</v>
      </c>
      <c r="I38" s="3">
        <v>4707.7</v>
      </c>
      <c r="J38" s="3">
        <v>13893.14</v>
      </c>
      <c r="K38" s="3">
        <v>14672.94</v>
      </c>
      <c r="L38" s="3">
        <v>17273.900000000001</v>
      </c>
      <c r="M38" s="3">
        <v>16717.689999999999</v>
      </c>
      <c r="N38" s="3">
        <v>4468.6153846153802</v>
      </c>
      <c r="O38" s="3">
        <v>4468.6153846153802</v>
      </c>
      <c r="P38" s="10"/>
      <c r="Q38" s="3">
        <f>SUM(OSRRefD21_1_1x)+IFERROR(SUM(OSRRefE21_1_1x),0)</f>
        <v>106363.84076923077</v>
      </c>
    </row>
    <row r="39" spans="1:17" s="42" customFormat="1" ht="15" hidden="1" customHeight="1" outlineLevel="1" x14ac:dyDescent="0.3">
      <c r="A39" s="34"/>
      <c r="B39" s="11" t="str">
        <f>CONCATENATE("          ","6003"," - ","STAFF HOURLY-9 MONTH")</f>
        <v xml:space="preserve">          6003 - STAFF HOURLY-9 MONTH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/>
      <c r="N39" s="3">
        <v>0</v>
      </c>
      <c r="O39" s="3">
        <v>0</v>
      </c>
      <c r="P39" s="10"/>
      <c r="Q39" s="3">
        <f>SUM(OSRRefD21_1_2x)+IFERROR(SUM(OSRRefE21_1_2x),0)</f>
        <v>0</v>
      </c>
    </row>
    <row r="40" spans="1:17" s="42" customFormat="1" ht="15" hidden="1" customHeight="1" outlineLevel="1" x14ac:dyDescent="0.3">
      <c r="A40" s="34"/>
      <c r="B40" s="11" t="str">
        <f>CONCATENATE("          ","6004"," - ","STAFF HOURLY")</f>
        <v xml:space="preserve">          6004 - STAFF HOURLY</v>
      </c>
      <c r="C40" s="15"/>
      <c r="D40" s="3">
        <v>11837.17</v>
      </c>
      <c r="E40" s="3">
        <v>15407.3</v>
      </c>
      <c r="F40" s="3">
        <v>35436.99</v>
      </c>
      <c r="G40" s="3">
        <v>45034.81</v>
      </c>
      <c r="H40" s="3">
        <v>26705.200000000001</v>
      </c>
      <c r="I40" s="3">
        <v>23297.05</v>
      </c>
      <c r="J40" s="3">
        <v>10683.29</v>
      </c>
      <c r="K40" s="3">
        <v>29172.51</v>
      </c>
      <c r="L40" s="3">
        <v>19321.88</v>
      </c>
      <c r="M40" s="3">
        <v>31964.34</v>
      </c>
      <c r="N40" s="3">
        <v>27290.880000000001</v>
      </c>
      <c r="O40" s="3">
        <v>27290.880000000001</v>
      </c>
      <c r="P40" s="10"/>
      <c r="Q40" s="3">
        <f>SUM(OSRRefD21_1_3x)+IFERROR(SUM(OSRRefE21_1_3x),0)</f>
        <v>303442.3</v>
      </c>
    </row>
    <row r="41" spans="1:17" s="42" customFormat="1" ht="15" hidden="1" customHeight="1" outlineLevel="1" x14ac:dyDescent="0.3">
      <c r="A41" s="34"/>
      <c r="B41" s="11" t="str">
        <f>CONCATENATE("          ","6005"," - ","TEMPORARY WAGES-HOURLY")</f>
        <v xml:space="preserve">          6005 - TEMPORARY WAGES-HOURLY</v>
      </c>
      <c r="C41" s="15"/>
      <c r="D41" s="3"/>
      <c r="E41" s="3">
        <v>1407.68</v>
      </c>
      <c r="F41" s="3">
        <v>10505.25</v>
      </c>
      <c r="G41" s="3">
        <v>38422.629999999997</v>
      </c>
      <c r="H41" s="3">
        <v>6253.65</v>
      </c>
      <c r="I41" s="3">
        <v>14233.56</v>
      </c>
      <c r="J41" s="3">
        <v>1347.78</v>
      </c>
      <c r="K41" s="3">
        <v>9174.07</v>
      </c>
      <c r="L41" s="3">
        <v>6150.69</v>
      </c>
      <c r="M41" s="3">
        <v>7872.89</v>
      </c>
      <c r="N41" s="3">
        <v>3104</v>
      </c>
      <c r="O41" s="3">
        <v>0</v>
      </c>
      <c r="P41" s="10"/>
      <c r="Q41" s="3">
        <f>SUM(OSRRefD21_1_4x)+IFERROR(SUM(OSRRefE21_1_4x),0)</f>
        <v>98472.2</v>
      </c>
    </row>
    <row r="42" spans="1:17" s="42" customFormat="1" ht="15" hidden="1" customHeight="1" outlineLevel="1" x14ac:dyDescent="0.3">
      <c r="A42" s="34"/>
      <c r="B42" s="11" t="str">
        <f>CONCATENATE("          ","6006"," - ","TEMPORARY PART TIME")</f>
        <v xml:space="preserve">          6006 - TEMPORARY PART TIME</v>
      </c>
      <c r="C42" s="15"/>
      <c r="D42" s="3"/>
      <c r="E42" s="3"/>
      <c r="F42" s="3"/>
      <c r="G42" s="3"/>
      <c r="H42" s="3"/>
      <c r="I42" s="3"/>
      <c r="J42" s="3"/>
      <c r="K42" s="3"/>
      <c r="L42" s="3"/>
      <c r="M42" s="3"/>
      <c r="N42" s="3">
        <v>0</v>
      </c>
      <c r="O42" s="3">
        <v>0</v>
      </c>
      <c r="P42" s="10"/>
      <c r="Q42" s="3">
        <f>SUM(OSRRefD21_1_5x)+IFERROR(SUM(OSRRefE21_1_5x),0)</f>
        <v>0</v>
      </c>
    </row>
    <row r="43" spans="1:17" s="42" customFormat="1" ht="15" hidden="1" customHeight="1" outlineLevel="1" x14ac:dyDescent="0.3">
      <c r="A43" s="34"/>
      <c r="B43" s="11" t="str">
        <f>CONCATENATE("          ","6007"," - ","STUDENT HOURLY")</f>
        <v xml:space="preserve">          6007 - STUDENT HOURLY</v>
      </c>
      <c r="C43" s="15"/>
      <c r="D43" s="3">
        <v>2080</v>
      </c>
      <c r="E43" s="3">
        <v>11776.86</v>
      </c>
      <c r="F43" s="3">
        <v>13245.38</v>
      </c>
      <c r="G43" s="3">
        <v>17484.52</v>
      </c>
      <c r="H43" s="3">
        <v>18636.72</v>
      </c>
      <c r="I43" s="3">
        <v>15150.97</v>
      </c>
      <c r="J43" s="3">
        <v>13547.91</v>
      </c>
      <c r="K43" s="3">
        <v>9849.0300000000007</v>
      </c>
      <c r="L43" s="3">
        <v>28825.11</v>
      </c>
      <c r="M43" s="3">
        <v>9605.2900000000009</v>
      </c>
      <c r="N43" s="3">
        <v>0</v>
      </c>
      <c r="O43" s="3">
        <v>0</v>
      </c>
      <c r="P43" s="10"/>
      <c r="Q43" s="3">
        <f>SUM(OSRRefD21_1_6x)+IFERROR(SUM(OSRRefE21_1_6x),0)</f>
        <v>140201.79</v>
      </c>
    </row>
    <row r="44" spans="1:17" s="42" customFormat="1" ht="15" hidden="1" customHeight="1" outlineLevel="1" x14ac:dyDescent="0.3">
      <c r="A44" s="34"/>
      <c r="B44" s="11" t="str">
        <f>CONCATENATE("          ","6008"," - ","STUDENT HOURLY-FICA EXEMPT")</f>
        <v xml:space="preserve">          6008 - STUDENT HOURLY-FICA EXEMPT</v>
      </c>
      <c r="C44" s="15"/>
      <c r="D44" s="3"/>
      <c r="E44" s="3"/>
      <c r="F44" s="3">
        <v>1057.98</v>
      </c>
      <c r="G44" s="3">
        <v>4812.22</v>
      </c>
      <c r="H44" s="3">
        <v>8144.99</v>
      </c>
      <c r="I44" s="3">
        <v>8034.81</v>
      </c>
      <c r="J44" s="3">
        <v>1299.75</v>
      </c>
      <c r="K44" s="3">
        <v>6653.4</v>
      </c>
      <c r="L44" s="3">
        <v>4508.1000000000004</v>
      </c>
      <c r="M44" s="3">
        <v>11266.2</v>
      </c>
      <c r="N44" s="3">
        <v>16564.883999999998</v>
      </c>
      <c r="O44" s="3">
        <v>0</v>
      </c>
      <c r="P44" s="10"/>
      <c r="Q44" s="3">
        <f>SUM(OSRRefD21_1_7x)+IFERROR(SUM(OSRRefE21_1_7x),0)</f>
        <v>62342.333999999995</v>
      </c>
    </row>
    <row r="45" spans="1:17" s="42" customFormat="1" ht="15" hidden="1" customHeight="1" outlineLevel="1" x14ac:dyDescent="0.3">
      <c r="A45" s="34"/>
      <c r="B45" s="11" t="str">
        <f>CONCATENATE("          ","6009"," - ","TEMPORARY-SEASONAL")</f>
        <v xml:space="preserve">          6009 - TEMPORARY-SEASONAL</v>
      </c>
      <c r="C45" s="15"/>
      <c r="D45" s="3"/>
      <c r="E45" s="3"/>
      <c r="F45" s="3"/>
      <c r="G45" s="3"/>
      <c r="H45" s="3"/>
      <c r="I45" s="3"/>
      <c r="J45" s="3"/>
      <c r="K45" s="3"/>
      <c r="L45" s="3"/>
      <c r="M45" s="3"/>
      <c r="N45" s="3">
        <v>0</v>
      </c>
      <c r="O45" s="3">
        <v>0</v>
      </c>
      <c r="P45" s="10"/>
      <c r="Q45" s="3">
        <f>SUM(OSRRefD21_1_8x)+IFERROR(SUM(OSRRefE21_1_8x),0)</f>
        <v>0</v>
      </c>
    </row>
    <row r="46" spans="1:17" s="42" customFormat="1" ht="15" hidden="1" customHeight="1" outlineLevel="1" x14ac:dyDescent="0.3">
      <c r="A46" s="34"/>
      <c r="B46" s="11" t="str">
        <f>CONCATENATE("          ","6010"," - ","GRATUITY")</f>
        <v xml:space="preserve">          6010 - GRATUITY</v>
      </c>
      <c r="C46" s="15"/>
      <c r="D46" s="3"/>
      <c r="E46" s="3"/>
      <c r="F46" s="3"/>
      <c r="G46" s="3"/>
      <c r="H46" s="3"/>
      <c r="I46" s="3"/>
      <c r="J46" s="3"/>
      <c r="K46" s="3"/>
      <c r="L46" s="3"/>
      <c r="M46" s="3"/>
      <c r="N46" s="3">
        <v>0</v>
      </c>
      <c r="O46" s="3">
        <v>0</v>
      </c>
      <c r="P46" s="10"/>
      <c r="Q46" s="3">
        <f>SUM(OSRRefD21_1_9x)+IFERROR(SUM(OSRRefE21_1_9x),0)</f>
        <v>0</v>
      </c>
    </row>
    <row r="47" spans="1:17" s="42" customFormat="1" ht="15" customHeight="1" collapsed="1" x14ac:dyDescent="0.3">
      <c r="A47" s="34"/>
      <c r="B47" s="15" t="str">
        <f>CONCATENATE("     ","Advertising/Promo                                 ")</f>
        <v xml:space="preserve">     Advertising/Promo                                 </v>
      </c>
      <c r="C47" s="15"/>
      <c r="D47" s="2">
        <f>SUM(OSRRefD21_2x_0)</f>
        <v>40.32</v>
      </c>
      <c r="E47" s="2">
        <f>SUM(OSRRefD21_2x_1)</f>
        <v>722.41</v>
      </c>
      <c r="F47" s="2">
        <f>SUM(OSRRefD21_2x_2)</f>
        <v>92.54</v>
      </c>
      <c r="G47" s="2">
        <f>SUM(OSRRefD21_2x_3)</f>
        <v>0</v>
      </c>
      <c r="H47" s="2">
        <f>SUM(OSRRefD21_2x_4)</f>
        <v>0</v>
      </c>
      <c r="I47" s="2">
        <f>SUM(OSRRefD21_2x_5)</f>
        <v>68.040000000000006</v>
      </c>
      <c r="J47" s="2">
        <f>SUM(OSRRefD21_2x_6)</f>
        <v>130.44</v>
      </c>
      <c r="K47" s="2">
        <f>SUM(OSRRefD21_2x_7)</f>
        <v>0</v>
      </c>
      <c r="L47" s="2">
        <f>SUM(OSRRefD21_2x_8)</f>
        <v>4.41</v>
      </c>
      <c r="M47" s="2">
        <f>SUM(OSRRefD21_2x_9)</f>
        <v>194.84</v>
      </c>
      <c r="N47" s="2">
        <f>SUM(OSRRefE21_2x_0)</f>
        <v>350</v>
      </c>
      <c r="O47" s="2">
        <f>SUM(OSRRefE21_2x_1)</f>
        <v>0</v>
      </c>
      <c r="Q47" s="3">
        <f>SUM(OSRRefD20_2x)+IFERROR(SUM(OSRRefE20_2x),0)</f>
        <v>1603</v>
      </c>
    </row>
    <row r="48" spans="1:17" s="42" customFormat="1" ht="15" hidden="1" customHeight="1" outlineLevel="1" x14ac:dyDescent="0.3">
      <c r="A48" s="34"/>
      <c r="B48" s="11" t="str">
        <f>CONCATENATE("          ","6362"," - ","ADVERTISING EXPENSE")</f>
        <v xml:space="preserve">          6362 - ADVERTISING EXPENSE</v>
      </c>
      <c r="C48" s="15"/>
      <c r="D48" s="3">
        <v>40.32</v>
      </c>
      <c r="E48" s="3">
        <v>722.41</v>
      </c>
      <c r="F48" s="3">
        <v>92.54</v>
      </c>
      <c r="G48" s="3"/>
      <c r="H48" s="3"/>
      <c r="I48" s="3">
        <v>68.040000000000006</v>
      </c>
      <c r="J48" s="3">
        <v>130.44</v>
      </c>
      <c r="K48" s="3"/>
      <c r="L48" s="3">
        <v>4.41</v>
      </c>
      <c r="M48" s="3">
        <v>194.84</v>
      </c>
      <c r="N48" s="3">
        <v>350</v>
      </c>
      <c r="O48" s="3"/>
      <c r="P48" s="10"/>
      <c r="Q48" s="3">
        <f>SUM(OSRRefD21_2_0x)+IFERROR(SUM(OSRRefE21_2_0x),0)</f>
        <v>1603</v>
      </c>
    </row>
    <row r="49" spans="1:17" s="42" customFormat="1" ht="15" customHeight="1" collapsed="1" x14ac:dyDescent="0.3">
      <c r="A49" s="34"/>
      <c r="B49" s="15" t="str">
        <f>CONCATENATE("     ","Bad Debts/Over/Short                              ")</f>
        <v xml:space="preserve">     Bad Debts/Over/Short                              </v>
      </c>
      <c r="C49" s="15"/>
      <c r="D49" s="2">
        <f>SUM(OSRRefD21_3x_0)</f>
        <v>0</v>
      </c>
      <c r="E49" s="2">
        <f>SUM(OSRRefD21_3x_1)</f>
        <v>0</v>
      </c>
      <c r="F49" s="2">
        <f>SUM(OSRRefD21_3x_2)</f>
        <v>0</v>
      </c>
      <c r="G49" s="2">
        <f>SUM(OSRRefD21_3x_3)</f>
        <v>0</v>
      </c>
      <c r="H49" s="2">
        <f>SUM(OSRRefD21_3x_4)</f>
        <v>0</v>
      </c>
      <c r="I49" s="2">
        <f>SUM(OSRRefD21_3x_5)</f>
        <v>0</v>
      </c>
      <c r="J49" s="2">
        <f>SUM(OSRRefD21_3x_6)</f>
        <v>8</v>
      </c>
      <c r="K49" s="2">
        <f>SUM(OSRRefD21_3x_7)</f>
        <v>0</v>
      </c>
      <c r="L49" s="2">
        <f>SUM(OSRRefD21_3x_8)</f>
        <v>0</v>
      </c>
      <c r="M49" s="2">
        <f>SUM(OSRRefD21_3x_9)</f>
        <v>0</v>
      </c>
      <c r="N49" s="2">
        <f>SUM(OSRRefE21_3x_0)</f>
        <v>10</v>
      </c>
      <c r="O49" s="2">
        <f>SUM(OSRRefE21_3x_1)</f>
        <v>0</v>
      </c>
      <c r="Q49" s="3">
        <f>SUM(OSRRefD20_3x)+IFERROR(SUM(OSRRefE20_3x),0)</f>
        <v>18</v>
      </c>
    </row>
    <row r="50" spans="1:17" s="42" customFormat="1" ht="15" hidden="1" customHeight="1" outlineLevel="1" x14ac:dyDescent="0.3">
      <c r="A50" s="34"/>
      <c r="B50" s="11" t="str">
        <f>CONCATENATE("          ","6272"," - ","CASH (OVER/SHORT)")</f>
        <v xml:space="preserve">          6272 - CASH (OVER/SHORT)</v>
      </c>
      <c r="C50" s="15"/>
      <c r="D50" s="3"/>
      <c r="E50" s="3"/>
      <c r="F50" s="3"/>
      <c r="G50" s="3"/>
      <c r="H50" s="3"/>
      <c r="I50" s="3"/>
      <c r="J50" s="3">
        <v>8</v>
      </c>
      <c r="K50" s="3"/>
      <c r="L50" s="3"/>
      <c r="M50" s="3"/>
      <c r="N50" s="3">
        <v>10</v>
      </c>
      <c r="O50" s="3"/>
      <c r="P50" s="10"/>
      <c r="Q50" s="3">
        <f>SUM(OSRRefD21_3_0x)+IFERROR(SUM(OSRRefE21_3_0x),0)</f>
        <v>18</v>
      </c>
    </row>
    <row r="51" spans="1:17" s="42" customFormat="1" ht="15" customHeight="1" collapsed="1" x14ac:dyDescent="0.3">
      <c r="A51" s="34"/>
      <c r="B51" s="15" t="str">
        <f>CONCATENATE("     ","Bank/card Fees                                    ")</f>
        <v xml:space="preserve">     Bank/card Fees                                    </v>
      </c>
      <c r="C51" s="15"/>
      <c r="D51" s="2">
        <f>SUM(OSRRefD21_4x_0)</f>
        <v>0</v>
      </c>
      <c r="E51" s="2">
        <f>SUM(OSRRefD21_4x_1)</f>
        <v>40.56</v>
      </c>
      <c r="F51" s="2">
        <f>SUM(OSRRefD21_4x_2)</f>
        <v>54.14</v>
      </c>
      <c r="G51" s="2">
        <f>SUM(OSRRefD21_4x_3)</f>
        <v>51.4</v>
      </c>
      <c r="H51" s="2">
        <f>SUM(OSRRefD21_4x_4)</f>
        <v>41.19</v>
      </c>
      <c r="I51" s="2">
        <f>SUM(OSRRefD21_4x_5)</f>
        <v>68.28</v>
      </c>
      <c r="J51" s="2">
        <f>SUM(OSRRefD21_4x_6)</f>
        <v>19.46</v>
      </c>
      <c r="K51" s="2">
        <f>SUM(OSRRefD21_4x_7)</f>
        <v>72.959999999999994</v>
      </c>
      <c r="L51" s="2">
        <f>SUM(OSRRefD21_4x_8)</f>
        <v>65.349999999999994</v>
      </c>
      <c r="M51" s="2">
        <f>SUM(OSRRefD21_4x_9)</f>
        <v>74.94</v>
      </c>
      <c r="N51" s="2">
        <f>SUM(OSRRefE21_4x_0)</f>
        <v>25</v>
      </c>
      <c r="O51" s="2">
        <f>SUM(OSRRefE21_4x_1)</f>
        <v>0</v>
      </c>
      <c r="Q51" s="3">
        <f>SUM(OSRRefD20_4x)+IFERROR(SUM(OSRRefE20_4x),0)</f>
        <v>513.28</v>
      </c>
    </row>
    <row r="52" spans="1:17" s="42" customFormat="1" ht="15" hidden="1" customHeight="1" outlineLevel="1" x14ac:dyDescent="0.3">
      <c r="A52" s="34"/>
      <c r="B52" s="11" t="str">
        <f>CONCATENATE("          ","6381"," - ","BANK/CREDIT CARD FEES")</f>
        <v xml:space="preserve">          6381 - BANK/CREDIT CARD FEES</v>
      </c>
      <c r="C52" s="15"/>
      <c r="D52" s="3"/>
      <c r="E52" s="3">
        <v>40.56</v>
      </c>
      <c r="F52" s="3">
        <v>54.14</v>
      </c>
      <c r="G52" s="3">
        <v>51.4</v>
      </c>
      <c r="H52" s="3">
        <v>41.19</v>
      </c>
      <c r="I52" s="3">
        <v>68.28</v>
      </c>
      <c r="J52" s="3">
        <v>19.46</v>
      </c>
      <c r="K52" s="3">
        <v>72.959999999999994</v>
      </c>
      <c r="L52" s="3">
        <v>65.349999999999994</v>
      </c>
      <c r="M52" s="3">
        <v>74.94</v>
      </c>
      <c r="N52" s="3">
        <v>25</v>
      </c>
      <c r="O52" s="3"/>
      <c r="P52" s="10"/>
      <c r="Q52" s="3">
        <f>SUM(OSRRefD21_4_0x)+IFERROR(SUM(OSRRefE21_4_0x),0)</f>
        <v>513.28</v>
      </c>
    </row>
    <row r="53" spans="1:17" s="42" customFormat="1" ht="15" customHeight="1" collapsed="1" x14ac:dyDescent="0.3">
      <c r="A53" s="34"/>
      <c r="B53" s="15" t="str">
        <f>CONCATENATE("     ","Depreciation                                      ")</f>
        <v xml:space="preserve">     Depreciation                                      </v>
      </c>
      <c r="C53" s="15"/>
      <c r="D53" s="2">
        <f>SUM(OSRRefD21_5x_0)</f>
        <v>213.02</v>
      </c>
      <c r="E53" s="2">
        <f>SUM(OSRRefD21_5x_1)</f>
        <v>213.02</v>
      </c>
      <c r="F53" s="2">
        <f>SUM(OSRRefD21_5x_2)</f>
        <v>213.02</v>
      </c>
      <c r="G53" s="2">
        <f>SUM(OSRRefD21_5x_3)</f>
        <v>213.02</v>
      </c>
      <c r="H53" s="2">
        <f>SUM(OSRRefD21_5x_4)</f>
        <v>213.02</v>
      </c>
      <c r="I53" s="2">
        <f>SUM(OSRRefD21_5x_5)</f>
        <v>213.02</v>
      </c>
      <c r="J53" s="2">
        <f>SUM(OSRRefD21_5x_6)</f>
        <v>213.02</v>
      </c>
      <c r="K53" s="2">
        <f>SUM(OSRRefD21_5x_7)</f>
        <v>213.02</v>
      </c>
      <c r="L53" s="2">
        <f>SUM(OSRRefD21_5x_8)</f>
        <v>213.02</v>
      </c>
      <c r="M53" s="2">
        <f>SUM(OSRRefD21_5x_9)</f>
        <v>213.02</v>
      </c>
      <c r="N53" s="2">
        <f>SUM(OSRRefE21_5x_0)</f>
        <v>213</v>
      </c>
      <c r="O53" s="2">
        <f>SUM(OSRRefE21_5x_1)</f>
        <v>213</v>
      </c>
      <c r="Q53" s="3">
        <f>SUM(OSRRefD20_5x)+IFERROR(SUM(OSRRefE20_5x),0)</f>
        <v>2556.2000000000003</v>
      </c>
    </row>
    <row r="54" spans="1:17" s="42" customFormat="1" ht="15" hidden="1" customHeight="1" outlineLevel="1" x14ac:dyDescent="0.3">
      <c r="A54" s="34"/>
      <c r="B54" s="11" t="str">
        <f>CONCATENATE("          ","6322"," - ","EQUIPMENT DEPRECIATION EXPENSE")</f>
        <v xml:space="preserve">          6322 - EQUIPMENT DEPRECIATION EXPENSE</v>
      </c>
      <c r="C54" s="15"/>
      <c r="D54" s="3">
        <v>213.02</v>
      </c>
      <c r="E54" s="3">
        <v>213.02</v>
      </c>
      <c r="F54" s="3">
        <v>213.02</v>
      </c>
      <c r="G54" s="3">
        <v>213.02</v>
      </c>
      <c r="H54" s="3">
        <v>213.02</v>
      </c>
      <c r="I54" s="3">
        <v>213.02</v>
      </c>
      <c r="J54" s="3">
        <v>213.02</v>
      </c>
      <c r="K54" s="3">
        <v>213.02</v>
      </c>
      <c r="L54" s="3">
        <v>213.02</v>
      </c>
      <c r="M54" s="3">
        <v>213.02</v>
      </c>
      <c r="N54" s="3">
        <v>213</v>
      </c>
      <c r="O54" s="3">
        <v>213</v>
      </c>
      <c r="P54" s="10"/>
      <c r="Q54" s="3">
        <f>SUM(OSRRefD21_5_0x)+IFERROR(SUM(OSRRefE21_5_0x),0)</f>
        <v>2556.2000000000003</v>
      </c>
    </row>
    <row r="55" spans="1:17" s="42" customFormat="1" ht="15" customHeight="1" collapsed="1" x14ac:dyDescent="0.3">
      <c r="A55" s="34"/>
      <c r="B55" s="15" t="str">
        <f>CONCATENATE("     ","Donations                                         ")</f>
        <v xml:space="preserve">     Donations                                         </v>
      </c>
      <c r="C55" s="15"/>
      <c r="D55" s="2">
        <f>SUM(OSRRefD21_6x_0)</f>
        <v>0</v>
      </c>
      <c r="E55" s="2">
        <f>SUM(OSRRefD21_6x_1)</f>
        <v>662.3</v>
      </c>
      <c r="F55" s="2">
        <f>SUM(OSRRefD21_6x_2)</f>
        <v>1854.43</v>
      </c>
      <c r="G55" s="2">
        <f>SUM(OSRRefD21_6x_3)</f>
        <v>1738.52</v>
      </c>
      <c r="H55" s="2">
        <f>SUM(OSRRefD21_6x_4)</f>
        <v>1390.82</v>
      </c>
      <c r="I55" s="2">
        <f>SUM(OSRRefD21_6x_5)</f>
        <v>413.93</v>
      </c>
      <c r="J55" s="2">
        <f>SUM(OSRRefD21_6x_6)</f>
        <v>667.63</v>
      </c>
      <c r="K55" s="2">
        <f>SUM(OSRRefD21_6x_7)</f>
        <v>1437.97</v>
      </c>
      <c r="L55" s="2">
        <f>SUM(OSRRefD21_6x_8)</f>
        <v>1437.97</v>
      </c>
      <c r="M55" s="2">
        <f>SUM(OSRRefD21_6x_9)</f>
        <v>1797.46</v>
      </c>
      <c r="N55" s="2">
        <f>SUM(OSRRefE21_6x_0)</f>
        <v>3000</v>
      </c>
      <c r="O55" s="2">
        <f>SUM(OSRRefE21_6x_1)</f>
        <v>0</v>
      </c>
      <c r="Q55" s="3">
        <f>SUM(OSRRefD20_6x)+IFERROR(SUM(OSRRefE20_6x),0)</f>
        <v>14401.029999999999</v>
      </c>
    </row>
    <row r="56" spans="1:17" s="42" customFormat="1" ht="15" hidden="1" customHeight="1" outlineLevel="1" x14ac:dyDescent="0.3">
      <c r="A56" s="34"/>
      <c r="B56" s="11" t="str">
        <f>CONCATENATE("          ","6399"," - ","DONATION-ON CAMPUS")</f>
        <v xml:space="preserve">          6399 - DONATION-ON CAMPUS</v>
      </c>
      <c r="C56" s="15"/>
      <c r="D56" s="3"/>
      <c r="E56" s="3">
        <v>662.3</v>
      </c>
      <c r="F56" s="3">
        <v>1854.43</v>
      </c>
      <c r="G56" s="3">
        <v>1738.52</v>
      </c>
      <c r="H56" s="3">
        <v>1390.82</v>
      </c>
      <c r="I56" s="3">
        <v>413.93</v>
      </c>
      <c r="J56" s="3">
        <v>667.63</v>
      </c>
      <c r="K56" s="3">
        <v>1437.97</v>
      </c>
      <c r="L56" s="3">
        <v>1437.97</v>
      </c>
      <c r="M56" s="3">
        <v>1797.46</v>
      </c>
      <c r="N56" s="3">
        <v>3000</v>
      </c>
      <c r="O56" s="3"/>
      <c r="P56" s="10"/>
      <c r="Q56" s="3">
        <f>SUM(OSRRefD21_6_0x)+IFERROR(SUM(OSRRefE21_6_0x),0)</f>
        <v>14401.029999999999</v>
      </c>
    </row>
    <row r="57" spans="1:17" s="42" customFormat="1" ht="15" customHeight="1" collapsed="1" x14ac:dyDescent="0.3">
      <c r="A57" s="34"/>
      <c r="B57" s="15" t="str">
        <f>CONCATENATE("     ","Employees' Appreciation                           ")</f>
        <v xml:space="preserve">     Employees' Appreciation                           </v>
      </c>
      <c r="C57" s="15"/>
      <c r="D57" s="2">
        <f>SUM(OSRRefD21_7x_0)</f>
        <v>0</v>
      </c>
      <c r="E57" s="2">
        <f>SUM(OSRRefD21_7x_1)</f>
        <v>0</v>
      </c>
      <c r="F57" s="2">
        <f>SUM(OSRRefD21_7x_2)</f>
        <v>14.49</v>
      </c>
      <c r="G57" s="2">
        <f>SUM(OSRRefD21_7x_3)</f>
        <v>0</v>
      </c>
      <c r="H57" s="2">
        <f>SUM(OSRRefD21_7x_4)</f>
        <v>0</v>
      </c>
      <c r="I57" s="2">
        <f>SUM(OSRRefD21_7x_5)</f>
        <v>0</v>
      </c>
      <c r="J57" s="2">
        <f>SUM(OSRRefD21_7x_6)</f>
        <v>75.98</v>
      </c>
      <c r="K57" s="2">
        <f>SUM(OSRRefD21_7x_7)</f>
        <v>0</v>
      </c>
      <c r="L57" s="2">
        <f>SUM(OSRRefD21_7x_8)</f>
        <v>0</v>
      </c>
      <c r="M57" s="2">
        <f>SUM(OSRRefD21_7x_9)</f>
        <v>0</v>
      </c>
      <c r="N57" s="2">
        <f>SUM(OSRRefE21_7x_0)</f>
        <v>50</v>
      </c>
      <c r="O57" s="2">
        <f>SUM(OSRRefE21_7x_1)</f>
        <v>50</v>
      </c>
      <c r="Q57" s="3">
        <f>SUM(OSRRefD20_7x)+IFERROR(SUM(OSRRefE20_7x),0)</f>
        <v>190.47</v>
      </c>
    </row>
    <row r="58" spans="1:17" s="42" customFormat="1" ht="15" hidden="1" customHeight="1" outlineLevel="1" x14ac:dyDescent="0.3">
      <c r="A58" s="34"/>
      <c r="B58" s="11" t="str">
        <f>CONCATENATE("          ","6277"," - ","EMPLOYEE APPRECIATION")</f>
        <v xml:space="preserve">          6277 - EMPLOYEE APPRECIATION</v>
      </c>
      <c r="C58" s="15"/>
      <c r="D58" s="3"/>
      <c r="E58" s="3"/>
      <c r="F58" s="3">
        <v>14.49</v>
      </c>
      <c r="G58" s="3"/>
      <c r="H58" s="3"/>
      <c r="I58" s="3"/>
      <c r="J58" s="3">
        <v>75.98</v>
      </c>
      <c r="K58" s="3"/>
      <c r="L58" s="3"/>
      <c r="M58" s="3"/>
      <c r="N58" s="3">
        <v>50</v>
      </c>
      <c r="O58" s="3">
        <v>50</v>
      </c>
      <c r="P58" s="10"/>
      <c r="Q58" s="3">
        <f>SUM(OSRRefD21_7_0x)+IFERROR(SUM(OSRRefE21_7_0x),0)</f>
        <v>190.47</v>
      </c>
    </row>
    <row r="59" spans="1:17" s="42" customFormat="1" ht="15" customHeight="1" collapsed="1" x14ac:dyDescent="0.3">
      <c r="A59" s="34"/>
      <c r="B59" s="15" t="str">
        <f>CONCATENATE("     ","General                                           ")</f>
        <v xml:space="preserve">     General                                           </v>
      </c>
      <c r="C59" s="15"/>
      <c r="D59" s="2">
        <f>SUM(OSRRefD21_8x_0)</f>
        <v>0</v>
      </c>
      <c r="E59" s="2">
        <f>SUM(OSRRefD21_8x_1)</f>
        <v>1469.55</v>
      </c>
      <c r="F59" s="2">
        <f>SUM(OSRRefD21_8x_2)</f>
        <v>0</v>
      </c>
      <c r="G59" s="2">
        <f>SUM(OSRRefD21_8x_3)</f>
        <v>297.61</v>
      </c>
      <c r="H59" s="2">
        <f>SUM(OSRRefD21_8x_4)</f>
        <v>0</v>
      </c>
      <c r="I59" s="2">
        <f>SUM(OSRRefD21_8x_5)</f>
        <v>0</v>
      </c>
      <c r="J59" s="2">
        <f>SUM(OSRRefD21_8x_6)</f>
        <v>0</v>
      </c>
      <c r="K59" s="2">
        <f>SUM(OSRRefD21_8x_7)</f>
        <v>77.63</v>
      </c>
      <c r="L59" s="2">
        <f>SUM(OSRRefD21_8x_8)</f>
        <v>227.19</v>
      </c>
      <c r="M59" s="2">
        <f>SUM(OSRRefD21_8x_9)</f>
        <v>0</v>
      </c>
      <c r="N59" s="2">
        <f>SUM(OSRRefE21_8x_0)</f>
        <v>0</v>
      </c>
      <c r="O59" s="2">
        <f>SUM(OSRRefE21_8x_1)</f>
        <v>0</v>
      </c>
      <c r="Q59" s="3">
        <f>SUM(OSRRefD20_8x)+IFERROR(SUM(OSRRefE20_8x),0)</f>
        <v>2071.98</v>
      </c>
    </row>
    <row r="60" spans="1:17" s="42" customFormat="1" ht="15" hidden="1" customHeight="1" outlineLevel="1" x14ac:dyDescent="0.3">
      <c r="A60" s="34"/>
      <c r="B60" s="11" t="str">
        <f>CONCATENATE("          ","6279"," - ","GENERAL EXPENSE")</f>
        <v xml:space="preserve">          6279 - GENERAL EXPENSE</v>
      </c>
      <c r="C60" s="15"/>
      <c r="D60" s="3"/>
      <c r="E60" s="3">
        <v>1469.55</v>
      </c>
      <c r="F60" s="3"/>
      <c r="G60" s="3">
        <v>297.61</v>
      </c>
      <c r="H60" s="3"/>
      <c r="I60" s="3"/>
      <c r="J60" s="3"/>
      <c r="K60" s="3">
        <v>77.63</v>
      </c>
      <c r="L60" s="3">
        <v>227.19</v>
      </c>
      <c r="M60" s="3"/>
      <c r="N60" s="3"/>
      <c r="O60" s="3"/>
      <c r="P60" s="10"/>
      <c r="Q60" s="3">
        <f>SUM(OSRRefD21_8_0x)+IFERROR(SUM(OSRRefE21_8_0x),0)</f>
        <v>2071.98</v>
      </c>
    </row>
    <row r="61" spans="1:17" s="42" customFormat="1" ht="15" customHeight="1" collapsed="1" x14ac:dyDescent="0.3">
      <c r="A61" s="34"/>
      <c r="B61" s="15" t="str">
        <f>CONCATENATE("     ","Insurance                                         ")</f>
        <v xml:space="preserve">     Insurance                                         </v>
      </c>
      <c r="C61" s="15"/>
      <c r="D61" s="2">
        <f>SUM(OSRRefD21_9x_0)</f>
        <v>5.22</v>
      </c>
      <c r="E61" s="2">
        <f>SUM(OSRRefD21_9x_1)</f>
        <v>5.21</v>
      </c>
      <c r="F61" s="2">
        <f>SUM(OSRRefD21_9x_2)</f>
        <v>5.21</v>
      </c>
      <c r="G61" s="2">
        <f>SUM(OSRRefD21_9x_3)</f>
        <v>5.21</v>
      </c>
      <c r="H61" s="2">
        <f>SUM(OSRRefD21_9x_4)</f>
        <v>5.21</v>
      </c>
      <c r="I61" s="2">
        <f>SUM(OSRRefD21_9x_5)</f>
        <v>5.21</v>
      </c>
      <c r="J61" s="2">
        <f>SUM(OSRRefD21_9x_6)</f>
        <v>5.21</v>
      </c>
      <c r="K61" s="2">
        <f>SUM(OSRRefD21_9x_7)</f>
        <v>5.21</v>
      </c>
      <c r="L61" s="2">
        <f>SUM(OSRRefD21_9x_8)</f>
        <v>5.21</v>
      </c>
      <c r="M61" s="2">
        <f>SUM(OSRRefD21_9x_9)</f>
        <v>5.21</v>
      </c>
      <c r="N61" s="2">
        <f>SUM(OSRRefE21_9x_0)</f>
        <v>10</v>
      </c>
      <c r="O61" s="2">
        <f>SUM(OSRRefE21_9x_1)</f>
        <v>10</v>
      </c>
      <c r="Q61" s="3">
        <f>SUM(OSRRefD20_9x)+IFERROR(SUM(OSRRefE20_9x),0)</f>
        <v>72.110000000000014</v>
      </c>
    </row>
    <row r="62" spans="1:17" s="42" customFormat="1" ht="15" hidden="1" customHeight="1" outlineLevel="1" x14ac:dyDescent="0.3">
      <c r="A62" s="34"/>
      <c r="B62" s="11" t="str">
        <f>CONCATENATE("          ","6314"," - ","LIABILITY INSURANCE")</f>
        <v xml:space="preserve">          6314 - LIABILITY INSURANCE</v>
      </c>
      <c r="C62" s="15"/>
      <c r="D62" s="3">
        <v>5.22</v>
      </c>
      <c r="E62" s="3">
        <v>5.21</v>
      </c>
      <c r="F62" s="3">
        <v>5.21</v>
      </c>
      <c r="G62" s="3">
        <v>5.21</v>
      </c>
      <c r="H62" s="3">
        <v>5.21</v>
      </c>
      <c r="I62" s="3">
        <v>5.21</v>
      </c>
      <c r="J62" s="3">
        <v>5.21</v>
      </c>
      <c r="K62" s="3">
        <v>5.21</v>
      </c>
      <c r="L62" s="3">
        <v>5.21</v>
      </c>
      <c r="M62" s="3">
        <v>5.21</v>
      </c>
      <c r="N62" s="3">
        <v>10</v>
      </c>
      <c r="O62" s="3">
        <v>10</v>
      </c>
      <c r="P62" s="10"/>
      <c r="Q62" s="3">
        <f>SUM(OSRRefD21_9_0x)+IFERROR(SUM(OSRRefE21_9_0x),0)</f>
        <v>72.110000000000014</v>
      </c>
    </row>
    <row r="63" spans="1:17" s="42" customFormat="1" ht="15" customHeight="1" collapsed="1" x14ac:dyDescent="0.3">
      <c r="A63" s="34"/>
      <c r="B63" s="15" t="str">
        <f>CONCATENATE("     ","R/H Commissions                                   ")</f>
        <v xml:space="preserve">     R/H Commissions                                   </v>
      </c>
      <c r="C63" s="15"/>
      <c r="D63" s="2">
        <f>SUM(OSRRefD21_10x_0)</f>
        <v>0</v>
      </c>
      <c r="E63" s="2">
        <f>SUM(OSRRefD21_10x_1)</f>
        <v>3298.44</v>
      </c>
      <c r="F63" s="2">
        <f>SUM(OSRRefD21_10x_2)</f>
        <v>9259.68</v>
      </c>
      <c r="G63" s="2">
        <f>SUM(OSRRefD21_10x_3)</f>
        <v>22985.68</v>
      </c>
      <c r="H63" s="2">
        <f>SUM(OSRRefD21_10x_4)</f>
        <v>18379.11</v>
      </c>
      <c r="I63" s="2">
        <f>SUM(OSRRefD21_10x_5)</f>
        <v>13805.57</v>
      </c>
      <c r="J63" s="2">
        <f>SUM(OSRRefD21_10x_6)</f>
        <v>9236.7999999999993</v>
      </c>
      <c r="K63" s="2">
        <f>SUM(OSRRefD21_10x_7)</f>
        <v>20286.37</v>
      </c>
      <c r="L63" s="2">
        <f>SUM(OSRRefD21_10x_8)</f>
        <v>20664.740000000002</v>
      </c>
      <c r="M63" s="2">
        <f>SUM(OSRRefD21_10x_9)</f>
        <v>25401.53</v>
      </c>
      <c r="N63" s="2">
        <f>SUM(OSRRefE21_10x_0)</f>
        <v>5184</v>
      </c>
      <c r="O63" s="2">
        <f>SUM(OSRRefE21_10x_1)</f>
        <v>0</v>
      </c>
      <c r="Q63" s="3">
        <f>SUM(OSRRefD20_10x)+IFERROR(SUM(OSRRefE20_10x),0)</f>
        <v>148501.92000000001</v>
      </c>
    </row>
    <row r="64" spans="1:17" s="42" customFormat="1" ht="15" hidden="1" customHeight="1" outlineLevel="1" x14ac:dyDescent="0.3">
      <c r="A64" s="34"/>
      <c r="B64" s="11" t="str">
        <f>CONCATENATE("          ","6387"," - ","COMMISSION DUE HOUSING")</f>
        <v xml:space="preserve">          6387 - COMMISSION DUE HOUSING</v>
      </c>
      <c r="C64" s="15"/>
      <c r="D64" s="3"/>
      <c r="E64" s="3">
        <v>3298.44</v>
      </c>
      <c r="F64" s="3">
        <v>9259.68</v>
      </c>
      <c r="G64" s="3">
        <v>22985.68</v>
      </c>
      <c r="H64" s="3">
        <v>18379.11</v>
      </c>
      <c r="I64" s="3">
        <v>13805.57</v>
      </c>
      <c r="J64" s="3">
        <v>9236.7999999999993</v>
      </c>
      <c r="K64" s="3">
        <v>20286.37</v>
      </c>
      <c r="L64" s="3">
        <v>20664.740000000002</v>
      </c>
      <c r="M64" s="3">
        <v>25401.53</v>
      </c>
      <c r="N64" s="3">
        <v>5184</v>
      </c>
      <c r="O64" s="3"/>
      <c r="P64" s="10"/>
      <c r="Q64" s="3">
        <f>SUM(OSRRefD21_10_0x)+IFERROR(SUM(OSRRefE21_10_0x),0)</f>
        <v>148501.92000000001</v>
      </c>
    </row>
    <row r="65" spans="1:17" s="42" customFormat="1" ht="15" customHeight="1" collapsed="1" x14ac:dyDescent="0.3">
      <c r="A65" s="34"/>
      <c r="B65" s="15" t="str">
        <f>CONCATENATE("     ","Repair and Maintenance                            ")</f>
        <v xml:space="preserve">     Repair and Maintenance                            </v>
      </c>
      <c r="C65" s="15"/>
      <c r="D65" s="2">
        <f>SUM(OSRRefD21_11x_0)</f>
        <v>0</v>
      </c>
      <c r="E65" s="2">
        <f>SUM(OSRRefD21_11x_1)</f>
        <v>0</v>
      </c>
      <c r="F65" s="2">
        <f>SUM(OSRRefD21_11x_2)</f>
        <v>71.86</v>
      </c>
      <c r="G65" s="2">
        <f>SUM(OSRRefD21_11x_3)</f>
        <v>690</v>
      </c>
      <c r="H65" s="2">
        <f>SUM(OSRRefD21_11x_4)</f>
        <v>0</v>
      </c>
      <c r="I65" s="2">
        <f>SUM(OSRRefD21_11x_5)</f>
        <v>74.900000000000006</v>
      </c>
      <c r="J65" s="2">
        <f>SUM(OSRRefD21_11x_6)</f>
        <v>0</v>
      </c>
      <c r="K65" s="2">
        <f>SUM(OSRRefD21_11x_7)</f>
        <v>299.05</v>
      </c>
      <c r="L65" s="2">
        <f>SUM(OSRRefD21_11x_8)</f>
        <v>1402.47</v>
      </c>
      <c r="M65" s="2">
        <f>SUM(OSRRefD21_11x_9)</f>
        <v>0</v>
      </c>
      <c r="N65" s="2">
        <f>SUM(OSRRefE21_11x_0)</f>
        <v>100</v>
      </c>
      <c r="O65" s="2">
        <f>SUM(OSRRefE21_11x_1)</f>
        <v>100</v>
      </c>
      <c r="Q65" s="3">
        <f>SUM(OSRRefD20_11x)+IFERROR(SUM(OSRRefE20_11x),0)</f>
        <v>2738.2799999999997</v>
      </c>
    </row>
    <row r="66" spans="1:17" s="42" customFormat="1" ht="15" hidden="1" customHeight="1" outlineLevel="1" x14ac:dyDescent="0.3">
      <c r="A66" s="34"/>
      <c r="B66" s="11" t="str">
        <f>CONCATENATE("          ","6373"," - ","MAINTENANCE CONTRACTS")</f>
        <v xml:space="preserve">          6373 - MAINTENANCE CONTRACTS</v>
      </c>
      <c r="C66" s="15"/>
      <c r="D66" s="3"/>
      <c r="E66" s="3"/>
      <c r="F66" s="3">
        <v>71.86</v>
      </c>
      <c r="G66" s="3"/>
      <c r="H66" s="3"/>
      <c r="I66" s="3">
        <v>74.900000000000006</v>
      </c>
      <c r="J66" s="3"/>
      <c r="K66" s="3"/>
      <c r="L66" s="3">
        <v>74.900000000000006</v>
      </c>
      <c r="M66" s="3"/>
      <c r="N66" s="3"/>
      <c r="O66" s="3"/>
      <c r="P66" s="10"/>
      <c r="Q66" s="3">
        <f>SUM(OSRRefD21_11_0x)+IFERROR(SUM(OSRRefE21_11_0x),0)</f>
        <v>221.66</v>
      </c>
    </row>
    <row r="67" spans="1:17" s="42" customFormat="1" ht="15" hidden="1" customHeight="1" outlineLevel="1" x14ac:dyDescent="0.3">
      <c r="A67" s="34"/>
      <c r="B67" s="11" t="str">
        <f>CONCATENATE("          ","6375"," - ","OUTSIDE REPAIRS &amp; MAINTENANCE")</f>
        <v xml:space="preserve">          6375 - OUTSIDE REPAIRS &amp; MAINTENANCE</v>
      </c>
      <c r="C67" s="15"/>
      <c r="D67" s="3"/>
      <c r="E67" s="3"/>
      <c r="F67" s="3"/>
      <c r="G67" s="3">
        <v>690</v>
      </c>
      <c r="H67" s="3"/>
      <c r="I67" s="3"/>
      <c r="J67" s="3"/>
      <c r="K67" s="3">
        <v>299.05</v>
      </c>
      <c r="L67" s="3">
        <v>1327.57</v>
      </c>
      <c r="M67" s="3"/>
      <c r="N67" s="3">
        <v>100</v>
      </c>
      <c r="O67" s="3">
        <v>100</v>
      </c>
      <c r="P67" s="10"/>
      <c r="Q67" s="3">
        <f>SUM(OSRRefD21_11_1x)+IFERROR(SUM(OSRRefE21_11_1x),0)</f>
        <v>2516.62</v>
      </c>
    </row>
    <row r="68" spans="1:17" s="42" customFormat="1" ht="15" customHeight="1" collapsed="1" x14ac:dyDescent="0.3">
      <c r="A68" s="34"/>
      <c r="B68" s="15" t="str">
        <f>CONCATENATE("     ","Services                                          ")</f>
        <v xml:space="preserve">     Services                                          </v>
      </c>
      <c r="C68" s="15"/>
      <c r="D68" s="2">
        <f>SUM(OSRRefD21_12x_0)</f>
        <v>2419.64</v>
      </c>
      <c r="E68" s="2">
        <f>SUM(OSRRefD21_12x_1)</f>
        <v>2142.9</v>
      </c>
      <c r="F68" s="2">
        <f>SUM(OSRRefD21_12x_2)</f>
        <v>1659.9</v>
      </c>
      <c r="G68" s="2">
        <f>SUM(OSRRefD21_12x_3)</f>
        <v>9903.91</v>
      </c>
      <c r="H68" s="2">
        <f>SUM(OSRRefD21_12x_4)</f>
        <v>6137.75</v>
      </c>
      <c r="I68" s="2">
        <f>SUM(OSRRefD21_12x_5)</f>
        <v>4776.87</v>
      </c>
      <c r="J68" s="2">
        <f>SUM(OSRRefD21_12x_6)</f>
        <v>4364.3100000000004</v>
      </c>
      <c r="K68" s="2">
        <f>SUM(OSRRefD21_12x_7)</f>
        <v>6274.62</v>
      </c>
      <c r="L68" s="2">
        <f>SUM(OSRRefD21_12x_8)</f>
        <v>6045.74</v>
      </c>
      <c r="M68" s="2">
        <f>SUM(OSRRefD21_12x_9)</f>
        <v>5548.13</v>
      </c>
      <c r="N68" s="2">
        <f>SUM(OSRRefE21_12x_0)</f>
        <v>7224</v>
      </c>
      <c r="O68" s="2">
        <f>SUM(OSRRefE21_12x_1)</f>
        <v>7224</v>
      </c>
      <c r="Q68" s="3">
        <f>SUM(OSRRefD20_12x)+IFERROR(SUM(OSRRefE20_12x),0)</f>
        <v>63721.77</v>
      </c>
    </row>
    <row r="69" spans="1:17" s="42" customFormat="1" ht="15" hidden="1" customHeight="1" outlineLevel="1" x14ac:dyDescent="0.3">
      <c r="A69" s="34"/>
      <c r="B69" s="11" t="str">
        <f>CONCATENATE("          ","6282"," - ","JANITORIAL/EXTERMINATOR EXPENS")</f>
        <v xml:space="preserve">          6282 - JANITORIAL/EXTERMINATOR EXPENS</v>
      </c>
      <c r="C69" s="15"/>
      <c r="D69" s="3">
        <v>669.64</v>
      </c>
      <c r="E69" s="3"/>
      <c r="F69" s="3">
        <v>1459.9</v>
      </c>
      <c r="G69" s="3">
        <v>729.95</v>
      </c>
      <c r="H69" s="3">
        <v>829.16</v>
      </c>
      <c r="I69" s="3"/>
      <c r="J69" s="3"/>
      <c r="K69" s="3">
        <v>1459.7</v>
      </c>
      <c r="L69" s="3">
        <v>1459.9</v>
      </c>
      <c r="M69" s="3"/>
      <c r="N69" s="3">
        <v>670</v>
      </c>
      <c r="O69" s="3">
        <v>670</v>
      </c>
      <c r="P69" s="10"/>
      <c r="Q69" s="3">
        <f>SUM(OSRRefD21_12_0x)+IFERROR(SUM(OSRRefE21_12_0x),0)</f>
        <v>7948.25</v>
      </c>
    </row>
    <row r="70" spans="1:17" s="42" customFormat="1" ht="15" hidden="1" customHeight="1" outlineLevel="1" x14ac:dyDescent="0.3">
      <c r="A70" s="34"/>
      <c r="B70" s="11" t="str">
        <f>CONCATENATE("          ","6284"," - ","TRASH REMOVAL EXPENSE")</f>
        <v xml:space="preserve">          6284 - TRASH REMOVAL EXPENSE</v>
      </c>
      <c r="C70" s="15"/>
      <c r="D70" s="3"/>
      <c r="E70" s="3"/>
      <c r="F70" s="3"/>
      <c r="G70" s="3"/>
      <c r="H70" s="3"/>
      <c r="I70" s="3"/>
      <c r="J70" s="3"/>
      <c r="K70" s="3"/>
      <c r="L70" s="3"/>
      <c r="M70" s="3"/>
      <c r="N70" s="3">
        <v>50</v>
      </c>
      <c r="O70" s="3">
        <v>50</v>
      </c>
      <c r="P70" s="10"/>
      <c r="Q70" s="3">
        <f>SUM(OSRRefD21_12_1x)+IFERROR(SUM(OSRRefE21_12_1x),0)</f>
        <v>100</v>
      </c>
    </row>
    <row r="71" spans="1:17" s="42" customFormat="1" ht="15" hidden="1" customHeight="1" outlineLevel="1" x14ac:dyDescent="0.3">
      <c r="A71" s="34"/>
      <c r="B71" s="11" t="str">
        <f>CONCATENATE("          ","6285"," - ","JANITORIAL SERVICES")</f>
        <v xml:space="preserve">          6285 - JANITORIAL SERVICES</v>
      </c>
      <c r="C71" s="15"/>
      <c r="D71" s="3">
        <v>1750</v>
      </c>
      <c r="E71" s="3">
        <v>2142.9</v>
      </c>
      <c r="F71" s="3">
        <v>200</v>
      </c>
      <c r="G71" s="3">
        <v>4151.8599999999997</v>
      </c>
      <c r="H71" s="3">
        <v>4151.8599999999997</v>
      </c>
      <c r="I71" s="3">
        <v>4151.8599999999997</v>
      </c>
      <c r="J71" s="3">
        <v>4364.3100000000004</v>
      </c>
      <c r="K71" s="3">
        <v>4364.3100000000004</v>
      </c>
      <c r="L71" s="3">
        <v>4585.84</v>
      </c>
      <c r="M71" s="3">
        <v>5548.13</v>
      </c>
      <c r="N71" s="3">
        <v>4904</v>
      </c>
      <c r="O71" s="3">
        <v>4904</v>
      </c>
      <c r="P71" s="10"/>
      <c r="Q71" s="3">
        <f>SUM(OSRRefD21_12_2x)+IFERROR(SUM(OSRRefE21_12_2x),0)</f>
        <v>45219.07</v>
      </c>
    </row>
    <row r="72" spans="1:17" s="42" customFormat="1" ht="15" hidden="1" customHeight="1" outlineLevel="1" x14ac:dyDescent="0.3">
      <c r="A72" s="34"/>
      <c r="B72" s="11" t="str">
        <f>CONCATENATE("          ","6286"," - ","LAUNDRY EXPENSE")</f>
        <v xml:space="preserve">          6286 - LAUNDRY EXPENSE</v>
      </c>
      <c r="C72" s="15"/>
      <c r="D72" s="3"/>
      <c r="E72" s="3"/>
      <c r="F72" s="3"/>
      <c r="G72" s="3">
        <v>5022.1000000000004</v>
      </c>
      <c r="H72" s="3">
        <v>1156.73</v>
      </c>
      <c r="I72" s="3">
        <v>625.01</v>
      </c>
      <c r="J72" s="3"/>
      <c r="K72" s="3">
        <v>450.61</v>
      </c>
      <c r="L72" s="3"/>
      <c r="M72" s="3"/>
      <c r="N72" s="3">
        <v>1600</v>
      </c>
      <c r="O72" s="3">
        <v>1600</v>
      </c>
      <c r="P72" s="10"/>
      <c r="Q72" s="3">
        <f>SUM(OSRRefD21_12_3x)+IFERROR(SUM(OSRRefE21_12_3x),0)</f>
        <v>10454.450000000001</v>
      </c>
    </row>
    <row r="73" spans="1:17" s="42" customFormat="1" ht="15" customHeight="1" collapsed="1" x14ac:dyDescent="0.3">
      <c r="A73" s="34"/>
      <c r="B73" s="15" t="str">
        <f>CONCATENATE("     ","Supplies                                          ")</f>
        <v xml:space="preserve">     Supplies                                          </v>
      </c>
      <c r="C73" s="15"/>
      <c r="D73" s="2">
        <f>SUM(OSRRefD21_13x_0)</f>
        <v>4.5</v>
      </c>
      <c r="E73" s="2">
        <f>SUM(OSRRefD21_13x_1)</f>
        <v>9644.1500000000015</v>
      </c>
      <c r="F73" s="2">
        <f>SUM(OSRRefD21_13x_2)</f>
        <v>17789.320000000003</v>
      </c>
      <c r="G73" s="2">
        <f>SUM(OSRRefD21_13x_3)</f>
        <v>22941.589999999997</v>
      </c>
      <c r="H73" s="2">
        <f>SUM(OSRRefD21_13x_4)</f>
        <v>5386.119999999999</v>
      </c>
      <c r="I73" s="2">
        <f>SUM(OSRRefD21_13x_5)</f>
        <v>4479.63</v>
      </c>
      <c r="J73" s="2">
        <f>SUM(OSRRefD21_13x_6)</f>
        <v>159.6</v>
      </c>
      <c r="K73" s="2">
        <f>SUM(OSRRefD21_13x_7)</f>
        <v>9001.59</v>
      </c>
      <c r="L73" s="2">
        <f>SUM(OSRRefD21_13x_8)</f>
        <v>4788.29</v>
      </c>
      <c r="M73" s="2">
        <f>SUM(OSRRefD21_13x_9)</f>
        <v>14615.310000000001</v>
      </c>
      <c r="N73" s="2">
        <f>SUM(OSRRefE21_13x_0)</f>
        <v>4446</v>
      </c>
      <c r="O73" s="2">
        <f>SUM(OSRRefE21_13x_1)</f>
        <v>444</v>
      </c>
      <c r="Q73" s="3">
        <f>SUM(OSRRefD20_13x)+IFERROR(SUM(OSRRefE20_13x),0)</f>
        <v>93700.099999999977</v>
      </c>
    </row>
    <row r="74" spans="1:17" s="42" customFormat="1" ht="15" hidden="1" customHeight="1" outlineLevel="1" x14ac:dyDescent="0.3">
      <c r="A74" s="34"/>
      <c r="B74" s="11" t="str">
        <f>CONCATENATE("          ","6237"," - ","JANITORIAL SUPPLIES")</f>
        <v xml:space="preserve">          6237 - JANITORIAL SUPPLIES</v>
      </c>
      <c r="C74" s="15"/>
      <c r="D74" s="3"/>
      <c r="E74" s="3">
        <v>1526.8</v>
      </c>
      <c r="F74" s="3">
        <v>3356.51</v>
      </c>
      <c r="G74" s="3">
        <v>1573.08</v>
      </c>
      <c r="H74" s="3">
        <v>749.03</v>
      </c>
      <c r="I74" s="3">
        <v>1617.46</v>
      </c>
      <c r="J74" s="3"/>
      <c r="K74" s="3">
        <v>5914.27</v>
      </c>
      <c r="L74" s="3">
        <v>3410.65</v>
      </c>
      <c r="M74" s="3">
        <v>11638.4</v>
      </c>
      <c r="N74" s="3">
        <v>2000</v>
      </c>
      <c r="O74" s="3">
        <v>0</v>
      </c>
      <c r="P74" s="10"/>
      <c r="Q74" s="3">
        <f>SUM(OSRRefD21_13_0x)+IFERROR(SUM(OSRRefE21_13_0x),0)</f>
        <v>31786.200000000004</v>
      </c>
    </row>
    <row r="75" spans="1:17" s="42" customFormat="1" ht="15" hidden="1" customHeight="1" outlineLevel="1" x14ac:dyDescent="0.3">
      <c r="A75" s="34"/>
      <c r="B75" s="11" t="str">
        <f>CONCATENATE("          ","6239"," - ","KITCHEN SUPPLIES")</f>
        <v xml:space="preserve">          6239 - KITCHEN SUPPLIES</v>
      </c>
      <c r="C75" s="15"/>
      <c r="D75" s="3"/>
      <c r="E75" s="3">
        <v>1433.83</v>
      </c>
      <c r="F75" s="3">
        <v>4469.83</v>
      </c>
      <c r="G75" s="3">
        <v>2798.69</v>
      </c>
      <c r="H75" s="3">
        <v>371.56</v>
      </c>
      <c r="I75" s="3">
        <v>22.84</v>
      </c>
      <c r="J75" s="3"/>
      <c r="K75" s="3">
        <v>923.13</v>
      </c>
      <c r="L75" s="3"/>
      <c r="M75" s="3">
        <v>1474.58</v>
      </c>
      <c r="N75" s="3"/>
      <c r="O75" s="3"/>
      <c r="P75" s="10"/>
      <c r="Q75" s="3">
        <f>SUM(OSRRefD21_13_1x)+IFERROR(SUM(OSRRefE21_13_1x),0)</f>
        <v>11494.46</v>
      </c>
    </row>
    <row r="76" spans="1:17" s="42" customFormat="1" ht="15" hidden="1" customHeight="1" outlineLevel="1" x14ac:dyDescent="0.3">
      <c r="A76" s="34"/>
      <c r="B76" s="11" t="str">
        <f>CONCATENATE("          ","6241"," - ","OFFICE EXPENSE")</f>
        <v xml:space="preserve">          6241 - OFFICE EXPENSE</v>
      </c>
      <c r="C76" s="15"/>
      <c r="D76" s="3">
        <v>4.5</v>
      </c>
      <c r="E76" s="3">
        <v>1739.75</v>
      </c>
      <c r="F76" s="3">
        <v>1123.04</v>
      </c>
      <c r="G76" s="3">
        <v>1729.89</v>
      </c>
      <c r="H76" s="3">
        <v>92.05</v>
      </c>
      <c r="I76" s="3">
        <v>84.89</v>
      </c>
      <c r="J76" s="3">
        <v>159.6</v>
      </c>
      <c r="K76" s="3">
        <v>1250.92</v>
      </c>
      <c r="L76" s="3">
        <v>137.5</v>
      </c>
      <c r="M76" s="3">
        <v>2.2000000000000002</v>
      </c>
      <c r="N76" s="3">
        <v>125</v>
      </c>
      <c r="O76" s="3">
        <v>125</v>
      </c>
      <c r="P76" s="10"/>
      <c r="Q76" s="3">
        <f>SUM(OSRRefD21_13_2x)+IFERROR(SUM(OSRRefE21_13_2x),0)</f>
        <v>6574.3400000000011</v>
      </c>
    </row>
    <row r="77" spans="1:17" s="42" customFormat="1" ht="15" hidden="1" customHeight="1" outlineLevel="1" x14ac:dyDescent="0.3">
      <c r="A77" s="34"/>
      <c r="B77" s="11" t="str">
        <f>CONCATENATE("          ","6243"," - ","PAPER SUPPLIES")</f>
        <v xml:space="preserve">          6243 - PAPER SUPPLIES</v>
      </c>
      <c r="C77" s="15"/>
      <c r="D77" s="3"/>
      <c r="E77" s="3">
        <v>4943.7700000000004</v>
      </c>
      <c r="F77" s="3">
        <v>8712.6</v>
      </c>
      <c r="G77" s="3">
        <v>14888.91</v>
      </c>
      <c r="H77" s="3">
        <v>4173.4799999999996</v>
      </c>
      <c r="I77" s="3">
        <v>2309.7600000000002</v>
      </c>
      <c r="J77" s="3"/>
      <c r="K77" s="3">
        <v>913.27</v>
      </c>
      <c r="L77" s="3">
        <v>1240.1400000000001</v>
      </c>
      <c r="M77" s="3">
        <v>1500.13</v>
      </c>
      <c r="N77" s="3">
        <v>2000</v>
      </c>
      <c r="O77" s="3"/>
      <c r="P77" s="10"/>
      <c r="Q77" s="3">
        <f>SUM(OSRRefD21_13_3x)+IFERROR(SUM(OSRRefE21_13_3x),0)</f>
        <v>40682.05999999999</v>
      </c>
    </row>
    <row r="78" spans="1:17" s="42" customFormat="1" ht="15" hidden="1" customHeight="1" outlineLevel="1" x14ac:dyDescent="0.3">
      <c r="A78" s="34"/>
      <c r="B78" s="11" t="str">
        <f>CONCATENATE("          ","6244"," - ","SAFETY SUPPLY EXPENSE")</f>
        <v xml:space="preserve">          6244 - SAFETY SUPPLY EXPENSE</v>
      </c>
      <c r="C78" s="15"/>
      <c r="D78" s="3"/>
      <c r="E78" s="3"/>
      <c r="F78" s="3"/>
      <c r="G78" s="3"/>
      <c r="H78" s="3"/>
      <c r="I78" s="3"/>
      <c r="J78" s="3"/>
      <c r="K78" s="3"/>
      <c r="L78" s="3"/>
      <c r="M78" s="3"/>
      <c r="N78" s="3">
        <v>125</v>
      </c>
      <c r="O78" s="3">
        <v>125</v>
      </c>
      <c r="P78" s="10"/>
      <c r="Q78" s="3">
        <f>SUM(OSRRefD21_13_4x)+IFERROR(SUM(OSRRefE21_13_4x),0)</f>
        <v>250</v>
      </c>
    </row>
    <row r="79" spans="1:17" s="42" customFormat="1" ht="15" hidden="1" customHeight="1" outlineLevel="1" x14ac:dyDescent="0.3">
      <c r="A79" s="34"/>
      <c r="B79" s="11" t="str">
        <f>CONCATENATE("          ","6247"," - ","STORE SUPPLIES")</f>
        <v xml:space="preserve">          6247 - STORE SUPPLIES</v>
      </c>
      <c r="C79" s="15"/>
      <c r="D79" s="3"/>
      <c r="E79" s="3"/>
      <c r="F79" s="3">
        <v>127.34</v>
      </c>
      <c r="G79" s="3">
        <v>80.599999999999994</v>
      </c>
      <c r="H79" s="3"/>
      <c r="I79" s="3">
        <v>444.68</v>
      </c>
      <c r="J79" s="3"/>
      <c r="K79" s="3"/>
      <c r="L79" s="3"/>
      <c r="M79" s="3"/>
      <c r="N79" s="3"/>
      <c r="O79" s="3"/>
      <c r="P79" s="10"/>
      <c r="Q79" s="3">
        <f>SUM(OSRRefD21_13_5x)+IFERROR(SUM(OSRRefE21_13_5x),0)</f>
        <v>652.62</v>
      </c>
    </row>
    <row r="80" spans="1:17" s="42" customFormat="1" ht="15" hidden="1" customHeight="1" outlineLevel="1" x14ac:dyDescent="0.3">
      <c r="A80" s="34"/>
      <c r="B80" s="11" t="str">
        <f>CONCATENATE("          ","6248"," - ","UNIFORMS")</f>
        <v xml:space="preserve">          6248 - UNIFORMS</v>
      </c>
      <c r="C80" s="15"/>
      <c r="D80" s="3"/>
      <c r="E80" s="3"/>
      <c r="F80" s="3"/>
      <c r="G80" s="3">
        <v>1870.42</v>
      </c>
      <c r="H80" s="3"/>
      <c r="I80" s="3"/>
      <c r="J80" s="3"/>
      <c r="K80" s="3"/>
      <c r="L80" s="3"/>
      <c r="M80" s="3"/>
      <c r="N80" s="3">
        <v>196</v>
      </c>
      <c r="O80" s="3">
        <v>194</v>
      </c>
      <c r="P80" s="10"/>
      <c r="Q80" s="3">
        <f>SUM(OSRRefD21_13_6x)+IFERROR(SUM(OSRRefE21_13_6x),0)</f>
        <v>2260.42</v>
      </c>
    </row>
    <row r="81" spans="1:17" s="42" customFormat="1" ht="15" customHeight="1" collapsed="1" x14ac:dyDescent="0.3">
      <c r="A81" s="34"/>
      <c r="B81" s="15" t="str">
        <f>CONCATENATE("     ","Telephone/Data Lines                              ")</f>
        <v xml:space="preserve">     Telephone/Data Lines                              </v>
      </c>
      <c r="C81" s="15"/>
      <c r="D81" s="2">
        <f>SUM(OSRRefD21_14x_0)</f>
        <v>60</v>
      </c>
      <c r="E81" s="2">
        <f>SUM(OSRRefD21_14x_1)</f>
        <v>75</v>
      </c>
      <c r="F81" s="2">
        <f>SUM(OSRRefD21_14x_2)</f>
        <v>237.85</v>
      </c>
      <c r="G81" s="2">
        <f>SUM(OSRRefD21_14x_3)</f>
        <v>251</v>
      </c>
      <c r="H81" s="2">
        <f>SUM(OSRRefD21_14x_4)</f>
        <v>147</v>
      </c>
      <c r="I81" s="2">
        <f>SUM(OSRRefD21_14x_5)</f>
        <v>36</v>
      </c>
      <c r="J81" s="2">
        <f>SUM(OSRRefD21_14x_6)</f>
        <v>186</v>
      </c>
      <c r="K81" s="2">
        <f>SUM(OSRRefD21_14x_7)</f>
        <v>186</v>
      </c>
      <c r="L81" s="2">
        <f>SUM(OSRRefD21_14x_8)</f>
        <v>186</v>
      </c>
      <c r="M81" s="2">
        <f>SUM(OSRRefD21_14x_9)</f>
        <v>336</v>
      </c>
      <c r="N81" s="2">
        <f>SUM(OSRRefE21_14x_0)</f>
        <v>125</v>
      </c>
      <c r="O81" s="2">
        <f>SUM(OSRRefE21_14x_1)</f>
        <v>125</v>
      </c>
      <c r="Q81" s="3">
        <f>SUM(OSRRefD20_14x)+IFERROR(SUM(OSRRefE20_14x),0)</f>
        <v>1950.85</v>
      </c>
    </row>
    <row r="82" spans="1:17" s="42" customFormat="1" ht="15" hidden="1" customHeight="1" outlineLevel="1" x14ac:dyDescent="0.3">
      <c r="A82" s="34"/>
      <c r="B82" s="11" t="str">
        <f>CONCATENATE("          ","6309"," - ","TELEPHONE")</f>
        <v xml:space="preserve">          6309 - TELEPHONE</v>
      </c>
      <c r="C82" s="15"/>
      <c r="D82" s="3">
        <v>60</v>
      </c>
      <c r="E82" s="3">
        <v>75</v>
      </c>
      <c r="F82" s="3">
        <v>237.85</v>
      </c>
      <c r="G82" s="3">
        <v>251</v>
      </c>
      <c r="H82" s="3">
        <v>147</v>
      </c>
      <c r="I82" s="3">
        <v>36</v>
      </c>
      <c r="J82" s="3">
        <v>186</v>
      </c>
      <c r="K82" s="3">
        <v>186</v>
      </c>
      <c r="L82" s="3">
        <v>186</v>
      </c>
      <c r="M82" s="3">
        <v>336</v>
      </c>
      <c r="N82" s="3">
        <v>125</v>
      </c>
      <c r="O82" s="3">
        <v>125</v>
      </c>
      <c r="P82" s="10"/>
      <c r="Q82" s="3">
        <f>SUM(OSRRefD21_14_0x)+IFERROR(SUM(OSRRefE21_14_0x),0)</f>
        <v>1950.85</v>
      </c>
    </row>
    <row r="83" spans="1:17" s="42" customFormat="1" ht="15" customHeight="1" collapsed="1" x14ac:dyDescent="0.3">
      <c r="A83" s="34"/>
      <c r="B83" s="15" t="str">
        <f>CONCATENATE("     ","Training                                          ")</f>
        <v xml:space="preserve">     Training                                          </v>
      </c>
      <c r="C83" s="15"/>
      <c r="D83" s="2">
        <f>SUM(OSRRefD21_15x_0)</f>
        <v>0</v>
      </c>
      <c r="E83" s="2">
        <f>SUM(OSRRefD21_15x_1)</f>
        <v>0</v>
      </c>
      <c r="F83" s="2">
        <f>SUM(OSRRefD21_15x_2)</f>
        <v>0</v>
      </c>
      <c r="G83" s="2">
        <f>SUM(OSRRefD21_15x_3)</f>
        <v>0</v>
      </c>
      <c r="H83" s="2">
        <f>SUM(OSRRefD21_15x_4)</f>
        <v>0</v>
      </c>
      <c r="I83" s="2">
        <f>SUM(OSRRefD21_15x_5)</f>
        <v>0</v>
      </c>
      <c r="J83" s="2">
        <f>SUM(OSRRefD21_15x_6)</f>
        <v>0</v>
      </c>
      <c r="K83" s="2">
        <f>SUM(OSRRefD21_15x_7)</f>
        <v>0</v>
      </c>
      <c r="L83" s="2">
        <f>SUM(OSRRefD21_15x_8)</f>
        <v>0</v>
      </c>
      <c r="M83" s="2">
        <f>SUM(OSRRefD21_15x_9)</f>
        <v>312</v>
      </c>
      <c r="N83" s="2">
        <f>SUM(OSRRefE21_15x_0)</f>
        <v>165</v>
      </c>
      <c r="O83" s="2">
        <f>SUM(OSRRefE21_15x_1)</f>
        <v>165</v>
      </c>
      <c r="Q83" s="3">
        <f>SUM(OSRRefD20_15x)+IFERROR(SUM(OSRRefE20_15x),0)</f>
        <v>642</v>
      </c>
    </row>
    <row r="84" spans="1:17" s="42" customFormat="1" ht="15" hidden="1" customHeight="1" outlineLevel="1" x14ac:dyDescent="0.3">
      <c r="A84" s="34"/>
      <c r="B84" s="11" t="str">
        <f>CONCATENATE("          ","6376"," - ","TRAINING")</f>
        <v xml:space="preserve">          6376 - TRAINING</v>
      </c>
      <c r="C84" s="15"/>
      <c r="D84" s="3"/>
      <c r="E84" s="3"/>
      <c r="F84" s="3"/>
      <c r="G84" s="3"/>
      <c r="H84" s="3"/>
      <c r="I84" s="3"/>
      <c r="J84" s="3"/>
      <c r="K84" s="3"/>
      <c r="L84" s="3"/>
      <c r="M84" s="3">
        <v>312</v>
      </c>
      <c r="N84" s="3">
        <v>165</v>
      </c>
      <c r="O84" s="3">
        <v>165</v>
      </c>
      <c r="P84" s="10"/>
      <c r="Q84" s="3">
        <f>SUM(OSRRefD21_15_0x)+IFERROR(SUM(OSRRefE21_15_0x),0)</f>
        <v>642</v>
      </c>
    </row>
    <row r="85" spans="1:17" s="42" customFormat="1" ht="15" customHeight="1" collapsed="1" x14ac:dyDescent="0.3">
      <c r="A85" s="34"/>
      <c r="B85" s="15" t="str">
        <f>CONCATENATE("     ","Travel                                            ")</f>
        <v xml:space="preserve">     Travel                                            </v>
      </c>
      <c r="C85" s="15"/>
      <c r="D85" s="2">
        <f>SUM(OSRRefD21_16x_0)</f>
        <v>0</v>
      </c>
      <c r="E85" s="2">
        <f>SUM(OSRRefD21_16x_1)</f>
        <v>0</v>
      </c>
      <c r="F85" s="2">
        <f>SUM(OSRRefD21_16x_2)</f>
        <v>104.02</v>
      </c>
      <c r="G85" s="2">
        <f>SUM(OSRRefD21_16x_3)</f>
        <v>0</v>
      </c>
      <c r="H85" s="2">
        <f>SUM(OSRRefD21_16x_4)</f>
        <v>0</v>
      </c>
      <c r="I85" s="2">
        <f>SUM(OSRRefD21_16x_5)</f>
        <v>0</v>
      </c>
      <c r="J85" s="2">
        <f>SUM(OSRRefD21_16x_6)</f>
        <v>0</v>
      </c>
      <c r="K85" s="2">
        <f>SUM(OSRRefD21_16x_7)</f>
        <v>0</v>
      </c>
      <c r="L85" s="2">
        <f>SUM(OSRRefD21_16x_8)</f>
        <v>135.02000000000001</v>
      </c>
      <c r="M85" s="2">
        <f>SUM(OSRRefD21_16x_9)</f>
        <v>0</v>
      </c>
      <c r="N85" s="2">
        <f>SUM(OSRRefE21_16x_0)</f>
        <v>0</v>
      </c>
      <c r="O85" s="2">
        <f>SUM(OSRRefE21_16x_1)</f>
        <v>0</v>
      </c>
      <c r="Q85" s="3">
        <f>SUM(OSRRefD20_16x)+IFERROR(SUM(OSRRefE20_16x),0)</f>
        <v>239.04000000000002</v>
      </c>
    </row>
    <row r="86" spans="1:17" s="42" customFormat="1" ht="15" hidden="1" customHeight="1" outlineLevel="1" x14ac:dyDescent="0.3">
      <c r="A86" s="34"/>
      <c r="B86" s="11" t="str">
        <f>CONCATENATE("          ","6298"," - ","VEHICLE MILEAGE")</f>
        <v xml:space="preserve">          6298 - VEHICLE MILEAGE</v>
      </c>
      <c r="C86" s="15"/>
      <c r="D86" s="3"/>
      <c r="E86" s="3"/>
      <c r="F86" s="3">
        <v>104.02</v>
      </c>
      <c r="G86" s="3"/>
      <c r="H86" s="3"/>
      <c r="I86" s="3"/>
      <c r="J86" s="3"/>
      <c r="K86" s="3"/>
      <c r="L86" s="3">
        <v>135.02000000000001</v>
      </c>
      <c r="M86" s="3"/>
      <c r="N86" s="3"/>
      <c r="O86" s="3"/>
      <c r="P86" s="10"/>
      <c r="Q86" s="3">
        <f>SUM(OSRRefD21_16_0x)+IFERROR(SUM(OSRRefE21_16_0x),0)</f>
        <v>239.04000000000002</v>
      </c>
    </row>
    <row r="87" spans="1:17" s="40" customFormat="1" ht="15" customHeight="1" x14ac:dyDescent="0.3">
      <c r="A87" s="22"/>
      <c r="B87" s="22"/>
      <c r="C87" s="2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Q87" s="2"/>
    </row>
    <row r="88" spans="1:17" s="39" customFormat="1" ht="15" customHeight="1" x14ac:dyDescent="0.3">
      <c r="A88" s="24"/>
      <c r="B88" s="17" t="s">
        <v>287</v>
      </c>
      <c r="C88" s="23"/>
      <c r="D88" s="4">
        <f>0</f>
        <v>0</v>
      </c>
      <c r="E88" s="4">
        <f>0</f>
        <v>0</v>
      </c>
      <c r="F88" s="4">
        <f>0</f>
        <v>0</v>
      </c>
      <c r="G88" s="4">
        <f>0</f>
        <v>0</v>
      </c>
      <c r="H88" s="4">
        <f>0</f>
        <v>0</v>
      </c>
      <c r="I88" s="4">
        <f>0</f>
        <v>0</v>
      </c>
      <c r="J88" s="4">
        <f>0</f>
        <v>0</v>
      </c>
      <c r="K88" s="4">
        <f>0</f>
        <v>0</v>
      </c>
      <c r="L88" s="4">
        <f>0</f>
        <v>0</v>
      </c>
      <c r="M88" s="4">
        <f>0</f>
        <v>0</v>
      </c>
      <c r="N88" s="4"/>
      <c r="O88" s="4"/>
      <c r="Q88" s="3">
        <f>SUM(OSRRefD23_0x)+IFERROR(SUM(OSRRefE23_0x),0)</f>
        <v>0</v>
      </c>
    </row>
    <row r="89" spans="1:17" ht="15" customHeight="1" x14ac:dyDescent="0.3">
      <c r="A89" s="6"/>
      <c r="B89" s="7"/>
      <c r="C89" s="7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Q89" s="4"/>
    </row>
    <row r="90" spans="1:17" s="37" customFormat="1" ht="15" customHeight="1" x14ac:dyDescent="0.3">
      <c r="A90" s="7"/>
      <c r="B90" s="18" t="s">
        <v>288</v>
      </c>
      <c r="C90" s="18"/>
      <c r="D90" s="9">
        <f t="shared" ref="D90:O90" si="2">IFERROR(+D21-D24+D88,0)</f>
        <v>-40764.729999999996</v>
      </c>
      <c r="E90" s="9">
        <f t="shared" si="2"/>
        <v>-64516.12000000001</v>
      </c>
      <c r="F90" s="9">
        <f t="shared" si="2"/>
        <v>-16068.310000000027</v>
      </c>
      <c r="G90" s="9">
        <f t="shared" si="2"/>
        <v>17764.010000000038</v>
      </c>
      <c r="H90" s="9">
        <f t="shared" si="2"/>
        <v>68453.559999999983</v>
      </c>
      <c r="I90" s="9">
        <f t="shared" si="2"/>
        <v>29309.410000000033</v>
      </c>
      <c r="J90" s="9">
        <f t="shared" si="2"/>
        <v>12069.779999999999</v>
      </c>
      <c r="K90" s="9">
        <f t="shared" si="2"/>
        <v>71241.239999999962</v>
      </c>
      <c r="L90" s="9">
        <f t="shared" si="2"/>
        <v>61265.239999999932</v>
      </c>
      <c r="M90" s="9">
        <f t="shared" si="2"/>
        <v>104056.78000000009</v>
      </c>
      <c r="N90" s="9">
        <f t="shared" si="2"/>
        <v>-50787.21499692311</v>
      </c>
      <c r="O90" s="9">
        <f t="shared" si="2"/>
        <v>-67671.92699692311</v>
      </c>
      <c r="Q90" s="9">
        <f>IFERROR(+Q21-Q24+Q88,0)</f>
        <v>124351.71800615406</v>
      </c>
    </row>
    <row r="91" spans="1:17" s="38" customFormat="1" ht="15" customHeight="1" x14ac:dyDescent="0.3">
      <c r="B91" s="17"/>
      <c r="C91" s="17"/>
      <c r="D91" s="5">
        <f t="shared" ref="D91:O91" si="3">IFERROR(D90/D10,0)</f>
        <v>0</v>
      </c>
      <c r="E91" s="5">
        <f t="shared" si="3"/>
        <v>-1.5400295707279397</v>
      </c>
      <c r="F91" s="5">
        <f t="shared" si="3"/>
        <v>-9.9053688122152206E-2</v>
      </c>
      <c r="G91" s="5">
        <f t="shared" si="3"/>
        <v>6.1454486844426448E-2</v>
      </c>
      <c r="H91" s="5">
        <f t="shared" si="3"/>
        <v>0.2961695308239336</v>
      </c>
      <c r="I91" s="5">
        <f t="shared" si="3"/>
        <v>0.16882057876154066</v>
      </c>
      <c r="J91" s="5">
        <f t="shared" si="3"/>
        <v>0.10346951524205748</v>
      </c>
      <c r="K91" s="5">
        <f t="shared" si="3"/>
        <v>0.27856007281536777</v>
      </c>
      <c r="L91" s="5">
        <f t="shared" si="3"/>
        <v>0.23700873058365832</v>
      </c>
      <c r="M91" s="5">
        <f t="shared" si="3"/>
        <v>0.32448803225472206</v>
      </c>
      <c r="N91" s="5">
        <f t="shared" si="3"/>
        <v>-0.78375331785375169</v>
      </c>
      <c r="O91" s="5">
        <f t="shared" si="3"/>
        <v>0</v>
      </c>
      <c r="P91" s="19"/>
      <c r="Q91" s="5">
        <f>IFERROR(Q90/Q10,0)</f>
        <v>6.4959867426945914E-2</v>
      </c>
    </row>
    <row r="92" spans="1:17" ht="15" customHeight="1" x14ac:dyDescent="0.3">
      <c r="A92" s="6"/>
      <c r="B92" s="7"/>
      <c r="C92" s="6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Q92" s="4"/>
    </row>
    <row r="93" spans="1:17" s="37" customFormat="1" ht="15" customHeight="1" x14ac:dyDescent="0.3">
      <c r="A93" s="26"/>
      <c r="B93" s="7" t="s">
        <v>289</v>
      </c>
      <c r="C93" s="7"/>
      <c r="D93" s="4"/>
      <c r="E93" s="4">
        <v>6260.17</v>
      </c>
      <c r="F93" s="4">
        <v>19003.79</v>
      </c>
      <c r="G93" s="4">
        <v>31742.48</v>
      </c>
      <c r="H93" s="4">
        <v>29266.22</v>
      </c>
      <c r="I93" s="4">
        <v>21809.85</v>
      </c>
      <c r="J93" s="4">
        <v>26212.63</v>
      </c>
      <c r="K93" s="4">
        <v>24268.6</v>
      </c>
      <c r="L93" s="4">
        <v>23895.439999999999</v>
      </c>
      <c r="M93" s="4">
        <v>27057.69</v>
      </c>
      <c r="N93" s="4">
        <v>8872</v>
      </c>
      <c r="O93" s="4">
        <v>-10044</v>
      </c>
      <c r="Q93" s="3">
        <f>SUM(OSRRefD28_0x)+IFERROR(SUM(OSRRefE28_0x),0)</f>
        <v>208344.87000000002</v>
      </c>
    </row>
    <row r="94" spans="1:17" ht="15" customHeight="1" x14ac:dyDescent="0.3">
      <c r="A94" s="6"/>
      <c r="B94" s="7"/>
      <c r="C94" s="7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Q94" s="4"/>
    </row>
    <row r="95" spans="1:17" s="37" customFormat="1" ht="15.75" customHeight="1" x14ac:dyDescent="0.3">
      <c r="A95" s="7"/>
      <c r="B95" s="18" t="s">
        <v>290</v>
      </c>
      <c r="C95" s="18"/>
      <c r="D95" s="8">
        <f t="shared" ref="D95:O95" si="4">IFERROR(+D90-D93,0)</f>
        <v>-40764.729999999996</v>
      </c>
      <c r="E95" s="8">
        <f t="shared" si="4"/>
        <v>-70776.290000000008</v>
      </c>
      <c r="F95" s="8">
        <f t="shared" si="4"/>
        <v>-35072.100000000028</v>
      </c>
      <c r="G95" s="8">
        <f t="shared" si="4"/>
        <v>-13978.469999999961</v>
      </c>
      <c r="H95" s="8">
        <f t="shared" si="4"/>
        <v>39187.339999999982</v>
      </c>
      <c r="I95" s="8">
        <f t="shared" si="4"/>
        <v>7499.5600000000341</v>
      </c>
      <c r="J95" s="8">
        <f t="shared" si="4"/>
        <v>-14142.850000000002</v>
      </c>
      <c r="K95" s="8">
        <f t="shared" si="4"/>
        <v>46972.639999999963</v>
      </c>
      <c r="L95" s="8">
        <f t="shared" si="4"/>
        <v>37369.79999999993</v>
      </c>
      <c r="M95" s="8">
        <f t="shared" si="4"/>
        <v>76999.090000000084</v>
      </c>
      <c r="N95" s="8">
        <f t="shared" si="4"/>
        <v>-59659.21499692311</v>
      </c>
      <c r="O95" s="8">
        <f t="shared" si="4"/>
        <v>-57627.92699692311</v>
      </c>
      <c r="Q95" s="8">
        <f>IFERROR(+Q90-Q93,0)</f>
        <v>-83993.151993845968</v>
      </c>
    </row>
    <row r="96" spans="1:17" ht="15.75" customHeight="1" x14ac:dyDescent="0.3">
      <c r="A96" s="6"/>
      <c r="B96" s="6"/>
      <c r="C96" s="6"/>
      <c r="D96" s="5">
        <f t="shared" ref="D96:O96" si="5">IFERROR(D95/D10,0)</f>
        <v>0</v>
      </c>
      <c r="E96" s="5">
        <f t="shared" si="5"/>
        <v>-1.6894627188742311</v>
      </c>
      <c r="F96" s="5">
        <f t="shared" si="5"/>
        <v>-0.21620325069586854</v>
      </c>
      <c r="G96" s="5">
        <f t="shared" si="5"/>
        <v>-4.8358433750048863E-2</v>
      </c>
      <c r="H96" s="5">
        <f t="shared" si="5"/>
        <v>0.16954700532796196</v>
      </c>
      <c r="I96" s="5">
        <f t="shared" si="5"/>
        <v>4.3197050355394541E-2</v>
      </c>
      <c r="J96" s="5">
        <f t="shared" si="5"/>
        <v>-0.12124113559991424</v>
      </c>
      <c r="K96" s="5">
        <f t="shared" si="5"/>
        <v>0.18366752205225587</v>
      </c>
      <c r="L96" s="5">
        <f t="shared" si="5"/>
        <v>0.14456760244741043</v>
      </c>
      <c r="M96" s="5">
        <f t="shared" si="5"/>
        <v>0.24011201576201235</v>
      </c>
      <c r="N96" s="5">
        <f t="shared" si="5"/>
        <v>-0.92066689810066527</v>
      </c>
      <c r="O96" s="5">
        <f t="shared" si="5"/>
        <v>0</v>
      </c>
      <c r="P96" s="19"/>
      <c r="Q96" s="5">
        <f>IFERROR(Q95/Q10,0)</f>
        <v>-4.3877029652469542E-2</v>
      </c>
    </row>
    <row r="97" spans="1:17" ht="15" customHeight="1" x14ac:dyDescent="0.3">
      <c r="A97" s="6"/>
      <c r="B97" s="6"/>
      <c r="C97" s="6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Q97" s="4"/>
    </row>
    <row r="98" spans="1:17" ht="15" customHeight="1" x14ac:dyDescent="0.3">
      <c r="A98" s="6"/>
      <c r="B98" s="6"/>
      <c r="C98" s="6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Q98" s="4"/>
    </row>
    <row r="99" spans="1:17" s="37" customFormat="1" ht="15.75" customHeight="1" x14ac:dyDescent="0.3">
      <c r="A99" s="7"/>
      <c r="B99" s="18" t="s">
        <v>293</v>
      </c>
      <c r="C99" s="18"/>
      <c r="D99" s="8">
        <f t="shared" ref="D99:O99" si="6">IFERROR(SUM(D95:D98),0)</f>
        <v>-40764.729999999996</v>
      </c>
      <c r="E99" s="8">
        <f t="shared" si="6"/>
        <v>-70777.979462718882</v>
      </c>
      <c r="F99" s="8">
        <f t="shared" si="6"/>
        <v>-35072.316203250724</v>
      </c>
      <c r="G99" s="8">
        <f t="shared" si="6"/>
        <v>-13978.518358433712</v>
      </c>
      <c r="H99" s="8">
        <f t="shared" si="6"/>
        <v>39187.509547005313</v>
      </c>
      <c r="I99" s="8">
        <f t="shared" si="6"/>
        <v>7499.6031970503891</v>
      </c>
      <c r="J99" s="8">
        <f t="shared" si="6"/>
        <v>-14142.971241135601</v>
      </c>
      <c r="K99" s="8">
        <f t="shared" si="6"/>
        <v>46972.823667522018</v>
      </c>
      <c r="L99" s="8">
        <f t="shared" si="6"/>
        <v>37369.944567602375</v>
      </c>
      <c r="M99" s="8">
        <f t="shared" si="6"/>
        <v>76999.330112015843</v>
      </c>
      <c r="N99" s="8">
        <f t="shared" si="6"/>
        <v>-59660.135663821209</v>
      </c>
      <c r="O99" s="8">
        <f t="shared" si="6"/>
        <v>-57627.92699692311</v>
      </c>
      <c r="Q99" s="8">
        <f>IFERROR(SUM(Q95:Q98),0)</f>
        <v>-83993.195870875614</v>
      </c>
    </row>
    <row r="100" spans="1:17" ht="15.75" customHeight="1" x14ac:dyDescent="0.3">
      <c r="A100" s="6"/>
      <c r="C100" s="6"/>
      <c r="D100" s="5">
        <f t="shared" ref="D100:O100" si="7">IFERROR(D99/D10,0)</f>
        <v>0</v>
      </c>
      <c r="E100" s="5">
        <f t="shared" si="7"/>
        <v>-1.6895030471293355</v>
      </c>
      <c r="F100" s="5">
        <f t="shared" si="7"/>
        <v>-0.21620458348876123</v>
      </c>
      <c r="G100" s="5">
        <f t="shared" si="7"/>
        <v>-4.8358601045762541E-2</v>
      </c>
      <c r="H100" s="5">
        <f t="shared" si="7"/>
        <v>0.16954773888596861</v>
      </c>
      <c r="I100" s="5">
        <f t="shared" si="7"/>
        <v>4.31972991680128E-2</v>
      </c>
      <c r="J100" s="5">
        <f t="shared" si="7"/>
        <v>-0.12124217495287079</v>
      </c>
      <c r="K100" s="5">
        <f t="shared" si="7"/>
        <v>0.18366824020986117</v>
      </c>
      <c r="L100" s="5">
        <f t="shared" si="7"/>
        <v>0.1445681617169724</v>
      </c>
      <c r="M100" s="5">
        <f t="shared" si="7"/>
        <v>0.24011276452125238</v>
      </c>
      <c r="N100" s="5">
        <f t="shared" si="7"/>
        <v>-0.92068110592316676</v>
      </c>
      <c r="O100" s="5">
        <f t="shared" si="7"/>
        <v>0</v>
      </c>
      <c r="P100" s="19"/>
      <c r="Q100" s="5">
        <f>IFERROR(Q99/Q10,0)</f>
        <v>-4.3877052573311121E-2</v>
      </c>
    </row>
    <row r="101" spans="1:17" ht="15" customHeight="1" x14ac:dyDescent="0.3">
      <c r="A101" s="6"/>
      <c r="B101" s="33">
        <v>44694.892891863426</v>
      </c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Q101" s="14"/>
    </row>
    <row r="102" spans="1:17" ht="15" customHeight="1" x14ac:dyDescent="0.3">
      <c r="A102" s="6"/>
      <c r="B102" s="31" t="s">
        <v>294</v>
      </c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Q102" s="14"/>
    </row>
    <row r="103" spans="1:17" ht="15" customHeight="1" x14ac:dyDescent="0.3">
      <c r="A103" s="6"/>
      <c r="B103" s="27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Q103" s="14"/>
    </row>
    <row r="104" spans="1:17" ht="15" customHeight="1" x14ac:dyDescent="0.3"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Q104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84CCD-9111-46BD-7CE4-566C19F3E4DA}">
  <sheetPr>
    <tabColor rgb="FFFFC000"/>
    <outlinePr summaryBelow="0" summaryRight="0"/>
    <pageSetUpPr fitToPage="1"/>
  </sheetPr>
  <dimension ref="A2:R87"/>
  <sheetViews>
    <sheetView showGridLines="0" defaultGridColor="0" colorId="8" zoomScale="80" workbookViewId="0">
      <pane xSplit="3" ySplit="8" topLeftCell="D9" activePane="bottomRight" state="frozen"/>
      <selection activeCell="D9" sqref="D9"/>
      <selection pane="topRight" activeCell="D9" sqref="D9"/>
      <selection pane="bottomLeft" activeCell="D9" sqref="D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">
        <v>313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145655</v>
      </c>
      <c r="E10" s="4">
        <f>SUM(OSRRefD11x_1)</f>
        <v>90197</v>
      </c>
      <c r="F10" s="4">
        <f>SUM(OSRRefD11x_2)</f>
        <v>17418</v>
      </c>
      <c r="G10" s="4">
        <f>SUM(OSRRefD11x_3)</f>
        <v>35077</v>
      </c>
      <c r="H10" s="4">
        <f>SUM(OSRRefD11x_4)</f>
        <v>16197</v>
      </c>
      <c r="I10" s="4">
        <f>SUM(OSRRefD11x_5)</f>
        <v>-14996</v>
      </c>
      <c r="J10" s="4">
        <f>SUM(OSRRefD11x_6)</f>
        <v>22105</v>
      </c>
      <c r="K10" s="4">
        <f>SUM(OSRRefD11x_7)</f>
        <v>34845</v>
      </c>
      <c r="L10" s="4">
        <f>SUM(OSRRefD11x_8)</f>
        <v>27907</v>
      </c>
      <c r="M10" s="4">
        <f>SUM(OSRRefD11x_9)</f>
        <v>25067</v>
      </c>
      <c r="N10" s="4">
        <f>SUM(OSRRefE11x_0)</f>
        <v>34385</v>
      </c>
      <c r="O10" s="4">
        <f>SUM(OSRRefE11x_1)</f>
        <v>39764</v>
      </c>
      <c r="P10" s="25"/>
      <c r="Q10" s="4">
        <f>SUM(OSRRefG11x)</f>
        <v>473621</v>
      </c>
      <c r="R10" s="25"/>
    </row>
    <row r="11" spans="1:18" s="39" customFormat="1" ht="15" hidden="1" customHeight="1" outlineLevel="1" x14ac:dyDescent="0.3">
      <c r="A11" s="24"/>
      <c r="B11" s="11" t="str">
        <f>CONCATENATE("          ","4100"," - ","NON-TAXABLE SALES")</f>
        <v xml:space="preserve">          4100 - NON-TAXABLE SALES</v>
      </c>
      <c r="C11" s="23"/>
      <c r="D11" s="3">
        <f>--145655</f>
        <v>145655</v>
      </c>
      <c r="E11" s="3">
        <f>--90197</f>
        <v>90197</v>
      </c>
      <c r="F11" s="3">
        <f>--17418</f>
        <v>17418</v>
      </c>
      <c r="G11" s="3">
        <f>--35077</f>
        <v>35077</v>
      </c>
      <c r="H11" s="3">
        <f>--16197</f>
        <v>16197</v>
      </c>
      <c r="I11" s="3">
        <f>-14996</f>
        <v>-14996</v>
      </c>
      <c r="J11" s="3">
        <f>--22105</f>
        <v>22105</v>
      </c>
      <c r="K11" s="3">
        <f>--34845</f>
        <v>34845</v>
      </c>
      <c r="L11" s="3">
        <f>--27907</f>
        <v>27907</v>
      </c>
      <c r="M11" s="3">
        <f>--25067</f>
        <v>25067</v>
      </c>
      <c r="N11" s="3">
        <v>34385</v>
      </c>
      <c r="O11" s="3">
        <v>39764</v>
      </c>
      <c r="Q11" s="3">
        <f>SUM(OSRRefD11_0x)+IFERROR(SUM(OSRRefE11_0x),0)</f>
        <v>473621</v>
      </c>
    </row>
    <row r="12" spans="1:18" ht="15" customHeight="1" x14ac:dyDescent="0.3">
      <c r="A12" s="6"/>
      <c r="B12" s="7"/>
      <c r="C12" s="6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Q12" s="4"/>
    </row>
    <row r="13" spans="1:18" s="39" customFormat="1" ht="15" customHeight="1" x14ac:dyDescent="0.3">
      <c r="A13" s="24"/>
      <c r="B13" s="17" t="s">
        <v>284</v>
      </c>
      <c r="C13" s="23"/>
      <c r="D13" s="4">
        <f t="shared" ref="D13:O13" si="0">SUM(0)</f>
        <v>0</v>
      </c>
      <c r="E13" s="4">
        <f t="shared" si="0"/>
        <v>0</v>
      </c>
      <c r="F13" s="4">
        <f t="shared" si="0"/>
        <v>0</v>
      </c>
      <c r="G13" s="4">
        <f t="shared" si="0"/>
        <v>0</v>
      </c>
      <c r="H13" s="4">
        <f t="shared" si="0"/>
        <v>0</v>
      </c>
      <c r="I13" s="4">
        <f t="shared" si="0"/>
        <v>0</v>
      </c>
      <c r="J13" s="4">
        <f t="shared" si="0"/>
        <v>0</v>
      </c>
      <c r="K13" s="4">
        <f t="shared" si="0"/>
        <v>0</v>
      </c>
      <c r="L13" s="4">
        <f t="shared" si="0"/>
        <v>0</v>
      </c>
      <c r="M13" s="4">
        <f t="shared" si="0"/>
        <v>0</v>
      </c>
      <c r="N13" s="4">
        <f t="shared" si="0"/>
        <v>0</v>
      </c>
      <c r="O13" s="4">
        <f t="shared" si="0"/>
        <v>0</v>
      </c>
      <c r="Q13" s="4">
        <f>SUM(0)</f>
        <v>0</v>
      </c>
    </row>
    <row r="14" spans="1:18" ht="15" customHeight="1" x14ac:dyDescent="0.3">
      <c r="A14" s="6"/>
      <c r="B14" s="7"/>
      <c r="C14" s="7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Q14" s="4"/>
    </row>
    <row r="15" spans="1:18" s="37" customFormat="1" ht="15" customHeight="1" x14ac:dyDescent="0.3">
      <c r="A15" s="7"/>
      <c r="B15" s="18" t="s">
        <v>285</v>
      </c>
      <c r="C15" s="18"/>
      <c r="D15" s="9">
        <f t="shared" ref="D15:O15" si="1">IFERROR(+D10-D13,0)</f>
        <v>145655</v>
      </c>
      <c r="E15" s="9">
        <f t="shared" si="1"/>
        <v>90197</v>
      </c>
      <c r="F15" s="9">
        <f t="shared" si="1"/>
        <v>17418</v>
      </c>
      <c r="G15" s="9">
        <f t="shared" si="1"/>
        <v>35077</v>
      </c>
      <c r="H15" s="9">
        <f t="shared" si="1"/>
        <v>16197</v>
      </c>
      <c r="I15" s="9">
        <f t="shared" si="1"/>
        <v>-14996</v>
      </c>
      <c r="J15" s="9">
        <f t="shared" si="1"/>
        <v>22105</v>
      </c>
      <c r="K15" s="9">
        <f t="shared" si="1"/>
        <v>34845</v>
      </c>
      <c r="L15" s="9">
        <f t="shared" si="1"/>
        <v>27907</v>
      </c>
      <c r="M15" s="9">
        <f t="shared" si="1"/>
        <v>25067</v>
      </c>
      <c r="N15" s="9">
        <f t="shared" si="1"/>
        <v>34385</v>
      </c>
      <c r="O15" s="9">
        <f t="shared" si="1"/>
        <v>39764</v>
      </c>
      <c r="Q15" s="9">
        <f>IFERROR(+Q10-Q13,0)</f>
        <v>473621</v>
      </c>
    </row>
    <row r="16" spans="1:18" s="38" customFormat="1" ht="15" customHeight="1" x14ac:dyDescent="0.3">
      <c r="B16" s="17"/>
      <c r="C16" s="17"/>
      <c r="D16" s="5">
        <f t="shared" ref="D16:O16" si="2">IFERROR(D15/D10,0)</f>
        <v>1</v>
      </c>
      <c r="E16" s="5">
        <f t="shared" si="2"/>
        <v>1</v>
      </c>
      <c r="F16" s="5">
        <f t="shared" si="2"/>
        <v>1</v>
      </c>
      <c r="G16" s="5">
        <f t="shared" si="2"/>
        <v>1</v>
      </c>
      <c r="H16" s="5">
        <f t="shared" si="2"/>
        <v>1</v>
      </c>
      <c r="I16" s="5">
        <f t="shared" si="2"/>
        <v>1</v>
      </c>
      <c r="J16" s="5">
        <f t="shared" si="2"/>
        <v>1</v>
      </c>
      <c r="K16" s="5">
        <f t="shared" si="2"/>
        <v>1</v>
      </c>
      <c r="L16" s="5">
        <f t="shared" si="2"/>
        <v>1</v>
      </c>
      <c r="M16" s="5">
        <f t="shared" si="2"/>
        <v>1</v>
      </c>
      <c r="N16" s="5">
        <f t="shared" si="2"/>
        <v>1</v>
      </c>
      <c r="O16" s="5">
        <f t="shared" si="2"/>
        <v>1</v>
      </c>
      <c r="P16" s="19"/>
      <c r="Q16" s="5">
        <f>IFERROR(Q15/Q10,0)</f>
        <v>1</v>
      </c>
    </row>
    <row r="17" spans="1:17" ht="15" customHeight="1" x14ac:dyDescent="0.3">
      <c r="A17" s="6"/>
      <c r="B17" s="7"/>
      <c r="C17" s="6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Q17" s="2"/>
    </row>
    <row r="18" spans="1:17" s="37" customFormat="1" ht="15" customHeight="1" x14ac:dyDescent="0.3">
      <c r="A18" s="7"/>
      <c r="B18" s="17" t="s">
        <v>286</v>
      </c>
      <c r="C18" s="7"/>
      <c r="D18" s="12" cm="1">
        <f t="array" ref="D18">SUM(OSRRefD20x_0)</f>
        <v>145763.01999999999</v>
      </c>
      <c r="E18" s="12" cm="1">
        <f t="array" ref="E18">SUM(OSRRefD20x_1)</f>
        <v>24361.88</v>
      </c>
      <c r="F18" s="12" cm="1">
        <f t="array" ref="F18">SUM(OSRRefD20x_2)</f>
        <v>18581.890000000003</v>
      </c>
      <c r="G18" s="12" cm="1">
        <f t="array" ref="G18">SUM(OSRRefD20x_3)</f>
        <v>37178.060000000005</v>
      </c>
      <c r="H18" s="12" cm="1">
        <f t="array" ref="H18">SUM(OSRRefD20x_4)</f>
        <v>16817.129999999997</v>
      </c>
      <c r="I18" s="12" cm="1">
        <f t="array" ref="I18">SUM(OSRRefD20x_5)</f>
        <v>16374.92</v>
      </c>
      <c r="J18" s="12" cm="1">
        <f t="array" ref="J18">SUM(OSRRefD20x_6)</f>
        <v>23961.41</v>
      </c>
      <c r="K18" s="12" cm="1">
        <f t="array" ref="K18">SUM(OSRRefD20x_7)</f>
        <v>30247.550000000003</v>
      </c>
      <c r="L18" s="12" cm="1">
        <f t="array" ref="L18">SUM(OSRRefD20x_8)</f>
        <v>27442.799999999999</v>
      </c>
      <c r="M18" s="12" cm="1">
        <f t="array" ref="M18">SUM(OSRRefD20x_9)</f>
        <v>25275.95</v>
      </c>
      <c r="N18" s="12" cm="1">
        <f t="array" ref="N18">SUM(OSRRefE20x_0)</f>
        <v>33270.35652917769</v>
      </c>
      <c r="O18" s="12" cm="1">
        <f t="array" ref="O18">SUM(OSRRefE20x_1)</f>
        <v>31815.376569177686</v>
      </c>
      <c r="Q18" s="12" cm="1">
        <f t="array" ref="Q18">SUM(OSRRefG20x)</f>
        <v>431090.3430983554</v>
      </c>
    </row>
    <row r="19" spans="1:17" s="42" customFormat="1" ht="15" customHeight="1" collapsed="1" x14ac:dyDescent="0.3">
      <c r="A19" s="34"/>
      <c r="B19" s="15" t="str">
        <f>CONCATENATE("     ","*Benefits                                         ")</f>
        <v xml:space="preserve">     *Benefits                                         </v>
      </c>
      <c r="C19" s="15"/>
      <c r="D19" s="2">
        <f>SUM(OSRRefD21_0x_0)</f>
        <v>3801.83</v>
      </c>
      <c r="E19" s="2">
        <f>SUM(OSRRefD21_0x_1)</f>
        <v>3864.37</v>
      </c>
      <c r="F19" s="2">
        <f>SUM(OSRRefD21_0x_2)</f>
        <v>3562.0199999999995</v>
      </c>
      <c r="G19" s="2">
        <f>SUM(OSRRefD21_0x_3)</f>
        <v>4997.1099999999997</v>
      </c>
      <c r="H19" s="2">
        <f>SUM(OSRRefD21_0x_4)</f>
        <v>3647.92</v>
      </c>
      <c r="I19" s="2">
        <f>SUM(OSRRefD21_0x_5)</f>
        <v>3619.5699999999997</v>
      </c>
      <c r="J19" s="2">
        <f>SUM(OSRRefD21_0x_6)</f>
        <v>4516.5</v>
      </c>
      <c r="K19" s="2">
        <f>SUM(OSRRefD21_0x_7)</f>
        <v>5605.2200000000012</v>
      </c>
      <c r="L19" s="2">
        <f>SUM(OSRRefD21_0x_8)</f>
        <v>3508.48</v>
      </c>
      <c r="M19" s="2">
        <f>SUM(OSRRefD21_0x_9)</f>
        <v>5219.9399999999987</v>
      </c>
      <c r="N19" s="2">
        <f>SUM(OSRRefE21_0x_0)</f>
        <v>3294.3182868699996</v>
      </c>
      <c r="O19" s="2">
        <f>SUM(OSRRefE21_0x_1)</f>
        <v>3801.3383268699977</v>
      </c>
      <c r="Q19" s="3">
        <f>SUM(OSRRefD20_0x)+IFERROR(SUM(OSRRefE20_0x),0)</f>
        <v>49438.61661374</v>
      </c>
    </row>
    <row r="20" spans="1:17" s="42" customFormat="1" ht="15" hidden="1" customHeight="1" outlineLevel="1" x14ac:dyDescent="0.3">
      <c r="A20" s="34"/>
      <c r="B20" s="11" t="str">
        <f>CONCATENATE("          ","6111"," - ","F.I.C.A.")</f>
        <v xml:space="preserve">          6111 - F.I.C.A.</v>
      </c>
      <c r="C20" s="15"/>
      <c r="D20" s="3">
        <v>1188.3599999999999</v>
      </c>
      <c r="E20" s="3">
        <v>1214.71</v>
      </c>
      <c r="F20" s="3">
        <v>1050.3699999999999</v>
      </c>
      <c r="G20" s="3">
        <v>1435.84</v>
      </c>
      <c r="H20" s="3">
        <v>900.33</v>
      </c>
      <c r="I20" s="3">
        <v>909.69</v>
      </c>
      <c r="J20" s="3">
        <v>766.9</v>
      </c>
      <c r="K20" s="3">
        <v>912.86</v>
      </c>
      <c r="L20" s="3">
        <v>795.89</v>
      </c>
      <c r="M20" s="3">
        <v>1347.61</v>
      </c>
      <c r="N20" s="3">
        <v>673.19318387769204</v>
      </c>
      <c r="O20" s="3">
        <v>1273.80062387769</v>
      </c>
      <c r="P20" s="10"/>
      <c r="Q20" s="3">
        <f>SUM(OSRRefD21_0_0x)+IFERROR(SUM(OSRRefE21_0_0x),0)</f>
        <v>12469.553807755381</v>
      </c>
    </row>
    <row r="21" spans="1:17" s="42" customFormat="1" ht="15" hidden="1" customHeight="1" outlineLevel="1" x14ac:dyDescent="0.3">
      <c r="A21" s="34"/>
      <c r="B21" s="11" t="str">
        <f>CONCATENATE("          ","6112"," - ","COMPENSATION INSURANCE")</f>
        <v xml:space="preserve">          6112 - COMPENSATION INSURANCE</v>
      </c>
      <c r="C21" s="15"/>
      <c r="D21" s="3">
        <v>157.99</v>
      </c>
      <c r="E21" s="3">
        <v>180.15</v>
      </c>
      <c r="F21" s="3">
        <v>158.59</v>
      </c>
      <c r="G21" s="3">
        <v>242.24</v>
      </c>
      <c r="H21" s="3">
        <v>156.38</v>
      </c>
      <c r="I21" s="3">
        <v>137.25</v>
      </c>
      <c r="J21" s="3">
        <v>130.47999999999999</v>
      </c>
      <c r="K21" s="3">
        <v>174.33</v>
      </c>
      <c r="L21" s="3">
        <v>170.03</v>
      </c>
      <c r="M21" s="3">
        <v>190.88</v>
      </c>
      <c r="N21" s="3">
        <v>290.2607964</v>
      </c>
      <c r="O21" s="3">
        <v>259.65359640000003</v>
      </c>
      <c r="P21" s="10"/>
      <c r="Q21" s="3">
        <f>SUM(OSRRefD21_0_1x)+IFERROR(SUM(OSRRefE21_0_1x),0)</f>
        <v>2248.2343928</v>
      </c>
    </row>
    <row r="22" spans="1:17" s="42" customFormat="1" ht="15" hidden="1" customHeight="1" outlineLevel="1" x14ac:dyDescent="0.3">
      <c r="A22" s="34"/>
      <c r="B22" s="11" t="str">
        <f>CONCATENATE("          ","6113"," - ","GROUP INSURANCE")</f>
        <v xml:space="preserve">          6113 - GROUP INSURANCE</v>
      </c>
      <c r="C22" s="15"/>
      <c r="D22" s="3">
        <v>1054.3499999999999</v>
      </c>
      <c r="E22" s="3">
        <v>1054.3499999999999</v>
      </c>
      <c r="F22" s="3">
        <v>1054.3499999999999</v>
      </c>
      <c r="G22" s="3">
        <v>1054.3499999999999</v>
      </c>
      <c r="H22" s="3">
        <v>1054.3499999999999</v>
      </c>
      <c r="I22" s="3">
        <v>1054.3499999999999</v>
      </c>
      <c r="J22" s="3">
        <v>964.7</v>
      </c>
      <c r="K22" s="3">
        <v>964.7</v>
      </c>
      <c r="L22" s="3">
        <v>964.7</v>
      </c>
      <c r="M22" s="3">
        <v>964.7</v>
      </c>
      <c r="N22" s="3">
        <v>1022.5</v>
      </c>
      <c r="O22" s="3">
        <v>1022.5</v>
      </c>
      <c r="P22" s="10"/>
      <c r="Q22" s="3">
        <f>SUM(OSRRefD21_0_2x)+IFERROR(SUM(OSRRefE21_0_2x),0)</f>
        <v>12229.900000000001</v>
      </c>
    </row>
    <row r="23" spans="1:17" s="42" customFormat="1" ht="15" hidden="1" customHeight="1" outlineLevel="1" x14ac:dyDescent="0.3">
      <c r="A23" s="34"/>
      <c r="B23" s="11" t="str">
        <f>CONCATENATE("          ","6114"," - ","STATE UNEMPLOYMENT INSURANCE")</f>
        <v xml:space="preserve">          6114 - STATE UNEMPLOYMENT INSURANCE</v>
      </c>
      <c r="C23" s="15"/>
      <c r="D23" s="3">
        <v>31.34</v>
      </c>
      <c r="E23" s="3">
        <v>35.299999999999997</v>
      </c>
      <c r="F23" s="3">
        <v>31.46</v>
      </c>
      <c r="G23" s="3">
        <v>48.06</v>
      </c>
      <c r="H23" s="3">
        <v>30.99</v>
      </c>
      <c r="I23" s="3">
        <v>27.14</v>
      </c>
      <c r="J23" s="3">
        <v>25.77</v>
      </c>
      <c r="K23" s="3">
        <v>34.5</v>
      </c>
      <c r="L23" s="3">
        <v>33.64</v>
      </c>
      <c r="M23" s="3">
        <v>37.200000000000003</v>
      </c>
      <c r="N23" s="3">
        <v>39.073568746153903</v>
      </c>
      <c r="O23" s="3">
        <v>34.953368746153799</v>
      </c>
      <c r="P23" s="10"/>
      <c r="Q23" s="3">
        <f>SUM(OSRRefD21_0_3x)+IFERROR(SUM(OSRRefE21_0_3x),0)</f>
        <v>409.42693749230773</v>
      </c>
    </row>
    <row r="24" spans="1:17" s="42" customFormat="1" ht="15" hidden="1" customHeight="1" outlineLevel="1" x14ac:dyDescent="0.3">
      <c r="A24" s="34"/>
      <c r="B24" s="11" t="str">
        <f>CONCATENATE("          ","6115"," - ","P.E.R.S.")</f>
        <v xml:space="preserve">          6115 - P.E.R.S.</v>
      </c>
      <c r="C24" s="15"/>
      <c r="D24" s="3">
        <v>586.58000000000004</v>
      </c>
      <c r="E24" s="3">
        <v>586.58000000000004</v>
      </c>
      <c r="F24" s="3">
        <v>586.58000000000004</v>
      </c>
      <c r="G24" s="3">
        <v>879.87</v>
      </c>
      <c r="H24" s="3">
        <v>610.04</v>
      </c>
      <c r="I24" s="3">
        <v>610.04</v>
      </c>
      <c r="J24" s="3">
        <v>610.04</v>
      </c>
      <c r="K24" s="3">
        <v>630.69000000000005</v>
      </c>
      <c r="L24" s="3">
        <v>630.69000000000005</v>
      </c>
      <c r="M24" s="3">
        <v>914.5</v>
      </c>
      <c r="N24" s="3">
        <v>576.92767246153903</v>
      </c>
      <c r="O24" s="3">
        <v>576.92767246153903</v>
      </c>
      <c r="P24" s="10"/>
      <c r="Q24" s="3">
        <f>SUM(OSRRefD21_0_4x)+IFERROR(SUM(OSRRefE21_0_4x),0)</f>
        <v>7799.4653449230791</v>
      </c>
    </row>
    <row r="25" spans="1:17" s="42" customFormat="1" ht="15" hidden="1" customHeight="1" outlineLevel="1" x14ac:dyDescent="0.3">
      <c r="A25" s="34"/>
      <c r="B25" s="11" t="str">
        <f>CONCATENATE("          ","6116"," - ","EDUCATIONAL BENEFITS")</f>
        <v xml:space="preserve">          6116 - EDUCATIONAL BENEFITS</v>
      </c>
      <c r="C25" s="15"/>
      <c r="D25" s="3"/>
      <c r="E25" s="3"/>
      <c r="F25" s="3"/>
      <c r="G25" s="3"/>
      <c r="H25" s="3"/>
      <c r="I25" s="3"/>
      <c r="J25" s="3"/>
      <c r="K25" s="3"/>
      <c r="L25" s="3"/>
      <c r="M25" s="3"/>
      <c r="N25" s="3">
        <v>0</v>
      </c>
      <c r="O25" s="3">
        <v>0</v>
      </c>
      <c r="P25" s="10"/>
      <c r="Q25" s="3">
        <f>SUM(OSRRefD21_0_5x)+IFERROR(SUM(OSRRefE21_0_5x),0)</f>
        <v>0</v>
      </c>
    </row>
    <row r="26" spans="1:17" s="42" customFormat="1" ht="15" hidden="1" customHeight="1" outlineLevel="1" x14ac:dyDescent="0.3">
      <c r="A26" s="34"/>
      <c r="B26" s="11" t="str">
        <f>CONCATENATE("          ","6117"," - ","RETIREMENT STAFF HOURLY")</f>
        <v xml:space="preserve">          6117 - RETIREMENT STAFF HOURLY</v>
      </c>
      <c r="C26" s="15"/>
      <c r="D26" s="3">
        <v>102.54</v>
      </c>
      <c r="E26" s="3">
        <v>112.61</v>
      </c>
      <c r="F26" s="3"/>
      <c r="G26" s="3"/>
      <c r="H26" s="3"/>
      <c r="I26" s="3"/>
      <c r="J26" s="3"/>
      <c r="K26" s="3"/>
      <c r="L26" s="3"/>
      <c r="M26" s="3">
        <v>60</v>
      </c>
      <c r="N26" s="3"/>
      <c r="O26" s="3"/>
      <c r="P26" s="10"/>
      <c r="Q26" s="3">
        <f>SUM(OSRRefD21_0_6x)+IFERROR(SUM(OSRRefE21_0_6x),0)</f>
        <v>275.14999999999998</v>
      </c>
    </row>
    <row r="27" spans="1:17" s="42" customFormat="1" ht="15" hidden="1" customHeight="1" outlineLevel="1" x14ac:dyDescent="0.3">
      <c r="A27" s="34"/>
      <c r="B27" s="11" t="str">
        <f>CONCATENATE("          ","6118"," - ","VACATION")</f>
        <v xml:space="preserve">          6118 - VACATION</v>
      </c>
      <c r="C27" s="15"/>
      <c r="D27" s="3">
        <v>413.76</v>
      </c>
      <c r="E27" s="3">
        <v>413.76</v>
      </c>
      <c r="F27" s="3">
        <v>413.76</v>
      </c>
      <c r="G27" s="3">
        <v>748.88</v>
      </c>
      <c r="H27" s="3">
        <v>524.49</v>
      </c>
      <c r="I27" s="3">
        <v>529.76</v>
      </c>
      <c r="J27" s="3">
        <v>1087.24</v>
      </c>
      <c r="K27" s="3">
        <v>1219.74</v>
      </c>
      <c r="L27" s="3">
        <v>549.65</v>
      </c>
      <c r="M27" s="3">
        <v>925.81</v>
      </c>
      <c r="N27" s="3">
        <v>201.25383923076899</v>
      </c>
      <c r="O27" s="3">
        <v>201.25383923076899</v>
      </c>
      <c r="P27" s="10"/>
      <c r="Q27" s="3">
        <f>SUM(OSRRefD21_0_7x)+IFERROR(SUM(OSRRefE21_0_7x),0)</f>
        <v>7229.3576784615361</v>
      </c>
    </row>
    <row r="28" spans="1:17" s="42" customFormat="1" ht="15" hidden="1" customHeight="1" outlineLevel="1" x14ac:dyDescent="0.3">
      <c r="A28" s="34"/>
      <c r="B28" s="11" t="str">
        <f>CONCATENATE("          ","6119"," - ","SICK LEAVE")</f>
        <v xml:space="preserve">          6119 - SICK LEAVE</v>
      </c>
      <c r="C28" s="15"/>
      <c r="D28" s="3">
        <v>266.91000000000003</v>
      </c>
      <c r="E28" s="3">
        <v>266.91000000000003</v>
      </c>
      <c r="F28" s="3">
        <v>266.91000000000003</v>
      </c>
      <c r="G28" s="3">
        <v>400.37</v>
      </c>
      <c r="H28" s="3">
        <v>277.58999999999997</v>
      </c>
      <c r="I28" s="3">
        <v>277.58999999999997</v>
      </c>
      <c r="J28" s="3">
        <v>857.62</v>
      </c>
      <c r="K28" s="3">
        <v>1594.65</v>
      </c>
      <c r="L28" s="3">
        <v>290.13</v>
      </c>
      <c r="M28" s="3">
        <v>588.70000000000005</v>
      </c>
      <c r="N28" s="3">
        <v>491.10922615384601</v>
      </c>
      <c r="O28" s="3">
        <v>432.249226153846</v>
      </c>
      <c r="P28" s="10"/>
      <c r="Q28" s="3">
        <f>SUM(OSRRefD21_0_8x)+IFERROR(SUM(OSRRefE21_0_8x),0)</f>
        <v>6010.7384523076907</v>
      </c>
    </row>
    <row r="29" spans="1:17" s="42" customFormat="1" ht="15" hidden="1" customHeight="1" outlineLevel="1" x14ac:dyDescent="0.3">
      <c r="A29" s="34"/>
      <c r="B29" s="11" t="str">
        <f>CONCATENATE("          ","6156"," - ","EMPLOYEE MEALS")</f>
        <v xml:space="preserve">          6156 - EMPLOYEE MEALS</v>
      </c>
      <c r="C29" s="15"/>
      <c r="D29" s="3"/>
      <c r="E29" s="3"/>
      <c r="F29" s="3"/>
      <c r="G29" s="3">
        <v>187.5</v>
      </c>
      <c r="H29" s="3">
        <v>93.75</v>
      </c>
      <c r="I29" s="3">
        <v>73.75</v>
      </c>
      <c r="J29" s="3">
        <v>73.75</v>
      </c>
      <c r="K29" s="3">
        <v>73.75</v>
      </c>
      <c r="L29" s="3">
        <v>73.75</v>
      </c>
      <c r="M29" s="3">
        <v>190.54</v>
      </c>
      <c r="N29" s="3"/>
      <c r="O29" s="3"/>
      <c r="P29" s="10"/>
      <c r="Q29" s="3">
        <f>SUM(OSRRefD21_0_9x)+IFERROR(SUM(OSRRefE21_0_9x),0)</f>
        <v>766.79</v>
      </c>
    </row>
    <row r="30" spans="1:17" s="42" customFormat="1" ht="15" customHeight="1" collapsed="1" x14ac:dyDescent="0.3">
      <c r="A30" s="34"/>
      <c r="B30" s="15" t="str">
        <f>CONCATENATE("     ","*Payroll                                          ")</f>
        <v xml:space="preserve">     *Payroll                                          </v>
      </c>
      <c r="C30" s="15"/>
      <c r="D30" s="2">
        <f>SUM(OSRRefD21_1x_0)</f>
        <v>18970.560000000001</v>
      </c>
      <c r="E30" s="2">
        <f>SUM(OSRRefD21_1x_1)</f>
        <v>17485.11</v>
      </c>
      <c r="F30" s="2">
        <f>SUM(OSRRefD21_1x_2)</f>
        <v>13682.830000000002</v>
      </c>
      <c r="G30" s="2">
        <f>SUM(OSRRefD21_1x_3)</f>
        <v>15533.409999999998</v>
      </c>
      <c r="H30" s="2">
        <f>SUM(OSRRefD21_1x_4)</f>
        <v>11774.15</v>
      </c>
      <c r="I30" s="2">
        <f>SUM(OSRRefD21_1x_5)</f>
        <v>11517.15</v>
      </c>
      <c r="J30" s="2">
        <f>SUM(OSRRefD21_1x_6)</f>
        <v>14348.74</v>
      </c>
      <c r="K30" s="2">
        <f>SUM(OSRRefD21_1x_7)</f>
        <v>13747.22</v>
      </c>
      <c r="L30" s="2">
        <f>SUM(OSRRefD21_1x_8)</f>
        <v>12205.9</v>
      </c>
      <c r="M30" s="2">
        <f>SUM(OSRRefD21_1x_9)</f>
        <v>18557.16</v>
      </c>
      <c r="N30" s="2">
        <f>SUM(OSRRefE21_1x_0)</f>
        <v>18271.038242307688</v>
      </c>
      <c r="O30" s="2">
        <f>SUM(OSRRefE21_1x_1)</f>
        <v>16309.03824230769</v>
      </c>
      <c r="Q30" s="3">
        <f>SUM(OSRRefD20_1x)+IFERROR(SUM(OSRRefE20_1x),0)</f>
        <v>182402.30648461537</v>
      </c>
    </row>
    <row r="31" spans="1:17" s="42" customFormat="1" ht="15" hidden="1" customHeight="1" outlineLevel="1" x14ac:dyDescent="0.3">
      <c r="A31" s="34"/>
      <c r="B31" s="11" t="str">
        <f>CONCATENATE("          ","6001"," - ","ADMINISTRATIVE SALARIES")</f>
        <v xml:space="preserve">          6001 - ADMINISTRATIVE SALARIES</v>
      </c>
      <c r="C31" s="15"/>
      <c r="D31" s="3">
        <v>5599.1</v>
      </c>
      <c r="E31" s="3">
        <v>4479.1000000000004</v>
      </c>
      <c r="F31" s="3">
        <v>4479.1000000000004</v>
      </c>
      <c r="G31" s="3">
        <v>4926.79</v>
      </c>
      <c r="H31" s="3">
        <v>4192.4399999999996</v>
      </c>
      <c r="I31" s="3">
        <v>4658.26</v>
      </c>
      <c r="J31" s="3">
        <v>5356.44</v>
      </c>
      <c r="K31" s="3">
        <v>4426.34</v>
      </c>
      <c r="L31" s="3">
        <v>3959.53</v>
      </c>
      <c r="M31" s="3">
        <v>5589.48</v>
      </c>
      <c r="N31" s="3">
        <v>4139.8076923076896</v>
      </c>
      <c r="O31" s="3">
        <v>4139.8076923076896</v>
      </c>
      <c r="P31" s="10"/>
      <c r="Q31" s="3">
        <f>SUM(OSRRefD21_1_0x)+IFERROR(SUM(OSRRefE21_1_0x),0)</f>
        <v>55946.195384615377</v>
      </c>
    </row>
    <row r="32" spans="1:17" s="42" customFormat="1" ht="15" hidden="1" customHeight="1" outlineLevel="1" x14ac:dyDescent="0.3">
      <c r="A32" s="34"/>
      <c r="B32" s="11" t="str">
        <f>CONCATENATE("          ","6002"," - ","STAFF SALARIES")</f>
        <v xml:space="preserve">          6002 - STAFF SALARIES</v>
      </c>
      <c r="C32" s="15"/>
      <c r="D32" s="3">
        <v>5113.62</v>
      </c>
      <c r="E32" s="3">
        <v>1634.68</v>
      </c>
      <c r="F32" s="3">
        <v>1307.68</v>
      </c>
      <c r="G32" s="3">
        <v>980.59</v>
      </c>
      <c r="H32" s="3">
        <v>1156</v>
      </c>
      <c r="I32" s="3">
        <v>1360</v>
      </c>
      <c r="J32" s="3">
        <v>1700</v>
      </c>
      <c r="K32" s="3">
        <v>1700</v>
      </c>
      <c r="L32" s="3">
        <v>1632</v>
      </c>
      <c r="M32" s="3">
        <v>2040</v>
      </c>
      <c r="N32" s="3">
        <v>2233.2305500000002</v>
      </c>
      <c r="O32" s="3">
        <v>2233.2305500000002</v>
      </c>
      <c r="P32" s="10"/>
      <c r="Q32" s="3">
        <f>SUM(OSRRefD21_1_1x)+IFERROR(SUM(OSRRefE21_1_1x),0)</f>
        <v>23091.0311</v>
      </c>
    </row>
    <row r="33" spans="1:17" s="42" customFormat="1" ht="15" hidden="1" customHeight="1" outlineLevel="1" x14ac:dyDescent="0.3">
      <c r="A33" s="34"/>
      <c r="B33" s="11" t="str">
        <f>CONCATENATE("          ","6003"," - ","STAFF HOURLY-9 MONTH")</f>
        <v xml:space="preserve">          6003 - STAFF HOURLY-9 MONTH</v>
      </c>
      <c r="C33" s="15"/>
      <c r="D33" s="3"/>
      <c r="E33" s="3"/>
      <c r="F33" s="3"/>
      <c r="G33" s="3"/>
      <c r="H33" s="3"/>
      <c r="I33" s="3"/>
      <c r="J33" s="3"/>
      <c r="K33" s="3"/>
      <c r="L33" s="3"/>
      <c r="M33" s="3"/>
      <c r="N33" s="3">
        <v>0</v>
      </c>
      <c r="O33" s="3">
        <v>0</v>
      </c>
      <c r="P33" s="10"/>
      <c r="Q33" s="3">
        <f>SUM(OSRRefD21_1_2x)+IFERROR(SUM(OSRRefE21_1_2x),0)</f>
        <v>0</v>
      </c>
    </row>
    <row r="34" spans="1:17" s="42" customFormat="1" ht="15" hidden="1" customHeight="1" outlineLevel="1" x14ac:dyDescent="0.3">
      <c r="A34" s="34"/>
      <c r="B34" s="11" t="str">
        <f>CONCATENATE("          ","6004"," - ","STAFF HOURLY")</f>
        <v xml:space="preserve">          6004 - STAFF HOURLY</v>
      </c>
      <c r="C34" s="15"/>
      <c r="D34" s="3"/>
      <c r="E34" s="3">
        <v>2322.4</v>
      </c>
      <c r="F34" s="3">
        <v>2588</v>
      </c>
      <c r="G34" s="3">
        <v>1739.5</v>
      </c>
      <c r="H34" s="3">
        <v>502.42</v>
      </c>
      <c r="I34" s="3">
        <v>1000.06</v>
      </c>
      <c r="J34" s="3">
        <v>858.52</v>
      </c>
      <c r="K34" s="3">
        <v>1486.34</v>
      </c>
      <c r="L34" s="3">
        <v>343.23</v>
      </c>
      <c r="M34" s="3">
        <v>2481.75</v>
      </c>
      <c r="N34" s="3">
        <v>2088</v>
      </c>
      <c r="O34" s="3">
        <v>2088</v>
      </c>
      <c r="P34" s="10"/>
      <c r="Q34" s="3">
        <f>SUM(OSRRefD21_1_3x)+IFERROR(SUM(OSRRefE21_1_3x),0)</f>
        <v>17498.22</v>
      </c>
    </row>
    <row r="35" spans="1:17" s="42" customFormat="1" ht="15" hidden="1" customHeight="1" outlineLevel="1" x14ac:dyDescent="0.3">
      <c r="A35" s="34"/>
      <c r="B35" s="11" t="str">
        <f>CONCATENATE("          ","6005"," - ","TEMPORARY WAGES-HOURLY")</f>
        <v xml:space="preserve">          6005 - TEMPORARY WAGES-HOURLY</v>
      </c>
      <c r="C35" s="15"/>
      <c r="D35" s="3">
        <v>6179.64</v>
      </c>
      <c r="E35" s="3">
        <v>7230.43</v>
      </c>
      <c r="F35" s="3">
        <v>5433.05</v>
      </c>
      <c r="G35" s="3">
        <v>8606.81</v>
      </c>
      <c r="H35" s="3">
        <v>5366.19</v>
      </c>
      <c r="I35" s="3">
        <v>4211.55</v>
      </c>
      <c r="J35" s="3">
        <v>3237.63</v>
      </c>
      <c r="K35" s="3">
        <v>5369.89</v>
      </c>
      <c r="L35" s="3">
        <v>2736.04</v>
      </c>
      <c r="M35" s="3">
        <v>5524.33</v>
      </c>
      <c r="N35" s="3">
        <v>0</v>
      </c>
      <c r="O35" s="3">
        <v>0</v>
      </c>
      <c r="P35" s="10"/>
      <c r="Q35" s="3">
        <f>SUM(OSRRefD21_1_4x)+IFERROR(SUM(OSRRefE21_1_4x),0)</f>
        <v>53895.560000000005</v>
      </c>
    </row>
    <row r="36" spans="1:17" s="42" customFormat="1" ht="15" hidden="1" customHeight="1" outlineLevel="1" x14ac:dyDescent="0.3">
      <c r="A36" s="34"/>
      <c r="B36" s="11" t="str">
        <f>CONCATENATE("          ","6006"," - ","TEMPORARY PART TIME")</f>
        <v xml:space="preserve">          6006 - TEMPORARY PART TIME</v>
      </c>
      <c r="C36" s="15"/>
      <c r="D36" s="3"/>
      <c r="E36" s="3"/>
      <c r="F36" s="3"/>
      <c r="G36" s="3"/>
      <c r="H36" s="3"/>
      <c r="I36" s="3"/>
      <c r="J36" s="3"/>
      <c r="K36" s="3"/>
      <c r="L36" s="3"/>
      <c r="M36" s="3"/>
      <c r="N36" s="3">
        <v>0</v>
      </c>
      <c r="O36" s="3">
        <v>0</v>
      </c>
      <c r="P36" s="10"/>
      <c r="Q36" s="3">
        <f>SUM(OSRRefD21_1_5x)+IFERROR(SUM(OSRRefE21_1_5x),0)</f>
        <v>0</v>
      </c>
    </row>
    <row r="37" spans="1:17" s="42" customFormat="1" ht="15" hidden="1" customHeight="1" outlineLevel="1" x14ac:dyDescent="0.3">
      <c r="A37" s="34"/>
      <c r="B37" s="11" t="str">
        <f>CONCATENATE("          ","6007"," - ","STUDENT HOURLY")</f>
        <v xml:space="preserve">          6007 - STUDENT HOURLY</v>
      </c>
      <c r="C37" s="15"/>
      <c r="D37" s="3">
        <v>2078.1999999999998</v>
      </c>
      <c r="E37" s="3">
        <v>1818.5</v>
      </c>
      <c r="F37" s="3">
        <v>-125</v>
      </c>
      <c r="G37" s="3">
        <v>-884.5</v>
      </c>
      <c r="H37" s="3">
        <v>557.1</v>
      </c>
      <c r="I37" s="3">
        <v>287.27999999999997</v>
      </c>
      <c r="J37" s="3">
        <v>3196.15</v>
      </c>
      <c r="K37" s="3">
        <v>764.65</v>
      </c>
      <c r="L37" s="3">
        <v>3535.1</v>
      </c>
      <c r="M37" s="3">
        <v>2921.6</v>
      </c>
      <c r="N37" s="3">
        <v>0</v>
      </c>
      <c r="O37" s="3">
        <v>7848</v>
      </c>
      <c r="P37" s="10"/>
      <c r="Q37" s="3">
        <f>SUM(OSRRefD21_1_6x)+IFERROR(SUM(OSRRefE21_1_6x),0)</f>
        <v>21997.08</v>
      </c>
    </row>
    <row r="38" spans="1:17" s="42" customFormat="1" ht="15" hidden="1" customHeight="1" outlineLevel="1" x14ac:dyDescent="0.3">
      <c r="A38" s="34"/>
      <c r="B38" s="11" t="str">
        <f>CONCATENATE("          ","6008"," - ","STUDENT HOURLY-FICA EXEMPT")</f>
        <v xml:space="preserve">          6008 - STUDENT HOURLY-FICA EXEMPT</v>
      </c>
      <c r="C38" s="15"/>
      <c r="D38" s="3"/>
      <c r="E38" s="3"/>
      <c r="F38" s="3"/>
      <c r="G38" s="3">
        <v>164.22</v>
      </c>
      <c r="H38" s="3"/>
      <c r="I38" s="3"/>
      <c r="J38" s="3"/>
      <c r="K38" s="3"/>
      <c r="L38" s="3"/>
      <c r="M38" s="3"/>
      <c r="N38" s="3">
        <v>9810</v>
      </c>
      <c r="O38" s="3">
        <v>0</v>
      </c>
      <c r="P38" s="10"/>
      <c r="Q38" s="3">
        <f>SUM(OSRRefD21_1_7x)+IFERROR(SUM(OSRRefE21_1_7x),0)</f>
        <v>9974.2199999999993</v>
      </c>
    </row>
    <row r="39" spans="1:17" s="42" customFormat="1" ht="15" hidden="1" customHeight="1" outlineLevel="1" x14ac:dyDescent="0.3">
      <c r="A39" s="34"/>
      <c r="B39" s="11" t="str">
        <f>CONCATENATE("          ","6009"," - ","TEMPORARY-SEASONAL")</f>
        <v xml:space="preserve">          6009 - TEMPORARY-SEASONAL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/>
      <c r="N39" s="3">
        <v>0</v>
      </c>
      <c r="O39" s="3">
        <v>0</v>
      </c>
      <c r="P39" s="10"/>
      <c r="Q39" s="3">
        <f>SUM(OSRRefD21_1_8x)+IFERROR(SUM(OSRRefE21_1_8x),0)</f>
        <v>0</v>
      </c>
    </row>
    <row r="40" spans="1:17" s="42" customFormat="1" ht="15" hidden="1" customHeight="1" outlineLevel="1" x14ac:dyDescent="0.3">
      <c r="A40" s="34"/>
      <c r="B40" s="11" t="str">
        <f>CONCATENATE("          ","6010"," - ","GRATUITY")</f>
        <v xml:space="preserve">          6010 - GRATUITY</v>
      </c>
      <c r="C40" s="15"/>
      <c r="D40" s="3"/>
      <c r="E40" s="3"/>
      <c r="F40" s="3"/>
      <c r="G40" s="3"/>
      <c r="H40" s="3"/>
      <c r="I40" s="3"/>
      <c r="J40" s="3"/>
      <c r="K40" s="3"/>
      <c r="L40" s="3"/>
      <c r="M40" s="3"/>
      <c r="N40" s="3">
        <v>0</v>
      </c>
      <c r="O40" s="3">
        <v>0</v>
      </c>
      <c r="P40" s="10"/>
      <c r="Q40" s="3">
        <f>SUM(OSRRefD21_1_9x)+IFERROR(SUM(OSRRefE21_1_9x),0)</f>
        <v>0</v>
      </c>
    </row>
    <row r="41" spans="1:17" s="42" customFormat="1" ht="15" customHeight="1" collapsed="1" x14ac:dyDescent="0.3">
      <c r="A41" s="34"/>
      <c r="B41" s="15" t="str">
        <f>CONCATENATE("     ","Advertising/Promo                                 ")</f>
        <v xml:space="preserve">     Advertising/Promo                                 </v>
      </c>
      <c r="C41" s="15"/>
      <c r="D41" s="2">
        <f>SUM(OSRRefD21_2x_0)</f>
        <v>0</v>
      </c>
      <c r="E41" s="2">
        <f>SUM(OSRRefD21_2x_1)</f>
        <v>17.64</v>
      </c>
      <c r="F41" s="2">
        <f>SUM(OSRRefD21_2x_2)</f>
        <v>17.64</v>
      </c>
      <c r="G41" s="2">
        <f>SUM(OSRRefD21_2x_3)</f>
        <v>77.180000000000007</v>
      </c>
      <c r="H41" s="2">
        <f>SUM(OSRRefD21_2x_4)</f>
        <v>0</v>
      </c>
      <c r="I41" s="2">
        <f>SUM(OSRRefD21_2x_5)</f>
        <v>0</v>
      </c>
      <c r="J41" s="2">
        <f>SUM(OSRRefD21_2x_6)</f>
        <v>0</v>
      </c>
      <c r="K41" s="2">
        <f>SUM(OSRRefD21_2x_7)</f>
        <v>0</v>
      </c>
      <c r="L41" s="2">
        <f>SUM(OSRRefD21_2x_8)</f>
        <v>138.72</v>
      </c>
      <c r="M41" s="2">
        <f>SUM(OSRRefD21_2x_9)</f>
        <v>0</v>
      </c>
      <c r="N41" s="2">
        <f>SUM(OSRRefE21_2x_0)</f>
        <v>100</v>
      </c>
      <c r="O41" s="2">
        <f>SUM(OSRRefE21_2x_1)</f>
        <v>100</v>
      </c>
      <c r="Q41" s="3">
        <f>SUM(OSRRefD20_2x)+IFERROR(SUM(OSRRefE20_2x),0)</f>
        <v>451.18</v>
      </c>
    </row>
    <row r="42" spans="1:17" s="42" customFormat="1" ht="15" hidden="1" customHeight="1" outlineLevel="1" x14ac:dyDescent="0.3">
      <c r="A42" s="34"/>
      <c r="B42" s="11" t="str">
        <f>CONCATENATE("          ","6362"," - ","ADVERTISING EXPENSE")</f>
        <v xml:space="preserve">          6362 - ADVERTISING EXPENSE</v>
      </c>
      <c r="C42" s="15"/>
      <c r="D42" s="3"/>
      <c r="E42" s="3">
        <v>17.64</v>
      </c>
      <c r="F42" s="3">
        <v>17.64</v>
      </c>
      <c r="G42" s="3">
        <v>77.180000000000007</v>
      </c>
      <c r="H42" s="3"/>
      <c r="I42" s="3"/>
      <c r="J42" s="3"/>
      <c r="K42" s="3"/>
      <c r="L42" s="3">
        <v>138.72</v>
      </c>
      <c r="M42" s="3"/>
      <c r="N42" s="3">
        <v>100</v>
      </c>
      <c r="O42" s="3">
        <v>100</v>
      </c>
      <c r="P42" s="10"/>
      <c r="Q42" s="3">
        <f>SUM(OSRRefD21_2_0x)+IFERROR(SUM(OSRRefE21_2_0x),0)</f>
        <v>451.18</v>
      </c>
    </row>
    <row r="43" spans="1:17" s="42" customFormat="1" ht="15" customHeight="1" collapsed="1" x14ac:dyDescent="0.3">
      <c r="A43" s="34"/>
      <c r="B43" s="15" t="str">
        <f>CONCATENATE("     ","Bank/card Fees                                    ")</f>
        <v xml:space="preserve">     Bank/card Fees                                    </v>
      </c>
      <c r="C43" s="15"/>
      <c r="D43" s="2">
        <f>SUM(OSRRefD21_3x_0)</f>
        <v>44.12</v>
      </c>
      <c r="E43" s="2">
        <f>SUM(OSRRefD21_3x_1)</f>
        <v>467.14</v>
      </c>
      <c r="F43" s="2">
        <f>SUM(OSRRefD21_3x_2)</f>
        <v>460.95</v>
      </c>
      <c r="G43" s="2">
        <f>SUM(OSRRefD21_3x_3)</f>
        <v>330.9</v>
      </c>
      <c r="H43" s="2">
        <f>SUM(OSRRefD21_3x_4)</f>
        <v>229.39</v>
      </c>
      <c r="I43" s="2">
        <f>SUM(OSRRefD21_3x_5)</f>
        <v>278</v>
      </c>
      <c r="J43" s="2">
        <f>SUM(OSRRefD21_3x_6)</f>
        <v>89.97</v>
      </c>
      <c r="K43" s="2">
        <f>SUM(OSRRefD21_3x_7)</f>
        <v>871.71</v>
      </c>
      <c r="L43" s="2">
        <f>SUM(OSRRefD21_3x_8)</f>
        <v>662.05</v>
      </c>
      <c r="M43" s="2">
        <f>SUM(OSRRefD21_3x_9)</f>
        <v>579.9</v>
      </c>
      <c r="N43" s="2">
        <f>SUM(OSRRefE21_3x_0)</f>
        <v>1250</v>
      </c>
      <c r="O43" s="2">
        <f>SUM(OSRRefE21_3x_1)</f>
        <v>1250</v>
      </c>
      <c r="Q43" s="3">
        <f>SUM(OSRRefD20_3x)+IFERROR(SUM(OSRRefE20_3x),0)</f>
        <v>6514.130000000001</v>
      </c>
    </row>
    <row r="44" spans="1:17" s="42" customFormat="1" ht="15" hidden="1" customHeight="1" outlineLevel="1" x14ac:dyDescent="0.3">
      <c r="A44" s="34"/>
      <c r="B44" s="11" t="str">
        <f>CONCATENATE("          ","6381"," - ","BANK/CREDIT CARD FEES")</f>
        <v xml:space="preserve">          6381 - BANK/CREDIT CARD FEES</v>
      </c>
      <c r="C44" s="15"/>
      <c r="D44" s="3">
        <v>44.12</v>
      </c>
      <c r="E44" s="3">
        <v>467.14</v>
      </c>
      <c r="F44" s="3">
        <v>460.95</v>
      </c>
      <c r="G44" s="3">
        <v>330.9</v>
      </c>
      <c r="H44" s="3">
        <v>229.39</v>
      </c>
      <c r="I44" s="3">
        <v>278</v>
      </c>
      <c r="J44" s="3">
        <v>89.97</v>
      </c>
      <c r="K44" s="3">
        <v>871.71</v>
      </c>
      <c r="L44" s="3">
        <v>662.05</v>
      </c>
      <c r="M44" s="3">
        <v>579.9</v>
      </c>
      <c r="N44" s="3">
        <v>1250</v>
      </c>
      <c r="O44" s="3">
        <v>1250</v>
      </c>
      <c r="P44" s="10"/>
      <c r="Q44" s="3">
        <f>SUM(OSRRefD21_3_0x)+IFERROR(SUM(OSRRefE21_3_0x),0)</f>
        <v>6514.130000000001</v>
      </c>
    </row>
    <row r="45" spans="1:17" s="42" customFormat="1" ht="15" customHeight="1" collapsed="1" x14ac:dyDescent="0.3">
      <c r="A45" s="34"/>
      <c r="B45" s="15" t="str">
        <f>CONCATENATE("     ","Employees' Appreciation                           ")</f>
        <v xml:space="preserve">     Employees' Appreciation                           </v>
      </c>
      <c r="C45" s="15"/>
      <c r="D45" s="2">
        <f>SUM(OSRRefD21_4x_0)</f>
        <v>0</v>
      </c>
      <c r="E45" s="2">
        <f>SUM(OSRRefD21_4x_1)</f>
        <v>0</v>
      </c>
      <c r="F45" s="2">
        <f>SUM(OSRRefD21_4x_2)</f>
        <v>0</v>
      </c>
      <c r="G45" s="2">
        <f>SUM(OSRRefD21_4x_3)</f>
        <v>0</v>
      </c>
      <c r="H45" s="2">
        <f>SUM(OSRRefD21_4x_4)</f>
        <v>0</v>
      </c>
      <c r="I45" s="2">
        <f>SUM(OSRRefD21_4x_5)</f>
        <v>0</v>
      </c>
      <c r="J45" s="2">
        <f>SUM(OSRRefD21_4x_6)</f>
        <v>0</v>
      </c>
      <c r="K45" s="2">
        <f>SUM(OSRRefD21_4x_7)</f>
        <v>0</v>
      </c>
      <c r="L45" s="2">
        <f>SUM(OSRRefD21_4x_8)</f>
        <v>0</v>
      </c>
      <c r="M45" s="2">
        <f>SUM(OSRRefD21_4x_9)</f>
        <v>0</v>
      </c>
      <c r="N45" s="2">
        <f>SUM(OSRRefE21_4x_0)</f>
        <v>20</v>
      </c>
      <c r="O45" s="2">
        <f>SUM(OSRRefE21_4x_1)</f>
        <v>20</v>
      </c>
      <c r="Q45" s="3">
        <f>SUM(OSRRefD20_4x)+IFERROR(SUM(OSRRefE20_4x),0)</f>
        <v>40</v>
      </c>
    </row>
    <row r="46" spans="1:17" s="42" customFormat="1" ht="15" hidden="1" customHeight="1" outlineLevel="1" x14ac:dyDescent="0.3">
      <c r="A46" s="34"/>
      <c r="B46" s="11" t="str">
        <f>CONCATENATE("          ","6277"," - ","EMPLOYEE APPRECIATION")</f>
        <v xml:space="preserve">          6277 - EMPLOYEE APPRECIATION</v>
      </c>
      <c r="C46" s="15"/>
      <c r="D46" s="3"/>
      <c r="E46" s="3"/>
      <c r="F46" s="3"/>
      <c r="G46" s="3"/>
      <c r="H46" s="3"/>
      <c r="I46" s="3"/>
      <c r="J46" s="3"/>
      <c r="K46" s="3"/>
      <c r="L46" s="3"/>
      <c r="M46" s="3"/>
      <c r="N46" s="3">
        <v>20</v>
      </c>
      <c r="O46" s="3">
        <v>20</v>
      </c>
      <c r="P46" s="10"/>
      <c r="Q46" s="3">
        <f>SUM(OSRRefD21_4_0x)+IFERROR(SUM(OSRRefE21_4_0x),0)</f>
        <v>40</v>
      </c>
    </row>
    <row r="47" spans="1:17" s="42" customFormat="1" ht="15" customHeight="1" collapsed="1" x14ac:dyDescent="0.3">
      <c r="A47" s="34"/>
      <c r="B47" s="15" t="str">
        <f>CONCATENATE("     ","Freight out/Postage                               ")</f>
        <v xml:space="preserve">     Freight out/Postage                               </v>
      </c>
      <c r="C47" s="15"/>
      <c r="D47" s="2">
        <f>SUM(OSRRefD21_5x_0)</f>
        <v>0</v>
      </c>
      <c r="E47" s="2">
        <f>SUM(OSRRefD21_5x_1)</f>
        <v>0</v>
      </c>
      <c r="F47" s="2">
        <f>SUM(OSRRefD21_5x_2)</f>
        <v>0.31</v>
      </c>
      <c r="G47" s="2">
        <f>SUM(OSRRefD21_5x_3)</f>
        <v>0.31</v>
      </c>
      <c r="H47" s="2">
        <f>SUM(OSRRefD21_5x_4)</f>
        <v>0</v>
      </c>
      <c r="I47" s="2">
        <f>SUM(OSRRefD21_5x_5)</f>
        <v>0</v>
      </c>
      <c r="J47" s="2">
        <f>SUM(OSRRefD21_5x_6)</f>
        <v>0</v>
      </c>
      <c r="K47" s="2">
        <f>SUM(OSRRefD21_5x_7)</f>
        <v>0</v>
      </c>
      <c r="L47" s="2">
        <f>SUM(OSRRefD21_5x_8)</f>
        <v>0</v>
      </c>
      <c r="M47" s="2">
        <f>SUM(OSRRefD21_5x_9)</f>
        <v>0</v>
      </c>
      <c r="N47" s="2">
        <f>SUM(OSRRefE21_5x_0)</f>
        <v>10</v>
      </c>
      <c r="O47" s="2">
        <f>SUM(OSRRefE21_5x_1)</f>
        <v>10</v>
      </c>
      <c r="Q47" s="3">
        <f>SUM(OSRRefD20_5x)+IFERROR(SUM(OSRRefE20_5x),0)</f>
        <v>20.62</v>
      </c>
    </row>
    <row r="48" spans="1:17" s="42" customFormat="1" ht="15" hidden="1" customHeight="1" outlineLevel="1" x14ac:dyDescent="0.3">
      <c r="A48" s="34"/>
      <c r="B48" s="11" t="str">
        <f>CONCATENATE("          ","6305"," - ","FREIGHT OUT")</f>
        <v xml:space="preserve">          6305 - FREIGHT OUT</v>
      </c>
      <c r="C48" s="15"/>
      <c r="D48" s="3"/>
      <c r="E48" s="3"/>
      <c r="F48" s="3">
        <v>0.31</v>
      </c>
      <c r="G48" s="3">
        <v>0.31</v>
      </c>
      <c r="H48" s="3"/>
      <c r="I48" s="3"/>
      <c r="J48" s="3"/>
      <c r="K48" s="3"/>
      <c r="L48" s="3"/>
      <c r="M48" s="3"/>
      <c r="N48" s="3"/>
      <c r="O48" s="3"/>
      <c r="P48" s="10"/>
      <c r="Q48" s="3">
        <f>SUM(OSRRefD21_5_0x)+IFERROR(SUM(OSRRefE21_5_0x),0)</f>
        <v>0.62</v>
      </c>
    </row>
    <row r="49" spans="1:17" s="42" customFormat="1" ht="15" hidden="1" customHeight="1" outlineLevel="1" x14ac:dyDescent="0.3">
      <c r="A49" s="34"/>
      <c r="B49" s="11" t="str">
        <f>CONCATENATE("          ","6307"," - ","POSTAGE")</f>
        <v xml:space="preserve">          6307 - POSTAGE</v>
      </c>
      <c r="C49" s="15"/>
      <c r="D49" s="3"/>
      <c r="E49" s="3"/>
      <c r="F49" s="3"/>
      <c r="G49" s="3"/>
      <c r="H49" s="3"/>
      <c r="I49" s="3"/>
      <c r="J49" s="3"/>
      <c r="K49" s="3"/>
      <c r="L49" s="3"/>
      <c r="M49" s="3"/>
      <c r="N49" s="3">
        <v>10</v>
      </c>
      <c r="O49" s="3">
        <v>10</v>
      </c>
      <c r="P49" s="10"/>
      <c r="Q49" s="3">
        <f>SUM(OSRRefD21_5_1x)+IFERROR(SUM(OSRRefE21_5_1x),0)</f>
        <v>20</v>
      </c>
    </row>
    <row r="50" spans="1:17" s="42" customFormat="1" ht="15" customHeight="1" collapsed="1" x14ac:dyDescent="0.3">
      <c r="A50" s="34"/>
      <c r="B50" s="15" t="str">
        <f>CONCATENATE("     ","General                                           ")</f>
        <v xml:space="preserve">     General                                           </v>
      </c>
      <c r="C50" s="15"/>
      <c r="D50" s="2">
        <f>SUM(OSRRefD21_6x_0)</f>
        <v>0</v>
      </c>
      <c r="E50" s="2">
        <f>SUM(OSRRefD21_6x_1)</f>
        <v>0</v>
      </c>
      <c r="F50" s="2">
        <f>SUM(OSRRefD21_6x_2)</f>
        <v>0</v>
      </c>
      <c r="G50" s="2">
        <f>SUM(OSRRefD21_6x_3)</f>
        <v>0</v>
      </c>
      <c r="H50" s="2">
        <f>SUM(OSRRefD21_6x_4)</f>
        <v>0</v>
      </c>
      <c r="I50" s="2">
        <f>SUM(OSRRefD21_6x_5)</f>
        <v>0</v>
      </c>
      <c r="J50" s="2">
        <f>SUM(OSRRefD21_6x_6)</f>
        <v>0</v>
      </c>
      <c r="K50" s="2">
        <f>SUM(OSRRefD21_6x_7)</f>
        <v>0</v>
      </c>
      <c r="L50" s="2">
        <f>SUM(OSRRefD21_6x_8)</f>
        <v>0</v>
      </c>
      <c r="M50" s="2">
        <f>SUM(OSRRefD21_6x_9)</f>
        <v>0</v>
      </c>
      <c r="N50" s="2">
        <f>SUM(OSRRefE21_6x_0)</f>
        <v>50</v>
      </c>
      <c r="O50" s="2">
        <f>SUM(OSRRefE21_6x_1)</f>
        <v>50</v>
      </c>
      <c r="Q50" s="3">
        <f>SUM(OSRRefD20_6x)+IFERROR(SUM(OSRRefE20_6x),0)</f>
        <v>100</v>
      </c>
    </row>
    <row r="51" spans="1:17" s="42" customFormat="1" ht="15" hidden="1" customHeight="1" outlineLevel="1" x14ac:dyDescent="0.3">
      <c r="A51" s="34"/>
      <c r="B51" s="11" t="str">
        <f>CONCATENATE("          ","6279"," - ","GENERAL EXPENSE")</f>
        <v xml:space="preserve">          6279 - GENERAL EXPENSE</v>
      </c>
      <c r="C51" s="15"/>
      <c r="D51" s="3"/>
      <c r="E51" s="3"/>
      <c r="F51" s="3"/>
      <c r="G51" s="3"/>
      <c r="H51" s="3"/>
      <c r="I51" s="3"/>
      <c r="J51" s="3"/>
      <c r="K51" s="3"/>
      <c r="L51" s="3"/>
      <c r="M51" s="3"/>
      <c r="N51" s="3">
        <v>50</v>
      </c>
      <c r="O51" s="3">
        <v>50</v>
      </c>
      <c r="P51" s="10"/>
      <c r="Q51" s="3">
        <f>SUM(OSRRefD21_6_0x)+IFERROR(SUM(OSRRefE21_6_0x),0)</f>
        <v>100</v>
      </c>
    </row>
    <row r="52" spans="1:17" s="42" customFormat="1" ht="15" customHeight="1" collapsed="1" x14ac:dyDescent="0.3">
      <c r="A52" s="34"/>
      <c r="B52" s="15" t="str">
        <f>CONCATENATE("     ","Insurance                                         ")</f>
        <v xml:space="preserve">     Insurance                                         </v>
      </c>
      <c r="C52" s="15"/>
      <c r="D52" s="2">
        <f>SUM(OSRRefD21_7x_0)</f>
        <v>39.43</v>
      </c>
      <c r="E52" s="2">
        <f>SUM(OSRRefD21_7x_1)</f>
        <v>39.43</v>
      </c>
      <c r="F52" s="2">
        <f>SUM(OSRRefD21_7x_2)</f>
        <v>39.43</v>
      </c>
      <c r="G52" s="2">
        <f>SUM(OSRRefD21_7x_3)</f>
        <v>39.43</v>
      </c>
      <c r="H52" s="2">
        <f>SUM(OSRRefD21_7x_4)</f>
        <v>39.43</v>
      </c>
      <c r="I52" s="2">
        <f>SUM(OSRRefD21_7x_5)</f>
        <v>39.43</v>
      </c>
      <c r="J52" s="2">
        <f>SUM(OSRRefD21_7x_6)</f>
        <v>39.43</v>
      </c>
      <c r="K52" s="2">
        <f>SUM(OSRRefD21_7x_7)</f>
        <v>39.43</v>
      </c>
      <c r="L52" s="2">
        <f>SUM(OSRRefD21_7x_8)</f>
        <v>39.43</v>
      </c>
      <c r="M52" s="2">
        <f>SUM(OSRRefD21_7x_9)</f>
        <v>39.43</v>
      </c>
      <c r="N52" s="2">
        <f>SUM(OSRRefE21_7x_0)</f>
        <v>40</v>
      </c>
      <c r="O52" s="2">
        <f>SUM(OSRRefE21_7x_1)</f>
        <v>40</v>
      </c>
      <c r="Q52" s="3">
        <f>SUM(OSRRefD20_7x)+IFERROR(SUM(OSRRefE20_7x),0)</f>
        <v>474.3</v>
      </c>
    </row>
    <row r="53" spans="1:17" s="42" customFormat="1" ht="15" hidden="1" customHeight="1" outlineLevel="1" x14ac:dyDescent="0.3">
      <c r="A53" s="34"/>
      <c r="B53" s="11" t="str">
        <f>CONCATENATE("          ","6314"," - ","LIABILITY INSURANCE")</f>
        <v xml:space="preserve">          6314 - LIABILITY INSURANCE</v>
      </c>
      <c r="C53" s="15"/>
      <c r="D53" s="3">
        <v>39.43</v>
      </c>
      <c r="E53" s="3">
        <v>39.43</v>
      </c>
      <c r="F53" s="3">
        <v>39.43</v>
      </c>
      <c r="G53" s="3">
        <v>39.43</v>
      </c>
      <c r="H53" s="3">
        <v>39.43</v>
      </c>
      <c r="I53" s="3">
        <v>39.43</v>
      </c>
      <c r="J53" s="3">
        <v>39.43</v>
      </c>
      <c r="K53" s="3">
        <v>39.43</v>
      </c>
      <c r="L53" s="3">
        <v>39.43</v>
      </c>
      <c r="M53" s="3">
        <v>39.43</v>
      </c>
      <c r="N53" s="3">
        <v>40</v>
      </c>
      <c r="O53" s="3">
        <v>40</v>
      </c>
      <c r="P53" s="10"/>
      <c r="Q53" s="3">
        <f>SUM(OSRRefD21_7_0x)+IFERROR(SUM(OSRRefE21_7_0x),0)</f>
        <v>474.3</v>
      </c>
    </row>
    <row r="54" spans="1:17" s="42" customFormat="1" ht="15" customHeight="1" collapsed="1" x14ac:dyDescent="0.3">
      <c r="A54" s="34"/>
      <c r="B54" s="15" t="str">
        <f>CONCATENATE("     ","Rent                                              ")</f>
        <v xml:space="preserve">     Rent                                              </v>
      </c>
      <c r="C54" s="15"/>
      <c r="D54" s="2">
        <f>SUM(OSRRefD21_8x_0)</f>
        <v>800</v>
      </c>
      <c r="E54" s="2">
        <f>SUM(OSRRefD21_8x_1)</f>
        <v>800</v>
      </c>
      <c r="F54" s="2">
        <f>SUM(OSRRefD21_8x_2)</f>
        <v>800</v>
      </c>
      <c r="G54" s="2">
        <f>SUM(OSRRefD21_8x_3)</f>
        <v>800</v>
      </c>
      <c r="H54" s="2">
        <f>SUM(OSRRefD21_8x_4)</f>
        <v>800</v>
      </c>
      <c r="I54" s="2">
        <f>SUM(OSRRefD21_8x_5)</f>
        <v>800</v>
      </c>
      <c r="J54" s="2">
        <f>SUM(OSRRefD21_8x_6)</f>
        <v>800</v>
      </c>
      <c r="K54" s="2">
        <f>SUM(OSRRefD21_8x_7)</f>
        <v>800</v>
      </c>
      <c r="L54" s="2">
        <f>SUM(OSRRefD21_8x_8)</f>
        <v>800</v>
      </c>
      <c r="M54" s="2">
        <f>SUM(OSRRefD21_8x_9)</f>
        <v>800</v>
      </c>
      <c r="N54" s="2">
        <f>SUM(OSRRefE21_8x_0)</f>
        <v>800</v>
      </c>
      <c r="O54" s="2">
        <f>SUM(OSRRefE21_8x_1)</f>
        <v>800</v>
      </c>
      <c r="Q54" s="3">
        <f>SUM(OSRRefD20_8x)+IFERROR(SUM(OSRRefE20_8x),0)</f>
        <v>9600</v>
      </c>
    </row>
    <row r="55" spans="1:17" s="42" customFormat="1" ht="15" hidden="1" customHeight="1" outlineLevel="1" x14ac:dyDescent="0.3">
      <c r="A55" s="34"/>
      <c r="B55" s="11" t="str">
        <f>CONCATENATE("          ","6273"," - ","RENT")</f>
        <v xml:space="preserve">          6273 - RENT</v>
      </c>
      <c r="C55" s="15"/>
      <c r="D55" s="3">
        <v>800</v>
      </c>
      <c r="E55" s="3">
        <v>800</v>
      </c>
      <c r="F55" s="3">
        <v>800</v>
      </c>
      <c r="G55" s="3">
        <v>800</v>
      </c>
      <c r="H55" s="3">
        <v>800</v>
      </c>
      <c r="I55" s="3">
        <v>800</v>
      </c>
      <c r="J55" s="3">
        <v>800</v>
      </c>
      <c r="K55" s="3">
        <v>800</v>
      </c>
      <c r="L55" s="3">
        <v>800</v>
      </c>
      <c r="M55" s="3">
        <v>800</v>
      </c>
      <c r="N55" s="3">
        <v>800</v>
      </c>
      <c r="O55" s="3">
        <v>800</v>
      </c>
      <c r="P55" s="10"/>
      <c r="Q55" s="3">
        <f>SUM(OSRRefD21_8_0x)+IFERROR(SUM(OSRRefE21_8_0x),0)</f>
        <v>9600</v>
      </c>
    </row>
    <row r="56" spans="1:17" s="42" customFormat="1" ht="15" customHeight="1" collapsed="1" x14ac:dyDescent="0.3">
      <c r="A56" s="34"/>
      <c r="B56" s="15" t="str">
        <f>CONCATENATE("     ","Repair and Maintenance                            ")</f>
        <v xml:space="preserve">     Repair and Maintenance                            </v>
      </c>
      <c r="C56" s="15"/>
      <c r="D56" s="2">
        <f>SUM(OSRRefD21_9x_0)</f>
        <v>122000.62</v>
      </c>
      <c r="E56" s="2">
        <f>SUM(OSRRefD21_9x_1)</f>
        <v>0</v>
      </c>
      <c r="F56" s="2">
        <f>SUM(OSRRefD21_9x_2)</f>
        <v>0</v>
      </c>
      <c r="G56" s="2">
        <f>SUM(OSRRefD21_9x_3)</f>
        <v>0</v>
      </c>
      <c r="H56" s="2">
        <f>SUM(OSRRefD21_9x_4)</f>
        <v>0</v>
      </c>
      <c r="I56" s="2">
        <f>SUM(OSRRefD21_9x_5)</f>
        <v>0</v>
      </c>
      <c r="J56" s="2">
        <f>SUM(OSRRefD21_9x_6)</f>
        <v>1555.65</v>
      </c>
      <c r="K56" s="2">
        <f>SUM(OSRRefD21_9x_7)</f>
        <v>7583.7</v>
      </c>
      <c r="L56" s="2">
        <f>SUM(OSRRefD21_9x_8)</f>
        <v>0</v>
      </c>
      <c r="M56" s="2">
        <f>SUM(OSRRefD21_9x_9)</f>
        <v>0</v>
      </c>
      <c r="N56" s="2">
        <f>SUM(OSRRefE21_9x_0)</f>
        <v>3200</v>
      </c>
      <c r="O56" s="2">
        <f>SUM(OSRRefE21_9x_1)</f>
        <v>3200</v>
      </c>
      <c r="Q56" s="3">
        <f>SUM(OSRRefD20_9x)+IFERROR(SUM(OSRRefE20_9x),0)</f>
        <v>137539.97</v>
      </c>
    </row>
    <row r="57" spans="1:17" s="42" customFormat="1" ht="15" hidden="1" customHeight="1" outlineLevel="1" x14ac:dyDescent="0.3">
      <c r="A57" s="34"/>
      <c r="B57" s="11" t="str">
        <f>CONCATENATE("          ","6371"," - ","COMPUTER SOFTWARE MAINTENANCE")</f>
        <v xml:space="preserve">          6371 - COMPUTER SOFTWARE MAINTENANCE</v>
      </c>
      <c r="C57" s="15"/>
      <c r="D57" s="3"/>
      <c r="E57" s="3"/>
      <c r="F57" s="3"/>
      <c r="G57" s="3"/>
      <c r="H57" s="3"/>
      <c r="I57" s="3"/>
      <c r="J57" s="3"/>
      <c r="K57" s="3">
        <v>7583.7</v>
      </c>
      <c r="L57" s="3"/>
      <c r="M57" s="3"/>
      <c r="N57" s="3"/>
      <c r="O57" s="3"/>
      <c r="P57" s="10"/>
      <c r="Q57" s="3">
        <f>SUM(OSRRefD21_9_0x)+IFERROR(SUM(OSRRefE21_9_0x),0)</f>
        <v>7583.7</v>
      </c>
    </row>
    <row r="58" spans="1:17" s="42" customFormat="1" ht="15" hidden="1" customHeight="1" outlineLevel="1" x14ac:dyDescent="0.3">
      <c r="A58" s="34"/>
      <c r="B58" s="11" t="str">
        <f>CONCATENATE("          ","6372"," - ","COMPUTER HARDWARE MAINTENANCE")</f>
        <v xml:space="preserve">          6372 - COMPUTER HARDWARE MAINTENANCE</v>
      </c>
      <c r="C58" s="15"/>
      <c r="D58" s="3"/>
      <c r="E58" s="3"/>
      <c r="F58" s="3"/>
      <c r="G58" s="3"/>
      <c r="H58" s="3"/>
      <c r="I58" s="3"/>
      <c r="J58" s="3">
        <v>1555.65</v>
      </c>
      <c r="K58" s="3"/>
      <c r="L58" s="3"/>
      <c r="M58" s="3"/>
      <c r="N58" s="3">
        <v>3200</v>
      </c>
      <c r="O58" s="3">
        <v>3200</v>
      </c>
      <c r="P58" s="10"/>
      <c r="Q58" s="3">
        <f>SUM(OSRRefD21_9_1x)+IFERROR(SUM(OSRRefE21_9_1x),0)</f>
        <v>7955.65</v>
      </c>
    </row>
    <row r="59" spans="1:17" s="42" customFormat="1" ht="15" hidden="1" customHeight="1" outlineLevel="1" x14ac:dyDescent="0.3">
      <c r="A59" s="34"/>
      <c r="B59" s="11" t="str">
        <f>CONCATENATE("          ","6373"," - ","MAINTENANCE CONTRACTS")</f>
        <v xml:space="preserve">          6373 - MAINTENANCE CONTRACTS</v>
      </c>
      <c r="C59" s="15"/>
      <c r="D59" s="3">
        <v>122000.62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10"/>
      <c r="Q59" s="3">
        <f>SUM(OSRRefD21_9_2x)+IFERROR(SUM(OSRRefE21_9_2x),0)</f>
        <v>122000.62</v>
      </c>
    </row>
    <row r="60" spans="1:17" s="42" customFormat="1" ht="15" customHeight="1" collapsed="1" x14ac:dyDescent="0.3">
      <c r="A60" s="34"/>
      <c r="B60" s="15" t="str">
        <f>CONCATENATE("     ","Subscriptions &amp; Dues                              ")</f>
        <v xml:space="preserve">     Subscriptions &amp; Dues                              </v>
      </c>
      <c r="C60" s="15"/>
      <c r="D60" s="2">
        <f>SUM(OSRRefD21_10x_0)</f>
        <v>0</v>
      </c>
      <c r="E60" s="2">
        <f>SUM(OSRRefD21_10x_1)</f>
        <v>0</v>
      </c>
      <c r="F60" s="2">
        <f>SUM(OSRRefD21_10x_2)</f>
        <v>0</v>
      </c>
      <c r="G60" s="2">
        <f>SUM(OSRRefD21_10x_3)</f>
        <v>0</v>
      </c>
      <c r="H60" s="2">
        <f>SUM(OSRRefD21_10x_4)</f>
        <v>0</v>
      </c>
      <c r="I60" s="2">
        <f>SUM(OSRRefD21_10x_5)</f>
        <v>0</v>
      </c>
      <c r="J60" s="2">
        <f>SUM(OSRRefD21_10x_6)</f>
        <v>0</v>
      </c>
      <c r="K60" s="2">
        <f>SUM(OSRRefD21_10x_7)</f>
        <v>0</v>
      </c>
      <c r="L60" s="2">
        <f>SUM(OSRRefD21_10x_8)</f>
        <v>0</v>
      </c>
      <c r="M60" s="2">
        <f>SUM(OSRRefD21_10x_9)</f>
        <v>0</v>
      </c>
      <c r="N60" s="2">
        <f>SUM(OSRRefE21_10x_0)</f>
        <v>85</v>
      </c>
      <c r="O60" s="2">
        <f>SUM(OSRRefE21_10x_1)</f>
        <v>85</v>
      </c>
      <c r="Q60" s="3">
        <f>SUM(OSRRefD20_10x)+IFERROR(SUM(OSRRefE20_10x),0)</f>
        <v>170</v>
      </c>
    </row>
    <row r="61" spans="1:17" s="42" customFormat="1" ht="15" hidden="1" customHeight="1" outlineLevel="1" x14ac:dyDescent="0.3">
      <c r="A61" s="34"/>
      <c r="B61" s="11" t="str">
        <f>CONCATENATE("          ","6258"," - ","MEMBERSHIP DUES")</f>
        <v xml:space="preserve">          6258 - MEMBERSHIP DUES</v>
      </c>
      <c r="C61" s="15"/>
      <c r="D61" s="3"/>
      <c r="E61" s="3"/>
      <c r="F61" s="3"/>
      <c r="G61" s="3"/>
      <c r="H61" s="3"/>
      <c r="I61" s="3"/>
      <c r="J61" s="3"/>
      <c r="K61" s="3"/>
      <c r="L61" s="3"/>
      <c r="M61" s="3"/>
      <c r="N61" s="3">
        <v>85</v>
      </c>
      <c r="O61" s="3">
        <v>85</v>
      </c>
      <c r="P61" s="10"/>
      <c r="Q61" s="3">
        <f>SUM(OSRRefD21_10_0x)+IFERROR(SUM(OSRRefE21_10_0x),0)</f>
        <v>170</v>
      </c>
    </row>
    <row r="62" spans="1:17" s="42" customFormat="1" ht="15" customHeight="1" collapsed="1" x14ac:dyDescent="0.3">
      <c r="A62" s="34"/>
      <c r="B62" s="15" t="str">
        <f>CONCATENATE("     ","Supplies                                          ")</f>
        <v xml:space="preserve">     Supplies                                          </v>
      </c>
      <c r="C62" s="15"/>
      <c r="D62" s="2">
        <f>SUM(OSRRefD21_11x_0)</f>
        <v>356.71</v>
      </c>
      <c r="E62" s="2">
        <f>SUM(OSRRefD21_11x_1)</f>
        <v>1601.24</v>
      </c>
      <c r="F62" s="2">
        <f>SUM(OSRRefD21_11x_2)</f>
        <v>18.71</v>
      </c>
      <c r="G62" s="2">
        <f>SUM(OSRRefD21_11x_3)</f>
        <v>13312.42</v>
      </c>
      <c r="H62" s="2">
        <f>SUM(OSRRefD21_11x_4)</f>
        <v>235.39</v>
      </c>
      <c r="I62" s="2">
        <f>SUM(OSRRefD21_11x_5)</f>
        <v>30.62</v>
      </c>
      <c r="J62" s="2">
        <f>SUM(OSRRefD21_11x_6)</f>
        <v>2523.12</v>
      </c>
      <c r="K62" s="2">
        <f>SUM(OSRRefD21_11x_7)</f>
        <v>1513.07</v>
      </c>
      <c r="L62" s="2">
        <f>SUM(OSRRefD21_11x_8)</f>
        <v>10001.17</v>
      </c>
      <c r="M62" s="2">
        <f>SUM(OSRRefD21_11x_9)</f>
        <v>23.08</v>
      </c>
      <c r="N62" s="2">
        <f>SUM(OSRRefE21_11x_0)</f>
        <v>5800</v>
      </c>
      <c r="O62" s="2">
        <f>SUM(OSRRefE21_11x_1)</f>
        <v>5800</v>
      </c>
      <c r="Q62" s="3">
        <f>SUM(OSRRefD20_11x)+IFERROR(SUM(OSRRefE20_11x),0)</f>
        <v>41215.53</v>
      </c>
    </row>
    <row r="63" spans="1:17" s="42" customFormat="1" ht="15" hidden="1" customHeight="1" outlineLevel="1" x14ac:dyDescent="0.3">
      <c r="A63" s="34"/>
      <c r="B63" s="11" t="str">
        <f>CONCATENATE("          ","6234"," - ","EXPENDABLE SUPPLIES &amp; EQUIPMEN")</f>
        <v xml:space="preserve">          6234 - EXPENDABLE SUPPLIES &amp; EQUIPMEN</v>
      </c>
      <c r="C63" s="15"/>
      <c r="D63" s="3"/>
      <c r="E63" s="3"/>
      <c r="F63" s="3"/>
      <c r="G63" s="3"/>
      <c r="H63" s="3"/>
      <c r="I63" s="3"/>
      <c r="J63" s="3"/>
      <c r="K63" s="3"/>
      <c r="L63" s="3"/>
      <c r="M63" s="3"/>
      <c r="N63" s="3">
        <v>5800</v>
      </c>
      <c r="O63" s="3">
        <v>5800</v>
      </c>
      <c r="P63" s="10"/>
      <c r="Q63" s="3">
        <f>SUM(OSRRefD21_11_0x)+IFERROR(SUM(OSRRefE21_11_0x),0)</f>
        <v>11600</v>
      </c>
    </row>
    <row r="64" spans="1:17" s="42" customFormat="1" ht="15" hidden="1" customHeight="1" outlineLevel="1" x14ac:dyDescent="0.3">
      <c r="A64" s="34"/>
      <c r="B64" s="11" t="str">
        <f>CONCATENATE("          ","6241"," - ","OFFICE EXPENSE")</f>
        <v xml:space="preserve">          6241 - OFFICE EXPENSE</v>
      </c>
      <c r="C64" s="15"/>
      <c r="D64" s="3">
        <v>356.71</v>
      </c>
      <c r="E64" s="3">
        <v>1601.24</v>
      </c>
      <c r="F64" s="3">
        <v>18.71</v>
      </c>
      <c r="G64" s="3">
        <v>13295.88</v>
      </c>
      <c r="H64" s="3">
        <v>235.39</v>
      </c>
      <c r="I64" s="3">
        <v>30.62</v>
      </c>
      <c r="J64" s="3">
        <v>2523.12</v>
      </c>
      <c r="K64" s="3">
        <v>1513.07</v>
      </c>
      <c r="L64" s="3">
        <v>9992.36</v>
      </c>
      <c r="M64" s="3">
        <v>23.08</v>
      </c>
      <c r="N64" s="3"/>
      <c r="O64" s="3"/>
      <c r="P64" s="10"/>
      <c r="Q64" s="3">
        <f>SUM(OSRRefD21_11_1x)+IFERROR(SUM(OSRRefE21_11_1x),0)</f>
        <v>29590.18</v>
      </c>
    </row>
    <row r="65" spans="1:17" s="42" customFormat="1" ht="15" hidden="1" customHeight="1" outlineLevel="1" x14ac:dyDescent="0.3">
      <c r="A65" s="34"/>
      <c r="B65" s="11" t="str">
        <f>CONCATENATE("          ","6247"," - ","STORE SUPPLIES")</f>
        <v xml:space="preserve">          6247 - STORE SUPPLIES</v>
      </c>
      <c r="C65" s="15"/>
      <c r="D65" s="3"/>
      <c r="E65" s="3"/>
      <c r="F65" s="3"/>
      <c r="G65" s="3">
        <v>16.54</v>
      </c>
      <c r="H65" s="3"/>
      <c r="I65" s="3"/>
      <c r="J65" s="3"/>
      <c r="K65" s="3"/>
      <c r="L65" s="3">
        <v>8.81</v>
      </c>
      <c r="M65" s="3"/>
      <c r="N65" s="3"/>
      <c r="O65" s="3"/>
      <c r="P65" s="10"/>
      <c r="Q65" s="3">
        <f>SUM(OSRRefD21_11_2x)+IFERROR(SUM(OSRRefE21_11_2x),0)</f>
        <v>25.35</v>
      </c>
    </row>
    <row r="66" spans="1:17" s="42" customFormat="1" ht="15" customHeight="1" collapsed="1" x14ac:dyDescent="0.3">
      <c r="A66" s="34"/>
      <c r="B66" s="15" t="str">
        <f>CONCATENATE("     ","Telephone/Data Lines                              ")</f>
        <v xml:space="preserve">     Telephone/Data Lines                              </v>
      </c>
      <c r="C66" s="15"/>
      <c r="D66" s="2">
        <f>SUM(OSRRefD21_12x_0)</f>
        <v>-250.25</v>
      </c>
      <c r="E66" s="2">
        <f>SUM(OSRRefD21_12x_1)</f>
        <v>86.95</v>
      </c>
      <c r="F66" s="2">
        <f>SUM(OSRRefD21_12x_2)</f>
        <v>0</v>
      </c>
      <c r="G66" s="2">
        <f>SUM(OSRRefD21_12x_3)</f>
        <v>87.3</v>
      </c>
      <c r="H66" s="2">
        <f>SUM(OSRRefD21_12x_4)</f>
        <v>90.85</v>
      </c>
      <c r="I66" s="2">
        <f>SUM(OSRRefD21_12x_5)</f>
        <v>90.15</v>
      </c>
      <c r="J66" s="2">
        <f>SUM(OSRRefD21_12x_6)</f>
        <v>88</v>
      </c>
      <c r="K66" s="2">
        <f>SUM(OSRRefD21_12x_7)</f>
        <v>87.2</v>
      </c>
      <c r="L66" s="2">
        <f>SUM(OSRRefD21_12x_8)</f>
        <v>87.05</v>
      </c>
      <c r="M66" s="2">
        <f>SUM(OSRRefD21_12x_9)</f>
        <v>56.44</v>
      </c>
      <c r="N66" s="2">
        <f>SUM(OSRRefE21_12x_0)</f>
        <v>350</v>
      </c>
      <c r="O66" s="2">
        <f>SUM(OSRRefE21_12x_1)</f>
        <v>350</v>
      </c>
      <c r="Q66" s="3">
        <f>SUM(OSRRefD20_12x)+IFERROR(SUM(OSRRefE20_12x),0)</f>
        <v>1123.69</v>
      </c>
    </row>
    <row r="67" spans="1:17" s="42" customFormat="1" ht="15" hidden="1" customHeight="1" outlineLevel="1" x14ac:dyDescent="0.3">
      <c r="A67" s="34"/>
      <c r="B67" s="11" t="str">
        <f>CONCATENATE("          ","6309"," - ","TELEPHONE")</f>
        <v xml:space="preserve">          6309 - TELEPHONE</v>
      </c>
      <c r="C67" s="15"/>
      <c r="D67" s="3">
        <v>-250.25</v>
      </c>
      <c r="E67" s="3">
        <v>86.95</v>
      </c>
      <c r="F67" s="3">
        <v>0</v>
      </c>
      <c r="G67" s="3">
        <v>87.3</v>
      </c>
      <c r="H67" s="3">
        <v>90.85</v>
      </c>
      <c r="I67" s="3">
        <v>90.15</v>
      </c>
      <c r="J67" s="3">
        <v>88</v>
      </c>
      <c r="K67" s="3">
        <v>87.2</v>
      </c>
      <c r="L67" s="3">
        <v>87.05</v>
      </c>
      <c r="M67" s="3">
        <v>56.44</v>
      </c>
      <c r="N67" s="3">
        <v>350</v>
      </c>
      <c r="O67" s="3">
        <v>350</v>
      </c>
      <c r="P67" s="10"/>
      <c r="Q67" s="3">
        <f>SUM(OSRRefD21_12_0x)+IFERROR(SUM(OSRRefE21_12_0x),0)</f>
        <v>1123.69</v>
      </c>
    </row>
    <row r="68" spans="1:17" s="42" customFormat="1" ht="15" customHeight="1" collapsed="1" x14ac:dyDescent="0.3">
      <c r="A68" s="34"/>
      <c r="B68" s="15" t="str">
        <f>CONCATENATE("     ","Training                                          ")</f>
        <v xml:space="preserve">     Training                                          </v>
      </c>
      <c r="C68" s="15"/>
      <c r="D68" s="2">
        <f>SUM(OSRRefD21_13x_0)</f>
        <v>0</v>
      </c>
      <c r="E68" s="2">
        <f>SUM(OSRRefD21_13x_1)</f>
        <v>0</v>
      </c>
      <c r="F68" s="2">
        <f>SUM(OSRRefD21_13x_2)</f>
        <v>0</v>
      </c>
      <c r="G68" s="2">
        <f>SUM(OSRRefD21_13x_3)</f>
        <v>2000</v>
      </c>
      <c r="H68" s="2">
        <f>SUM(OSRRefD21_13x_4)</f>
        <v>0</v>
      </c>
      <c r="I68" s="2">
        <f>SUM(OSRRefD21_13x_5)</f>
        <v>0</v>
      </c>
      <c r="J68" s="2">
        <f>SUM(OSRRefD21_13x_6)</f>
        <v>0</v>
      </c>
      <c r="K68" s="2">
        <f>SUM(OSRRefD21_13x_7)</f>
        <v>0</v>
      </c>
      <c r="L68" s="2">
        <f>SUM(OSRRefD21_13x_8)</f>
        <v>0</v>
      </c>
      <c r="M68" s="2">
        <f>SUM(OSRRefD21_13x_9)</f>
        <v>0</v>
      </c>
      <c r="N68" s="2">
        <f>SUM(OSRRefE21_13x_0)</f>
        <v>0</v>
      </c>
      <c r="O68" s="2">
        <f>SUM(OSRRefE21_13x_1)</f>
        <v>0</v>
      </c>
      <c r="Q68" s="3">
        <f>SUM(OSRRefD20_13x)+IFERROR(SUM(OSRRefE20_13x),0)</f>
        <v>2000</v>
      </c>
    </row>
    <row r="69" spans="1:17" s="42" customFormat="1" ht="15" hidden="1" customHeight="1" outlineLevel="1" x14ac:dyDescent="0.3">
      <c r="A69" s="34"/>
      <c r="B69" s="11" t="str">
        <f>CONCATENATE("          ","6376"," - ","TRAINING")</f>
        <v xml:space="preserve">          6376 - TRAINING</v>
      </c>
      <c r="C69" s="15"/>
      <c r="D69" s="3"/>
      <c r="E69" s="3"/>
      <c r="F69" s="3"/>
      <c r="G69" s="3">
        <v>2000</v>
      </c>
      <c r="H69" s="3"/>
      <c r="I69" s="3"/>
      <c r="J69" s="3"/>
      <c r="K69" s="3"/>
      <c r="L69" s="3"/>
      <c r="M69" s="3"/>
      <c r="N69" s="3"/>
      <c r="O69" s="3"/>
      <c r="P69" s="10"/>
      <c r="Q69" s="3">
        <f>SUM(OSRRefD21_13_0x)+IFERROR(SUM(OSRRefE21_13_0x),0)</f>
        <v>2000</v>
      </c>
    </row>
    <row r="70" spans="1:17" s="40" customFormat="1" ht="15" customHeight="1" x14ac:dyDescent="0.3">
      <c r="A70" s="22"/>
      <c r="B70" s="22"/>
      <c r="C70" s="2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Q70" s="2"/>
    </row>
    <row r="71" spans="1:17" s="39" customFormat="1" ht="15" customHeight="1" x14ac:dyDescent="0.3">
      <c r="A71" s="24"/>
      <c r="B71" s="17" t="s">
        <v>287</v>
      </c>
      <c r="C71" s="23"/>
      <c r="D71" s="4">
        <f>--108.16</f>
        <v>108.16</v>
      </c>
      <c r="E71" s="4">
        <f>--1456.68</f>
        <v>1456.68</v>
      </c>
      <c r="F71" s="4">
        <f>--1163.73</f>
        <v>1163.73</v>
      </c>
      <c r="G71" s="4">
        <f>--1668.3</f>
        <v>1668.3</v>
      </c>
      <c r="H71" s="4">
        <f>--620.46</f>
        <v>620.46</v>
      </c>
      <c r="I71" s="4">
        <f>--713.07</f>
        <v>713.07</v>
      </c>
      <c r="J71" s="4">
        <f>--508.14</f>
        <v>508.14</v>
      </c>
      <c r="K71" s="4">
        <f>--1802.51</f>
        <v>1802.51</v>
      </c>
      <c r="L71" s="4">
        <f>--1533.83</f>
        <v>1533.83</v>
      </c>
      <c r="M71" s="4">
        <f>--1642</f>
        <v>1642</v>
      </c>
      <c r="N71" s="4">
        <v>2400</v>
      </c>
      <c r="O71" s="4">
        <v>2400</v>
      </c>
      <c r="Q71" s="3">
        <f>SUM(OSRRefD23_0x)+IFERROR(SUM(OSRRefE23_0x),0)</f>
        <v>16016.880000000001</v>
      </c>
    </row>
    <row r="72" spans="1:17" ht="15" customHeight="1" x14ac:dyDescent="0.3">
      <c r="A72" s="6"/>
      <c r="B72" s="7"/>
      <c r="C72" s="7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Q72" s="4"/>
    </row>
    <row r="73" spans="1:17" s="37" customFormat="1" ht="15" customHeight="1" x14ac:dyDescent="0.3">
      <c r="A73" s="7"/>
      <c r="B73" s="18" t="s">
        <v>288</v>
      </c>
      <c r="C73" s="18"/>
      <c r="D73" s="9">
        <f t="shared" ref="D73:O73" si="3">IFERROR(+D15-D18+D71,0)</f>
        <v>0.14000000001047397</v>
      </c>
      <c r="E73" s="9">
        <f t="shared" si="3"/>
        <v>67291.799999999988</v>
      </c>
      <c r="F73" s="9">
        <f t="shared" si="3"/>
        <v>-0.16000000000303771</v>
      </c>
      <c r="G73" s="9">
        <f t="shared" si="3"/>
        <v>-432.76000000000499</v>
      </c>
      <c r="H73" s="9">
        <f t="shared" si="3"/>
        <v>0.33000000000265572</v>
      </c>
      <c r="I73" s="9">
        <f t="shared" si="3"/>
        <v>-30657.85</v>
      </c>
      <c r="J73" s="9">
        <f t="shared" si="3"/>
        <v>-1348.27</v>
      </c>
      <c r="K73" s="9">
        <f t="shared" si="3"/>
        <v>6399.9599999999973</v>
      </c>
      <c r="L73" s="9">
        <f t="shared" si="3"/>
        <v>1998.0300000000007</v>
      </c>
      <c r="M73" s="9">
        <f t="shared" si="3"/>
        <v>1433.0499999999993</v>
      </c>
      <c r="N73" s="9">
        <f t="shared" si="3"/>
        <v>3514.6434708223096</v>
      </c>
      <c r="O73" s="9">
        <f t="shared" si="3"/>
        <v>10348.623430822314</v>
      </c>
      <c r="Q73" s="9">
        <f>IFERROR(+Q15-Q18+Q71,0)</f>
        <v>58547.536901644606</v>
      </c>
    </row>
    <row r="74" spans="1:17" s="38" customFormat="1" ht="15" customHeight="1" x14ac:dyDescent="0.3">
      <c r="B74" s="17"/>
      <c r="C74" s="17"/>
      <c r="D74" s="5">
        <f t="shared" ref="D74:O74" si="4">IFERROR(D73/D10,0)</f>
        <v>9.6117538025110001E-7</v>
      </c>
      <c r="E74" s="5">
        <f t="shared" si="4"/>
        <v>0.74605363814761005</v>
      </c>
      <c r="F74" s="5">
        <f t="shared" si="4"/>
        <v>-9.1858996442207897E-6</v>
      </c>
      <c r="G74" s="5">
        <f t="shared" si="4"/>
        <v>-1.2337429084585483E-2</v>
      </c>
      <c r="H74" s="5">
        <f t="shared" si="4"/>
        <v>2.0374143360045425E-5</v>
      </c>
      <c r="I74" s="5">
        <f t="shared" si="4"/>
        <v>2.0444018404907975</v>
      </c>
      <c r="J74" s="5">
        <f t="shared" si="4"/>
        <v>-6.0993892784437911E-2</v>
      </c>
      <c r="K74" s="5">
        <f t="shared" si="4"/>
        <v>0.18366939302625906</v>
      </c>
      <c r="L74" s="5">
        <f t="shared" si="4"/>
        <v>7.1596015336653912E-2</v>
      </c>
      <c r="M74" s="5">
        <f t="shared" si="4"/>
        <v>5.7168787649100383E-2</v>
      </c>
      <c r="N74" s="5">
        <f t="shared" si="4"/>
        <v>0.10221443858724182</v>
      </c>
      <c r="O74" s="5">
        <f t="shared" si="4"/>
        <v>0.26025106706624873</v>
      </c>
      <c r="P74" s="19"/>
      <c r="Q74" s="5">
        <f>IFERROR(Q73/Q10,0)</f>
        <v>0.12361685166334391</v>
      </c>
    </row>
    <row r="75" spans="1:17" ht="15" customHeight="1" x14ac:dyDescent="0.3">
      <c r="A75" s="6"/>
      <c r="B75" s="7"/>
      <c r="C75" s="6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Q75" s="4"/>
    </row>
    <row r="76" spans="1:17" s="37" customFormat="1" ht="15" customHeight="1" x14ac:dyDescent="0.3">
      <c r="A76" s="26"/>
      <c r="B76" s="7" t="s">
        <v>289</v>
      </c>
      <c r="C76" s="7"/>
      <c r="D76" s="4">
        <v>67292.009999999995</v>
      </c>
      <c r="E76" s="4">
        <v>-32047.93</v>
      </c>
      <c r="F76" s="4">
        <v>-3895.43</v>
      </c>
      <c r="G76" s="4">
        <v>1981.88</v>
      </c>
      <c r="H76" s="4">
        <v>2944.24</v>
      </c>
      <c r="I76" s="4">
        <v>-1421.65</v>
      </c>
      <c r="J76" s="4">
        <v>6399.57</v>
      </c>
      <c r="K76" s="4">
        <v>1998.13</v>
      </c>
      <c r="L76" s="4">
        <v>1433.5</v>
      </c>
      <c r="M76" s="4">
        <v>569.41999999999996</v>
      </c>
      <c r="N76" s="4">
        <v>4760</v>
      </c>
      <c r="O76" s="4">
        <v>-1401</v>
      </c>
      <c r="Q76" s="3">
        <f>SUM(OSRRefD28_0x)+IFERROR(SUM(OSRRefE28_0x),0)</f>
        <v>48612.739999999983</v>
      </c>
    </row>
    <row r="77" spans="1:17" ht="15" customHeight="1" x14ac:dyDescent="0.3">
      <c r="A77" s="6"/>
      <c r="B77" s="7"/>
      <c r="C77" s="7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Q77" s="4"/>
    </row>
    <row r="78" spans="1:17" s="37" customFormat="1" ht="15.75" customHeight="1" x14ac:dyDescent="0.3">
      <c r="A78" s="7"/>
      <c r="B78" s="18" t="s">
        <v>290</v>
      </c>
      <c r="C78" s="18"/>
      <c r="D78" s="8">
        <f t="shared" ref="D78:O78" si="5">IFERROR(+D73-D76,0)</f>
        <v>-67291.869999999981</v>
      </c>
      <c r="E78" s="8">
        <f t="shared" si="5"/>
        <v>99339.729999999981</v>
      </c>
      <c r="F78" s="8">
        <f t="shared" si="5"/>
        <v>3895.2699999999968</v>
      </c>
      <c r="G78" s="8">
        <f t="shared" si="5"/>
        <v>-2414.6400000000049</v>
      </c>
      <c r="H78" s="8">
        <f t="shared" si="5"/>
        <v>-2943.9099999999971</v>
      </c>
      <c r="I78" s="8">
        <f t="shared" si="5"/>
        <v>-29236.199999999997</v>
      </c>
      <c r="J78" s="8">
        <f t="shared" si="5"/>
        <v>-7747.84</v>
      </c>
      <c r="K78" s="8">
        <f t="shared" si="5"/>
        <v>4401.8299999999972</v>
      </c>
      <c r="L78" s="8">
        <f t="shared" si="5"/>
        <v>564.53000000000065</v>
      </c>
      <c r="M78" s="8">
        <f t="shared" si="5"/>
        <v>863.62999999999931</v>
      </c>
      <c r="N78" s="8">
        <f t="shared" si="5"/>
        <v>-1245.3565291776904</v>
      </c>
      <c r="O78" s="8">
        <f t="shared" si="5"/>
        <v>11749.623430822314</v>
      </c>
      <c r="Q78" s="8">
        <f>IFERROR(+Q73-Q76,0)</f>
        <v>9934.7969016446223</v>
      </c>
    </row>
    <row r="79" spans="1:17" ht="15.75" customHeight="1" x14ac:dyDescent="0.3">
      <c r="A79" s="6"/>
      <c r="B79" s="6"/>
      <c r="C79" s="6"/>
      <c r="D79" s="5">
        <f t="shared" ref="D79:O79" si="6">IFERROR(D78/D10,0)</f>
        <v>-0.4619949195015618</v>
      </c>
      <c r="E79" s="5">
        <f t="shared" si="6"/>
        <v>1.1013640143242012</v>
      </c>
      <c r="F79" s="5">
        <f t="shared" si="6"/>
        <v>0.22363474566540342</v>
      </c>
      <c r="G79" s="5">
        <f t="shared" si="6"/>
        <v>-6.8838270091513096E-2</v>
      </c>
      <c r="H79" s="5">
        <f t="shared" si="6"/>
        <v>-0.18175649811693506</v>
      </c>
      <c r="I79" s="5">
        <f t="shared" si="6"/>
        <v>1.949599893304881</v>
      </c>
      <c r="J79" s="5">
        <f t="shared" si="6"/>
        <v>-0.35050169644876727</v>
      </c>
      <c r="K79" s="5">
        <f t="shared" si="6"/>
        <v>0.12632601521021658</v>
      </c>
      <c r="L79" s="5">
        <f t="shared" si="6"/>
        <v>2.0228974809187682E-2</v>
      </c>
      <c r="M79" s="5">
        <f t="shared" si="6"/>
        <v>3.4452866318267016E-2</v>
      </c>
      <c r="N79" s="5">
        <f t="shared" si="6"/>
        <v>-3.6218017425554465E-2</v>
      </c>
      <c r="O79" s="5">
        <f t="shared" si="6"/>
        <v>0.29548394102259112</v>
      </c>
      <c r="P79" s="19"/>
      <c r="Q79" s="5">
        <f>IFERROR(Q78/Q10,0)</f>
        <v>2.0976259290961807E-2</v>
      </c>
    </row>
    <row r="80" spans="1:17" ht="15" customHeight="1" x14ac:dyDescent="0.3">
      <c r="A80" s="6"/>
      <c r="B80" s="6"/>
      <c r="C80" s="6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Q80" s="4"/>
    </row>
    <row r="81" spans="1:17" ht="15" customHeight="1" x14ac:dyDescent="0.3">
      <c r="A81" s="6"/>
      <c r="B81" s="6"/>
      <c r="C81" s="6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Q81" s="4"/>
    </row>
    <row r="82" spans="1:17" s="37" customFormat="1" ht="15.75" customHeight="1" x14ac:dyDescent="0.3">
      <c r="A82" s="7"/>
      <c r="B82" s="18" t="s">
        <v>293</v>
      </c>
      <c r="C82" s="18"/>
      <c r="D82" s="8">
        <f t="shared" ref="D82:O82" si="7">IFERROR(SUM(D78:D81),0)</f>
        <v>-67292.331994919485</v>
      </c>
      <c r="E82" s="8">
        <f t="shared" si="7"/>
        <v>99340.831364014302</v>
      </c>
      <c r="F82" s="8">
        <f t="shared" si="7"/>
        <v>3895.4936347456623</v>
      </c>
      <c r="G82" s="8">
        <f t="shared" si="7"/>
        <v>-2414.7088382700963</v>
      </c>
      <c r="H82" s="8">
        <f t="shared" si="7"/>
        <v>-2944.0917564981141</v>
      </c>
      <c r="I82" s="8">
        <f t="shared" si="7"/>
        <v>-29234.250400106692</v>
      </c>
      <c r="J82" s="8">
        <f t="shared" si="7"/>
        <v>-7748.1905016964492</v>
      </c>
      <c r="K82" s="8">
        <f t="shared" si="7"/>
        <v>4401.9563260152072</v>
      </c>
      <c r="L82" s="8">
        <f t="shared" si="7"/>
        <v>564.5502289748099</v>
      </c>
      <c r="M82" s="8">
        <f t="shared" si="7"/>
        <v>863.66445286631756</v>
      </c>
      <c r="N82" s="8">
        <f t="shared" si="7"/>
        <v>-1245.392747195116</v>
      </c>
      <c r="O82" s="8">
        <f t="shared" si="7"/>
        <v>11749.918914763337</v>
      </c>
      <c r="Q82" s="8">
        <f>IFERROR(SUM(Q78:Q81),0)</f>
        <v>9934.8178779039135</v>
      </c>
    </row>
    <row r="83" spans="1:17" ht="15.75" customHeight="1" x14ac:dyDescent="0.3">
      <c r="A83" s="6"/>
      <c r="C83" s="6"/>
      <c r="D83" s="5">
        <f t="shared" ref="D83:O83" si="8">IFERROR(D82/D10,0)</f>
        <v>-0.46199809134543601</v>
      </c>
      <c r="E83" s="5">
        <f t="shared" si="8"/>
        <v>1.1013762249743817</v>
      </c>
      <c r="F83" s="5">
        <f t="shared" si="8"/>
        <v>0.2236475849549697</v>
      </c>
      <c r="G83" s="5">
        <f t="shared" si="8"/>
        <v>-6.8840232581751468E-2</v>
      </c>
      <c r="H83" s="5">
        <f t="shared" si="8"/>
        <v>-0.1817677197319327</v>
      </c>
      <c r="I83" s="5">
        <f t="shared" si="8"/>
        <v>1.949469885309862</v>
      </c>
      <c r="J83" s="5">
        <f t="shared" si="8"/>
        <v>-0.35051755266665685</v>
      </c>
      <c r="K83" s="5">
        <f t="shared" si="8"/>
        <v>0.12632964058014656</v>
      </c>
      <c r="L83" s="5">
        <f t="shared" si="8"/>
        <v>2.0229699680180954E-2</v>
      </c>
      <c r="M83" s="5">
        <f t="shared" si="8"/>
        <v>3.4454240749444191E-2</v>
      </c>
      <c r="N83" s="5">
        <f t="shared" si="8"/>
        <v>-3.6219070734189791E-2</v>
      </c>
      <c r="O83" s="5">
        <f t="shared" si="8"/>
        <v>0.29549137196366909</v>
      </c>
      <c r="P83" s="19"/>
      <c r="Q83" s="5">
        <f>IFERROR(Q82/Q10,0)</f>
        <v>2.0976303580086005E-2</v>
      </c>
    </row>
    <row r="84" spans="1:17" ht="15" customHeight="1" x14ac:dyDescent="0.3">
      <c r="A84" s="6"/>
      <c r="B84" s="33">
        <v>44694.892852083336</v>
      </c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Q84" s="14"/>
    </row>
    <row r="85" spans="1:17" ht="15" customHeight="1" x14ac:dyDescent="0.3">
      <c r="A85" s="6"/>
      <c r="B85" s="31" t="s">
        <v>294</v>
      </c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Q85" s="14"/>
    </row>
    <row r="86" spans="1:17" ht="15" customHeight="1" x14ac:dyDescent="0.3">
      <c r="A86" s="6"/>
      <c r="B86" s="27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</row>
    <row r="87" spans="1:17" ht="15" customHeight="1" x14ac:dyDescent="0.3"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Q87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7C74D-5631-4EE4-C0AA-741B0C6CF2EF}">
  <sheetPr>
    <tabColor rgb="FF92D050"/>
    <outlinePr summaryBelow="0" summaryRight="0"/>
    <pageSetUpPr fitToPage="1"/>
  </sheetPr>
  <dimension ref="A2:R87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15" width="15" style="41" customWidth="1"/>
    <col min="16" max="16" width="1.88671875" style="41" customWidth="1"/>
    <col min="17" max="17" width="15" style="41" customWidth="1"/>
  </cols>
  <sheetData>
    <row r="2" spans="1:18" ht="15" customHeight="1" x14ac:dyDescent="0.3">
      <c r="B2" s="32" t="s">
        <v>276</v>
      </c>
    </row>
    <row r="3" spans="1:18" ht="15" customHeight="1" x14ac:dyDescent="0.3">
      <c r="B3" s="32" t="s">
        <v>297</v>
      </c>
    </row>
    <row r="4" spans="1:18" ht="15" customHeight="1" x14ac:dyDescent="0.3">
      <c r="B4" s="30" t="s">
        <v>278</v>
      </c>
    </row>
    <row r="5" spans="1:18" ht="15" customHeight="1" x14ac:dyDescent="0.3">
      <c r="A5" s="16"/>
      <c r="B5" s="16" t="str">
        <f>CONCATENATE("Department ","501"," - ","ID Card Services")</f>
        <v>Department 501 - ID Card Services</v>
      </c>
    </row>
    <row r="6" spans="1:18" ht="15" customHeight="1" x14ac:dyDescent="0.3">
      <c r="B6" s="6"/>
      <c r="C6" s="6"/>
    </row>
    <row r="7" spans="1:18" ht="15" customHeight="1" x14ac:dyDescent="0.3">
      <c r="B7" s="6"/>
      <c r="C7" s="6"/>
      <c r="D7" s="13" t="s">
        <v>280</v>
      </c>
      <c r="E7" s="13" t="s">
        <v>280</v>
      </c>
      <c r="F7" s="13" t="s">
        <v>280</v>
      </c>
      <c r="G7" s="13" t="s">
        <v>280</v>
      </c>
      <c r="H7" s="13" t="s">
        <v>280</v>
      </c>
      <c r="I7" s="13" t="s">
        <v>280</v>
      </c>
      <c r="J7" s="13" t="s">
        <v>280</v>
      </c>
      <c r="K7" s="13" t="s">
        <v>280</v>
      </c>
      <c r="L7" s="13" t="s">
        <v>280</v>
      </c>
      <c r="M7" s="13" t="s">
        <v>280</v>
      </c>
      <c r="N7" s="13" t="s">
        <v>281</v>
      </c>
      <c r="O7" s="13" t="s">
        <v>281</v>
      </c>
    </row>
    <row r="8" spans="1:18" ht="15" customHeight="1" x14ac:dyDescent="0.3">
      <c r="A8" s="7"/>
      <c r="B8" s="28"/>
      <c r="C8" s="7"/>
      <c r="D8" s="13" t="str">
        <f>CONCATENATE("Period ",1)</f>
        <v>Period 1</v>
      </c>
      <c r="E8" s="13" t="str">
        <f>CONCATENATE("Period ",2)</f>
        <v>Period 2</v>
      </c>
      <c r="F8" s="13" t="str">
        <f>CONCATENATE("Period ",3)</f>
        <v>Period 3</v>
      </c>
      <c r="G8" s="13" t="str">
        <f>CONCATENATE("Period ",4)</f>
        <v>Period 4</v>
      </c>
      <c r="H8" s="13" t="str">
        <f>CONCATENATE("Period ",5)</f>
        <v>Period 5</v>
      </c>
      <c r="I8" s="13" t="str">
        <f>CONCATENATE("Period ",6)</f>
        <v>Period 6</v>
      </c>
      <c r="J8" s="13" t="str">
        <f>CONCATENATE("Period ",7)</f>
        <v>Period 7</v>
      </c>
      <c r="K8" s="13" t="str">
        <f>CONCATENATE("Period ",8)</f>
        <v>Period 8</v>
      </c>
      <c r="L8" s="13" t="str">
        <f>CONCATENATE("Period ",9)</f>
        <v>Period 9</v>
      </c>
      <c r="M8" s="13" t="str">
        <f>CONCATENATE("Period ",10)</f>
        <v>Period 10</v>
      </c>
      <c r="N8" s="13" t="str">
        <f>CONCATENATE("Period ",11)</f>
        <v>Period 11</v>
      </c>
      <c r="O8" s="13" t="str">
        <f>CONCATENATE("Period ",12)</f>
        <v>Period 12</v>
      </c>
      <c r="Q8" s="13" t="s">
        <v>282</v>
      </c>
    </row>
    <row r="9" spans="1:18" ht="15.75" customHeight="1" x14ac:dyDescent="0.3">
      <c r="A9" s="6"/>
      <c r="B9" s="2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Q9" s="6"/>
    </row>
    <row r="10" spans="1:18" ht="15" customHeight="1" collapsed="1" x14ac:dyDescent="0.3">
      <c r="A10" s="6"/>
      <c r="B10" s="17" t="s">
        <v>283</v>
      </c>
      <c r="C10" s="6"/>
      <c r="D10" s="4">
        <f>SUM(OSRRefD11x_0)</f>
        <v>145655</v>
      </c>
      <c r="E10" s="4">
        <f>SUM(OSRRefD11x_1)</f>
        <v>90197</v>
      </c>
      <c r="F10" s="4">
        <f>SUM(OSRRefD11x_2)</f>
        <v>17418</v>
      </c>
      <c r="G10" s="4">
        <f>SUM(OSRRefD11x_3)</f>
        <v>35077</v>
      </c>
      <c r="H10" s="4">
        <f>SUM(OSRRefD11x_4)</f>
        <v>16197</v>
      </c>
      <c r="I10" s="4">
        <f>SUM(OSRRefD11x_5)</f>
        <v>-14996</v>
      </c>
      <c r="J10" s="4">
        <f>SUM(OSRRefD11x_6)</f>
        <v>22105</v>
      </c>
      <c r="K10" s="4">
        <f>SUM(OSRRefD11x_7)</f>
        <v>34845</v>
      </c>
      <c r="L10" s="4">
        <f>SUM(OSRRefD11x_8)</f>
        <v>27907</v>
      </c>
      <c r="M10" s="4">
        <f>SUM(OSRRefD11x_9)</f>
        <v>25067</v>
      </c>
      <c r="N10" s="4">
        <f>SUM(OSRRefE11x_0)</f>
        <v>34385</v>
      </c>
      <c r="O10" s="4">
        <f>SUM(OSRRefE11x_1)</f>
        <v>39764</v>
      </c>
      <c r="P10" s="25"/>
      <c r="Q10" s="4">
        <f>SUM(OSRRefG11x)</f>
        <v>473621</v>
      </c>
      <c r="R10" s="25"/>
    </row>
    <row r="11" spans="1:18" s="39" customFormat="1" ht="15" hidden="1" customHeight="1" outlineLevel="1" x14ac:dyDescent="0.3">
      <c r="A11" s="24"/>
      <c r="B11" s="11" t="str">
        <f>CONCATENATE("          ","4100"," - ","NON-TAXABLE SALES")</f>
        <v xml:space="preserve">          4100 - NON-TAXABLE SALES</v>
      </c>
      <c r="C11" s="23"/>
      <c r="D11" s="3">
        <f>--145655</f>
        <v>145655</v>
      </c>
      <c r="E11" s="3">
        <f>--90197</f>
        <v>90197</v>
      </c>
      <c r="F11" s="3">
        <f>--17418</f>
        <v>17418</v>
      </c>
      <c r="G11" s="3">
        <f>--35077</f>
        <v>35077</v>
      </c>
      <c r="H11" s="3">
        <f>--16197</f>
        <v>16197</v>
      </c>
      <c r="I11" s="3">
        <f>-14996</f>
        <v>-14996</v>
      </c>
      <c r="J11" s="3">
        <f>--22105</f>
        <v>22105</v>
      </c>
      <c r="K11" s="3">
        <f>--34845</f>
        <v>34845</v>
      </c>
      <c r="L11" s="3">
        <f>--27907</f>
        <v>27907</v>
      </c>
      <c r="M11" s="3">
        <f>--25067</f>
        <v>25067</v>
      </c>
      <c r="N11" s="3">
        <v>34385</v>
      </c>
      <c r="O11" s="3">
        <v>39764</v>
      </c>
      <c r="Q11" s="3">
        <f>SUM(OSRRefD11_0x)+IFERROR(SUM(OSRRefE11_0x),0)</f>
        <v>473621</v>
      </c>
    </row>
    <row r="12" spans="1:18" ht="15" customHeight="1" x14ac:dyDescent="0.3">
      <c r="A12" s="6"/>
      <c r="B12" s="7"/>
      <c r="C12" s="6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Q12" s="4"/>
    </row>
    <row r="13" spans="1:18" s="39" customFormat="1" ht="15" customHeight="1" x14ac:dyDescent="0.3">
      <c r="A13" s="24"/>
      <c r="B13" s="17" t="s">
        <v>284</v>
      </c>
      <c r="C13" s="23"/>
      <c r="D13" s="4">
        <f t="shared" ref="D13:O13" si="0">SUM(0)</f>
        <v>0</v>
      </c>
      <c r="E13" s="4">
        <f t="shared" si="0"/>
        <v>0</v>
      </c>
      <c r="F13" s="4">
        <f t="shared" si="0"/>
        <v>0</v>
      </c>
      <c r="G13" s="4">
        <f t="shared" si="0"/>
        <v>0</v>
      </c>
      <c r="H13" s="4">
        <f t="shared" si="0"/>
        <v>0</v>
      </c>
      <c r="I13" s="4">
        <f t="shared" si="0"/>
        <v>0</v>
      </c>
      <c r="J13" s="4">
        <f t="shared" si="0"/>
        <v>0</v>
      </c>
      <c r="K13" s="4">
        <f t="shared" si="0"/>
        <v>0</v>
      </c>
      <c r="L13" s="4">
        <f t="shared" si="0"/>
        <v>0</v>
      </c>
      <c r="M13" s="4">
        <f t="shared" si="0"/>
        <v>0</v>
      </c>
      <c r="N13" s="4">
        <f t="shared" si="0"/>
        <v>0</v>
      </c>
      <c r="O13" s="4">
        <f t="shared" si="0"/>
        <v>0</v>
      </c>
      <c r="Q13" s="4">
        <f>SUM(0)</f>
        <v>0</v>
      </c>
    </row>
    <row r="14" spans="1:18" ht="15" customHeight="1" x14ac:dyDescent="0.3">
      <c r="A14" s="6"/>
      <c r="B14" s="7"/>
      <c r="C14" s="7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Q14" s="4"/>
    </row>
    <row r="15" spans="1:18" s="37" customFormat="1" ht="15" customHeight="1" x14ac:dyDescent="0.3">
      <c r="A15" s="7"/>
      <c r="B15" s="18" t="s">
        <v>285</v>
      </c>
      <c r="C15" s="18"/>
      <c r="D15" s="9">
        <f t="shared" ref="D15:O15" si="1">IFERROR(+D10-D13,0)</f>
        <v>145655</v>
      </c>
      <c r="E15" s="9">
        <f t="shared" si="1"/>
        <v>90197</v>
      </c>
      <c r="F15" s="9">
        <f t="shared" si="1"/>
        <v>17418</v>
      </c>
      <c r="G15" s="9">
        <f t="shared" si="1"/>
        <v>35077</v>
      </c>
      <c r="H15" s="9">
        <f t="shared" si="1"/>
        <v>16197</v>
      </c>
      <c r="I15" s="9">
        <f t="shared" si="1"/>
        <v>-14996</v>
      </c>
      <c r="J15" s="9">
        <f t="shared" si="1"/>
        <v>22105</v>
      </c>
      <c r="K15" s="9">
        <f t="shared" si="1"/>
        <v>34845</v>
      </c>
      <c r="L15" s="9">
        <f t="shared" si="1"/>
        <v>27907</v>
      </c>
      <c r="M15" s="9">
        <f t="shared" si="1"/>
        <v>25067</v>
      </c>
      <c r="N15" s="9">
        <f t="shared" si="1"/>
        <v>34385</v>
      </c>
      <c r="O15" s="9">
        <f t="shared" si="1"/>
        <v>39764</v>
      </c>
      <c r="Q15" s="9">
        <f>IFERROR(+Q10-Q13,0)</f>
        <v>473621</v>
      </c>
    </row>
    <row r="16" spans="1:18" s="38" customFormat="1" ht="15" customHeight="1" x14ac:dyDescent="0.3">
      <c r="B16" s="17"/>
      <c r="C16" s="17"/>
      <c r="D16" s="5">
        <f t="shared" ref="D16:O16" si="2">IFERROR(D15/D10,0)</f>
        <v>1</v>
      </c>
      <c r="E16" s="5">
        <f t="shared" si="2"/>
        <v>1</v>
      </c>
      <c r="F16" s="5">
        <f t="shared" si="2"/>
        <v>1</v>
      </c>
      <c r="G16" s="5">
        <f t="shared" si="2"/>
        <v>1</v>
      </c>
      <c r="H16" s="5">
        <f t="shared" si="2"/>
        <v>1</v>
      </c>
      <c r="I16" s="5">
        <f t="shared" si="2"/>
        <v>1</v>
      </c>
      <c r="J16" s="5">
        <f t="shared" si="2"/>
        <v>1</v>
      </c>
      <c r="K16" s="5">
        <f t="shared" si="2"/>
        <v>1</v>
      </c>
      <c r="L16" s="5">
        <f t="shared" si="2"/>
        <v>1</v>
      </c>
      <c r="M16" s="5">
        <f t="shared" si="2"/>
        <v>1</v>
      </c>
      <c r="N16" s="5">
        <f t="shared" si="2"/>
        <v>1</v>
      </c>
      <c r="O16" s="5">
        <f t="shared" si="2"/>
        <v>1</v>
      </c>
      <c r="P16" s="19"/>
      <c r="Q16" s="5">
        <f>IFERROR(Q15/Q10,0)</f>
        <v>1</v>
      </c>
    </row>
    <row r="17" spans="1:17" ht="15" customHeight="1" x14ac:dyDescent="0.3">
      <c r="A17" s="6"/>
      <c r="B17" s="7"/>
      <c r="C17" s="6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Q17" s="2"/>
    </row>
    <row r="18" spans="1:17" s="37" customFormat="1" ht="15" customHeight="1" x14ac:dyDescent="0.3">
      <c r="A18" s="7"/>
      <c r="B18" s="17" t="s">
        <v>286</v>
      </c>
      <c r="C18" s="7"/>
      <c r="D18" s="12" cm="1">
        <f t="array" ref="D18">SUM(OSRRefD20x_0)</f>
        <v>145763.01999999999</v>
      </c>
      <c r="E18" s="12" cm="1">
        <f t="array" ref="E18">SUM(OSRRefD20x_1)</f>
        <v>24361.88</v>
      </c>
      <c r="F18" s="12" cm="1">
        <f t="array" ref="F18">SUM(OSRRefD20x_2)</f>
        <v>18581.890000000003</v>
      </c>
      <c r="G18" s="12" cm="1">
        <f t="array" ref="G18">SUM(OSRRefD20x_3)</f>
        <v>37178.060000000005</v>
      </c>
      <c r="H18" s="12" cm="1">
        <f t="array" ref="H18">SUM(OSRRefD20x_4)</f>
        <v>16817.129999999997</v>
      </c>
      <c r="I18" s="12" cm="1">
        <f t="array" ref="I18">SUM(OSRRefD20x_5)</f>
        <v>16374.92</v>
      </c>
      <c r="J18" s="12" cm="1">
        <f t="array" ref="J18">SUM(OSRRefD20x_6)</f>
        <v>23961.41</v>
      </c>
      <c r="K18" s="12" cm="1">
        <f t="array" ref="K18">SUM(OSRRefD20x_7)</f>
        <v>30247.550000000003</v>
      </c>
      <c r="L18" s="12" cm="1">
        <f t="array" ref="L18">SUM(OSRRefD20x_8)</f>
        <v>27442.799999999999</v>
      </c>
      <c r="M18" s="12" cm="1">
        <f t="array" ref="M18">SUM(OSRRefD20x_9)</f>
        <v>25275.95</v>
      </c>
      <c r="N18" s="12" cm="1">
        <f t="array" ref="N18">SUM(OSRRefE20x_0)</f>
        <v>33270.35652917769</v>
      </c>
      <c r="O18" s="12" cm="1">
        <f t="array" ref="O18">SUM(OSRRefE20x_1)</f>
        <v>31815.376569177686</v>
      </c>
      <c r="Q18" s="12" cm="1">
        <f t="array" ref="Q18">SUM(OSRRefG20x)</f>
        <v>431090.3430983554</v>
      </c>
    </row>
    <row r="19" spans="1:17" s="42" customFormat="1" ht="15" customHeight="1" collapsed="1" x14ac:dyDescent="0.3">
      <c r="A19" s="34"/>
      <c r="B19" s="15" t="str">
        <f>CONCATENATE("     ","*Benefits                                         ")</f>
        <v xml:space="preserve">     *Benefits                                         </v>
      </c>
      <c r="C19" s="15"/>
      <c r="D19" s="2">
        <f>SUM(OSRRefD21_0x_0)</f>
        <v>3801.83</v>
      </c>
      <c r="E19" s="2">
        <f>SUM(OSRRefD21_0x_1)</f>
        <v>3864.37</v>
      </c>
      <c r="F19" s="2">
        <f>SUM(OSRRefD21_0x_2)</f>
        <v>3562.0199999999995</v>
      </c>
      <c r="G19" s="2">
        <f>SUM(OSRRefD21_0x_3)</f>
        <v>4997.1099999999997</v>
      </c>
      <c r="H19" s="2">
        <f>SUM(OSRRefD21_0x_4)</f>
        <v>3647.92</v>
      </c>
      <c r="I19" s="2">
        <f>SUM(OSRRefD21_0x_5)</f>
        <v>3619.5699999999997</v>
      </c>
      <c r="J19" s="2">
        <f>SUM(OSRRefD21_0x_6)</f>
        <v>4516.5</v>
      </c>
      <c r="K19" s="2">
        <f>SUM(OSRRefD21_0x_7)</f>
        <v>5605.2200000000012</v>
      </c>
      <c r="L19" s="2">
        <f>SUM(OSRRefD21_0x_8)</f>
        <v>3508.48</v>
      </c>
      <c r="M19" s="2">
        <f>SUM(OSRRefD21_0x_9)</f>
        <v>5219.9399999999987</v>
      </c>
      <c r="N19" s="2">
        <f>SUM(OSRRefE21_0x_0)</f>
        <v>3294.3182868699996</v>
      </c>
      <c r="O19" s="2">
        <f>SUM(OSRRefE21_0x_1)</f>
        <v>3801.3383268699977</v>
      </c>
      <c r="Q19" s="3">
        <f>SUM(OSRRefD20_0x)+IFERROR(SUM(OSRRefE20_0x),0)</f>
        <v>49438.61661374</v>
      </c>
    </row>
    <row r="20" spans="1:17" s="42" customFormat="1" ht="15" hidden="1" customHeight="1" outlineLevel="1" x14ac:dyDescent="0.3">
      <c r="A20" s="34"/>
      <c r="B20" s="11" t="str">
        <f>CONCATENATE("          ","6111"," - ","F.I.C.A.")</f>
        <v xml:space="preserve">          6111 - F.I.C.A.</v>
      </c>
      <c r="C20" s="15"/>
      <c r="D20" s="3">
        <v>1188.3599999999999</v>
      </c>
      <c r="E20" s="3">
        <v>1214.71</v>
      </c>
      <c r="F20" s="3">
        <v>1050.3699999999999</v>
      </c>
      <c r="G20" s="3">
        <v>1435.84</v>
      </c>
      <c r="H20" s="3">
        <v>900.33</v>
      </c>
      <c r="I20" s="3">
        <v>909.69</v>
      </c>
      <c r="J20" s="3">
        <v>766.9</v>
      </c>
      <c r="K20" s="3">
        <v>912.86</v>
      </c>
      <c r="L20" s="3">
        <v>795.89</v>
      </c>
      <c r="M20" s="3">
        <v>1347.61</v>
      </c>
      <c r="N20" s="3">
        <v>673.19318387769204</v>
      </c>
      <c r="O20" s="3">
        <v>1273.80062387769</v>
      </c>
      <c r="P20" s="10"/>
      <c r="Q20" s="3">
        <f>SUM(OSRRefD21_0_0x)+IFERROR(SUM(OSRRefE21_0_0x),0)</f>
        <v>12469.553807755381</v>
      </c>
    </row>
    <row r="21" spans="1:17" s="42" customFormat="1" ht="15" hidden="1" customHeight="1" outlineLevel="1" x14ac:dyDescent="0.3">
      <c r="A21" s="34"/>
      <c r="B21" s="11" t="str">
        <f>CONCATENATE("          ","6112"," - ","COMPENSATION INSURANCE")</f>
        <v xml:space="preserve">          6112 - COMPENSATION INSURANCE</v>
      </c>
      <c r="C21" s="15"/>
      <c r="D21" s="3">
        <v>157.99</v>
      </c>
      <c r="E21" s="3">
        <v>180.15</v>
      </c>
      <c r="F21" s="3">
        <v>158.59</v>
      </c>
      <c r="G21" s="3">
        <v>242.24</v>
      </c>
      <c r="H21" s="3">
        <v>156.38</v>
      </c>
      <c r="I21" s="3">
        <v>137.25</v>
      </c>
      <c r="J21" s="3">
        <v>130.47999999999999</v>
      </c>
      <c r="K21" s="3">
        <v>174.33</v>
      </c>
      <c r="L21" s="3">
        <v>170.03</v>
      </c>
      <c r="M21" s="3">
        <v>190.88</v>
      </c>
      <c r="N21" s="3">
        <v>290.2607964</v>
      </c>
      <c r="O21" s="3">
        <v>259.65359640000003</v>
      </c>
      <c r="P21" s="10"/>
      <c r="Q21" s="3">
        <f>SUM(OSRRefD21_0_1x)+IFERROR(SUM(OSRRefE21_0_1x),0)</f>
        <v>2248.2343928</v>
      </c>
    </row>
    <row r="22" spans="1:17" s="42" customFormat="1" ht="15" hidden="1" customHeight="1" outlineLevel="1" x14ac:dyDescent="0.3">
      <c r="A22" s="34"/>
      <c r="B22" s="11" t="str">
        <f>CONCATENATE("          ","6113"," - ","GROUP INSURANCE")</f>
        <v xml:space="preserve">          6113 - GROUP INSURANCE</v>
      </c>
      <c r="C22" s="15"/>
      <c r="D22" s="3">
        <v>1054.3499999999999</v>
      </c>
      <c r="E22" s="3">
        <v>1054.3499999999999</v>
      </c>
      <c r="F22" s="3">
        <v>1054.3499999999999</v>
      </c>
      <c r="G22" s="3">
        <v>1054.3499999999999</v>
      </c>
      <c r="H22" s="3">
        <v>1054.3499999999999</v>
      </c>
      <c r="I22" s="3">
        <v>1054.3499999999999</v>
      </c>
      <c r="J22" s="3">
        <v>964.7</v>
      </c>
      <c r="K22" s="3">
        <v>964.7</v>
      </c>
      <c r="L22" s="3">
        <v>964.7</v>
      </c>
      <c r="M22" s="3">
        <v>964.7</v>
      </c>
      <c r="N22" s="3">
        <v>1022.5</v>
      </c>
      <c r="O22" s="3">
        <v>1022.5</v>
      </c>
      <c r="P22" s="10"/>
      <c r="Q22" s="3">
        <f>SUM(OSRRefD21_0_2x)+IFERROR(SUM(OSRRefE21_0_2x),0)</f>
        <v>12229.900000000001</v>
      </c>
    </row>
    <row r="23" spans="1:17" s="42" customFormat="1" ht="15" hidden="1" customHeight="1" outlineLevel="1" x14ac:dyDescent="0.3">
      <c r="A23" s="34"/>
      <c r="B23" s="11" t="str">
        <f>CONCATENATE("          ","6114"," - ","STATE UNEMPLOYMENT INSURANCE")</f>
        <v xml:space="preserve">          6114 - STATE UNEMPLOYMENT INSURANCE</v>
      </c>
      <c r="C23" s="15"/>
      <c r="D23" s="3">
        <v>31.34</v>
      </c>
      <c r="E23" s="3">
        <v>35.299999999999997</v>
      </c>
      <c r="F23" s="3">
        <v>31.46</v>
      </c>
      <c r="G23" s="3">
        <v>48.06</v>
      </c>
      <c r="H23" s="3">
        <v>30.99</v>
      </c>
      <c r="I23" s="3">
        <v>27.14</v>
      </c>
      <c r="J23" s="3">
        <v>25.77</v>
      </c>
      <c r="K23" s="3">
        <v>34.5</v>
      </c>
      <c r="L23" s="3">
        <v>33.64</v>
      </c>
      <c r="M23" s="3">
        <v>37.200000000000003</v>
      </c>
      <c r="N23" s="3">
        <v>39.073568746153903</v>
      </c>
      <c r="O23" s="3">
        <v>34.953368746153799</v>
      </c>
      <c r="P23" s="10"/>
      <c r="Q23" s="3">
        <f>SUM(OSRRefD21_0_3x)+IFERROR(SUM(OSRRefE21_0_3x),0)</f>
        <v>409.42693749230773</v>
      </c>
    </row>
    <row r="24" spans="1:17" s="42" customFormat="1" ht="15" hidden="1" customHeight="1" outlineLevel="1" x14ac:dyDescent="0.3">
      <c r="A24" s="34"/>
      <c r="B24" s="11" t="str">
        <f>CONCATENATE("          ","6115"," - ","P.E.R.S.")</f>
        <v xml:space="preserve">          6115 - P.E.R.S.</v>
      </c>
      <c r="C24" s="15"/>
      <c r="D24" s="3">
        <v>586.58000000000004</v>
      </c>
      <c r="E24" s="3">
        <v>586.58000000000004</v>
      </c>
      <c r="F24" s="3">
        <v>586.58000000000004</v>
      </c>
      <c r="G24" s="3">
        <v>879.87</v>
      </c>
      <c r="H24" s="3">
        <v>610.04</v>
      </c>
      <c r="I24" s="3">
        <v>610.04</v>
      </c>
      <c r="J24" s="3">
        <v>610.04</v>
      </c>
      <c r="K24" s="3">
        <v>630.69000000000005</v>
      </c>
      <c r="L24" s="3">
        <v>630.69000000000005</v>
      </c>
      <c r="M24" s="3">
        <v>914.5</v>
      </c>
      <c r="N24" s="3">
        <v>576.92767246153903</v>
      </c>
      <c r="O24" s="3">
        <v>576.92767246153903</v>
      </c>
      <c r="P24" s="10"/>
      <c r="Q24" s="3">
        <f>SUM(OSRRefD21_0_4x)+IFERROR(SUM(OSRRefE21_0_4x),0)</f>
        <v>7799.4653449230791</v>
      </c>
    </row>
    <row r="25" spans="1:17" s="42" customFormat="1" ht="15" hidden="1" customHeight="1" outlineLevel="1" x14ac:dyDescent="0.3">
      <c r="A25" s="34"/>
      <c r="B25" s="11" t="str">
        <f>CONCATENATE("          ","6116"," - ","EDUCATIONAL BENEFITS")</f>
        <v xml:space="preserve">          6116 - EDUCATIONAL BENEFITS</v>
      </c>
      <c r="C25" s="15"/>
      <c r="D25" s="3"/>
      <c r="E25" s="3"/>
      <c r="F25" s="3"/>
      <c r="G25" s="3"/>
      <c r="H25" s="3"/>
      <c r="I25" s="3"/>
      <c r="J25" s="3"/>
      <c r="K25" s="3"/>
      <c r="L25" s="3"/>
      <c r="M25" s="3"/>
      <c r="N25" s="3">
        <v>0</v>
      </c>
      <c r="O25" s="3">
        <v>0</v>
      </c>
      <c r="P25" s="10"/>
      <c r="Q25" s="3">
        <f>SUM(OSRRefD21_0_5x)+IFERROR(SUM(OSRRefE21_0_5x),0)</f>
        <v>0</v>
      </c>
    </row>
    <row r="26" spans="1:17" s="42" customFormat="1" ht="15" hidden="1" customHeight="1" outlineLevel="1" x14ac:dyDescent="0.3">
      <c r="A26" s="34"/>
      <c r="B26" s="11" t="str">
        <f>CONCATENATE("          ","6117"," - ","RETIREMENT STAFF HOURLY")</f>
        <v xml:space="preserve">          6117 - RETIREMENT STAFF HOURLY</v>
      </c>
      <c r="C26" s="15"/>
      <c r="D26" s="3">
        <v>102.54</v>
      </c>
      <c r="E26" s="3">
        <v>112.61</v>
      </c>
      <c r="F26" s="3"/>
      <c r="G26" s="3"/>
      <c r="H26" s="3"/>
      <c r="I26" s="3"/>
      <c r="J26" s="3"/>
      <c r="K26" s="3"/>
      <c r="L26" s="3"/>
      <c r="M26" s="3">
        <v>60</v>
      </c>
      <c r="N26" s="3"/>
      <c r="O26" s="3"/>
      <c r="P26" s="10"/>
      <c r="Q26" s="3">
        <f>SUM(OSRRefD21_0_6x)+IFERROR(SUM(OSRRefE21_0_6x),0)</f>
        <v>275.14999999999998</v>
      </c>
    </row>
    <row r="27" spans="1:17" s="42" customFormat="1" ht="15" hidden="1" customHeight="1" outlineLevel="1" x14ac:dyDescent="0.3">
      <c r="A27" s="34"/>
      <c r="B27" s="11" t="str">
        <f>CONCATENATE("          ","6118"," - ","VACATION")</f>
        <v xml:space="preserve">          6118 - VACATION</v>
      </c>
      <c r="C27" s="15"/>
      <c r="D27" s="3">
        <v>413.76</v>
      </c>
      <c r="E27" s="3">
        <v>413.76</v>
      </c>
      <c r="F27" s="3">
        <v>413.76</v>
      </c>
      <c r="G27" s="3">
        <v>748.88</v>
      </c>
      <c r="H27" s="3">
        <v>524.49</v>
      </c>
      <c r="I27" s="3">
        <v>529.76</v>
      </c>
      <c r="J27" s="3">
        <v>1087.24</v>
      </c>
      <c r="K27" s="3">
        <v>1219.74</v>
      </c>
      <c r="L27" s="3">
        <v>549.65</v>
      </c>
      <c r="M27" s="3">
        <v>925.81</v>
      </c>
      <c r="N27" s="3">
        <v>201.25383923076899</v>
      </c>
      <c r="O27" s="3">
        <v>201.25383923076899</v>
      </c>
      <c r="P27" s="10"/>
      <c r="Q27" s="3">
        <f>SUM(OSRRefD21_0_7x)+IFERROR(SUM(OSRRefE21_0_7x),0)</f>
        <v>7229.3576784615361</v>
      </c>
    </row>
    <row r="28" spans="1:17" s="42" customFormat="1" ht="15" hidden="1" customHeight="1" outlineLevel="1" x14ac:dyDescent="0.3">
      <c r="A28" s="34"/>
      <c r="B28" s="11" t="str">
        <f>CONCATENATE("          ","6119"," - ","SICK LEAVE")</f>
        <v xml:space="preserve">          6119 - SICK LEAVE</v>
      </c>
      <c r="C28" s="15"/>
      <c r="D28" s="3">
        <v>266.91000000000003</v>
      </c>
      <c r="E28" s="3">
        <v>266.91000000000003</v>
      </c>
      <c r="F28" s="3">
        <v>266.91000000000003</v>
      </c>
      <c r="G28" s="3">
        <v>400.37</v>
      </c>
      <c r="H28" s="3">
        <v>277.58999999999997</v>
      </c>
      <c r="I28" s="3">
        <v>277.58999999999997</v>
      </c>
      <c r="J28" s="3">
        <v>857.62</v>
      </c>
      <c r="K28" s="3">
        <v>1594.65</v>
      </c>
      <c r="L28" s="3">
        <v>290.13</v>
      </c>
      <c r="M28" s="3">
        <v>588.70000000000005</v>
      </c>
      <c r="N28" s="3">
        <v>491.10922615384601</v>
      </c>
      <c r="O28" s="3">
        <v>432.249226153846</v>
      </c>
      <c r="P28" s="10"/>
      <c r="Q28" s="3">
        <f>SUM(OSRRefD21_0_8x)+IFERROR(SUM(OSRRefE21_0_8x),0)</f>
        <v>6010.7384523076907</v>
      </c>
    </row>
    <row r="29" spans="1:17" s="42" customFormat="1" ht="15" hidden="1" customHeight="1" outlineLevel="1" x14ac:dyDescent="0.3">
      <c r="A29" s="34"/>
      <c r="B29" s="11" t="str">
        <f>CONCATENATE("          ","6156"," - ","EMPLOYEE MEALS")</f>
        <v xml:space="preserve">          6156 - EMPLOYEE MEALS</v>
      </c>
      <c r="C29" s="15"/>
      <c r="D29" s="3"/>
      <c r="E29" s="3"/>
      <c r="F29" s="3"/>
      <c r="G29" s="3">
        <v>187.5</v>
      </c>
      <c r="H29" s="3">
        <v>93.75</v>
      </c>
      <c r="I29" s="3">
        <v>73.75</v>
      </c>
      <c r="J29" s="3">
        <v>73.75</v>
      </c>
      <c r="K29" s="3">
        <v>73.75</v>
      </c>
      <c r="L29" s="3">
        <v>73.75</v>
      </c>
      <c r="M29" s="3">
        <v>190.54</v>
      </c>
      <c r="N29" s="3"/>
      <c r="O29" s="3"/>
      <c r="P29" s="10"/>
      <c r="Q29" s="3">
        <f>SUM(OSRRefD21_0_9x)+IFERROR(SUM(OSRRefE21_0_9x),0)</f>
        <v>766.79</v>
      </c>
    </row>
    <row r="30" spans="1:17" s="42" customFormat="1" ht="15" customHeight="1" collapsed="1" x14ac:dyDescent="0.3">
      <c r="A30" s="34"/>
      <c r="B30" s="15" t="str">
        <f>CONCATENATE("     ","*Payroll                                          ")</f>
        <v xml:space="preserve">     *Payroll                                          </v>
      </c>
      <c r="C30" s="15"/>
      <c r="D30" s="2">
        <f>SUM(OSRRefD21_1x_0)</f>
        <v>18970.560000000001</v>
      </c>
      <c r="E30" s="2">
        <f>SUM(OSRRefD21_1x_1)</f>
        <v>17485.11</v>
      </c>
      <c r="F30" s="2">
        <f>SUM(OSRRefD21_1x_2)</f>
        <v>13682.830000000002</v>
      </c>
      <c r="G30" s="2">
        <f>SUM(OSRRefD21_1x_3)</f>
        <v>15533.409999999998</v>
      </c>
      <c r="H30" s="2">
        <f>SUM(OSRRefD21_1x_4)</f>
        <v>11774.15</v>
      </c>
      <c r="I30" s="2">
        <f>SUM(OSRRefD21_1x_5)</f>
        <v>11517.15</v>
      </c>
      <c r="J30" s="2">
        <f>SUM(OSRRefD21_1x_6)</f>
        <v>14348.74</v>
      </c>
      <c r="K30" s="2">
        <f>SUM(OSRRefD21_1x_7)</f>
        <v>13747.22</v>
      </c>
      <c r="L30" s="2">
        <f>SUM(OSRRefD21_1x_8)</f>
        <v>12205.9</v>
      </c>
      <c r="M30" s="2">
        <f>SUM(OSRRefD21_1x_9)</f>
        <v>18557.16</v>
      </c>
      <c r="N30" s="2">
        <f>SUM(OSRRefE21_1x_0)</f>
        <v>18271.038242307688</v>
      </c>
      <c r="O30" s="2">
        <f>SUM(OSRRefE21_1x_1)</f>
        <v>16309.03824230769</v>
      </c>
      <c r="Q30" s="3">
        <f>SUM(OSRRefD20_1x)+IFERROR(SUM(OSRRefE20_1x),0)</f>
        <v>182402.30648461537</v>
      </c>
    </row>
    <row r="31" spans="1:17" s="42" customFormat="1" ht="15" hidden="1" customHeight="1" outlineLevel="1" x14ac:dyDescent="0.3">
      <c r="A31" s="34"/>
      <c r="B31" s="11" t="str">
        <f>CONCATENATE("          ","6001"," - ","ADMINISTRATIVE SALARIES")</f>
        <v xml:space="preserve">          6001 - ADMINISTRATIVE SALARIES</v>
      </c>
      <c r="C31" s="15"/>
      <c r="D31" s="3">
        <v>5599.1</v>
      </c>
      <c r="E31" s="3">
        <v>4479.1000000000004</v>
      </c>
      <c r="F31" s="3">
        <v>4479.1000000000004</v>
      </c>
      <c r="G31" s="3">
        <v>4926.79</v>
      </c>
      <c r="H31" s="3">
        <v>4192.4399999999996</v>
      </c>
      <c r="I31" s="3">
        <v>4658.26</v>
      </c>
      <c r="J31" s="3">
        <v>5356.44</v>
      </c>
      <c r="K31" s="3">
        <v>4426.34</v>
      </c>
      <c r="L31" s="3">
        <v>3959.53</v>
      </c>
      <c r="M31" s="3">
        <v>5589.48</v>
      </c>
      <c r="N31" s="3">
        <v>4139.8076923076896</v>
      </c>
      <c r="O31" s="3">
        <v>4139.8076923076896</v>
      </c>
      <c r="P31" s="10"/>
      <c r="Q31" s="3">
        <f>SUM(OSRRefD21_1_0x)+IFERROR(SUM(OSRRefE21_1_0x),0)</f>
        <v>55946.195384615377</v>
      </c>
    </row>
    <row r="32" spans="1:17" s="42" customFormat="1" ht="15" hidden="1" customHeight="1" outlineLevel="1" x14ac:dyDescent="0.3">
      <c r="A32" s="34"/>
      <c r="B32" s="11" t="str">
        <f>CONCATENATE("          ","6002"," - ","STAFF SALARIES")</f>
        <v xml:space="preserve">          6002 - STAFF SALARIES</v>
      </c>
      <c r="C32" s="15"/>
      <c r="D32" s="3">
        <v>5113.62</v>
      </c>
      <c r="E32" s="3">
        <v>1634.68</v>
      </c>
      <c r="F32" s="3">
        <v>1307.68</v>
      </c>
      <c r="G32" s="3">
        <v>980.59</v>
      </c>
      <c r="H32" s="3">
        <v>1156</v>
      </c>
      <c r="I32" s="3">
        <v>1360</v>
      </c>
      <c r="J32" s="3">
        <v>1700</v>
      </c>
      <c r="K32" s="3">
        <v>1700</v>
      </c>
      <c r="L32" s="3">
        <v>1632</v>
      </c>
      <c r="M32" s="3">
        <v>2040</v>
      </c>
      <c r="N32" s="3">
        <v>2233.2305500000002</v>
      </c>
      <c r="O32" s="3">
        <v>2233.2305500000002</v>
      </c>
      <c r="P32" s="10"/>
      <c r="Q32" s="3">
        <f>SUM(OSRRefD21_1_1x)+IFERROR(SUM(OSRRefE21_1_1x),0)</f>
        <v>23091.0311</v>
      </c>
    </row>
    <row r="33" spans="1:17" s="42" customFormat="1" ht="15" hidden="1" customHeight="1" outlineLevel="1" x14ac:dyDescent="0.3">
      <c r="A33" s="34"/>
      <c r="B33" s="11" t="str">
        <f>CONCATENATE("          ","6003"," - ","STAFF HOURLY-9 MONTH")</f>
        <v xml:space="preserve">          6003 - STAFF HOURLY-9 MONTH</v>
      </c>
      <c r="C33" s="15"/>
      <c r="D33" s="3"/>
      <c r="E33" s="3"/>
      <c r="F33" s="3"/>
      <c r="G33" s="3"/>
      <c r="H33" s="3"/>
      <c r="I33" s="3"/>
      <c r="J33" s="3"/>
      <c r="K33" s="3"/>
      <c r="L33" s="3"/>
      <c r="M33" s="3"/>
      <c r="N33" s="3">
        <v>0</v>
      </c>
      <c r="O33" s="3">
        <v>0</v>
      </c>
      <c r="P33" s="10"/>
      <c r="Q33" s="3">
        <f>SUM(OSRRefD21_1_2x)+IFERROR(SUM(OSRRefE21_1_2x),0)</f>
        <v>0</v>
      </c>
    </row>
    <row r="34" spans="1:17" s="42" customFormat="1" ht="15" hidden="1" customHeight="1" outlineLevel="1" x14ac:dyDescent="0.3">
      <c r="A34" s="34"/>
      <c r="B34" s="11" t="str">
        <f>CONCATENATE("          ","6004"," - ","STAFF HOURLY")</f>
        <v xml:space="preserve">          6004 - STAFF HOURLY</v>
      </c>
      <c r="C34" s="15"/>
      <c r="D34" s="3"/>
      <c r="E34" s="3">
        <v>2322.4</v>
      </c>
      <c r="F34" s="3">
        <v>2588</v>
      </c>
      <c r="G34" s="3">
        <v>1739.5</v>
      </c>
      <c r="H34" s="3">
        <v>502.42</v>
      </c>
      <c r="I34" s="3">
        <v>1000.06</v>
      </c>
      <c r="J34" s="3">
        <v>858.52</v>
      </c>
      <c r="K34" s="3">
        <v>1486.34</v>
      </c>
      <c r="L34" s="3">
        <v>343.23</v>
      </c>
      <c r="M34" s="3">
        <v>2481.75</v>
      </c>
      <c r="N34" s="3">
        <v>2088</v>
      </c>
      <c r="O34" s="3">
        <v>2088</v>
      </c>
      <c r="P34" s="10"/>
      <c r="Q34" s="3">
        <f>SUM(OSRRefD21_1_3x)+IFERROR(SUM(OSRRefE21_1_3x),0)</f>
        <v>17498.22</v>
      </c>
    </row>
    <row r="35" spans="1:17" s="42" customFormat="1" ht="15" hidden="1" customHeight="1" outlineLevel="1" x14ac:dyDescent="0.3">
      <c r="A35" s="34"/>
      <c r="B35" s="11" t="str">
        <f>CONCATENATE("          ","6005"," - ","TEMPORARY WAGES-HOURLY")</f>
        <v xml:space="preserve">          6005 - TEMPORARY WAGES-HOURLY</v>
      </c>
      <c r="C35" s="15"/>
      <c r="D35" s="3">
        <v>6179.64</v>
      </c>
      <c r="E35" s="3">
        <v>7230.43</v>
      </c>
      <c r="F35" s="3">
        <v>5433.05</v>
      </c>
      <c r="G35" s="3">
        <v>8606.81</v>
      </c>
      <c r="H35" s="3">
        <v>5366.19</v>
      </c>
      <c r="I35" s="3">
        <v>4211.55</v>
      </c>
      <c r="J35" s="3">
        <v>3237.63</v>
      </c>
      <c r="K35" s="3">
        <v>5369.89</v>
      </c>
      <c r="L35" s="3">
        <v>2736.04</v>
      </c>
      <c r="M35" s="3">
        <v>5524.33</v>
      </c>
      <c r="N35" s="3">
        <v>0</v>
      </c>
      <c r="O35" s="3">
        <v>0</v>
      </c>
      <c r="P35" s="10"/>
      <c r="Q35" s="3">
        <f>SUM(OSRRefD21_1_4x)+IFERROR(SUM(OSRRefE21_1_4x),0)</f>
        <v>53895.560000000005</v>
      </c>
    </row>
    <row r="36" spans="1:17" s="42" customFormat="1" ht="15" hidden="1" customHeight="1" outlineLevel="1" x14ac:dyDescent="0.3">
      <c r="A36" s="34"/>
      <c r="B36" s="11" t="str">
        <f>CONCATENATE("          ","6006"," - ","TEMPORARY PART TIME")</f>
        <v xml:space="preserve">          6006 - TEMPORARY PART TIME</v>
      </c>
      <c r="C36" s="15"/>
      <c r="D36" s="3"/>
      <c r="E36" s="3"/>
      <c r="F36" s="3"/>
      <c r="G36" s="3"/>
      <c r="H36" s="3"/>
      <c r="I36" s="3"/>
      <c r="J36" s="3"/>
      <c r="K36" s="3"/>
      <c r="L36" s="3"/>
      <c r="M36" s="3"/>
      <c r="N36" s="3">
        <v>0</v>
      </c>
      <c r="O36" s="3">
        <v>0</v>
      </c>
      <c r="P36" s="10"/>
      <c r="Q36" s="3">
        <f>SUM(OSRRefD21_1_5x)+IFERROR(SUM(OSRRefE21_1_5x),0)</f>
        <v>0</v>
      </c>
    </row>
    <row r="37" spans="1:17" s="42" customFormat="1" ht="15" hidden="1" customHeight="1" outlineLevel="1" x14ac:dyDescent="0.3">
      <c r="A37" s="34"/>
      <c r="B37" s="11" t="str">
        <f>CONCATENATE("          ","6007"," - ","STUDENT HOURLY")</f>
        <v xml:space="preserve">          6007 - STUDENT HOURLY</v>
      </c>
      <c r="C37" s="15"/>
      <c r="D37" s="3">
        <v>2078.1999999999998</v>
      </c>
      <c r="E37" s="3">
        <v>1818.5</v>
      </c>
      <c r="F37" s="3">
        <v>-125</v>
      </c>
      <c r="G37" s="3">
        <v>-884.5</v>
      </c>
      <c r="H37" s="3">
        <v>557.1</v>
      </c>
      <c r="I37" s="3">
        <v>287.27999999999997</v>
      </c>
      <c r="J37" s="3">
        <v>3196.15</v>
      </c>
      <c r="K37" s="3">
        <v>764.65</v>
      </c>
      <c r="L37" s="3">
        <v>3535.1</v>
      </c>
      <c r="M37" s="3">
        <v>2921.6</v>
      </c>
      <c r="N37" s="3">
        <v>0</v>
      </c>
      <c r="O37" s="3">
        <v>7848</v>
      </c>
      <c r="P37" s="10"/>
      <c r="Q37" s="3">
        <f>SUM(OSRRefD21_1_6x)+IFERROR(SUM(OSRRefE21_1_6x),0)</f>
        <v>21997.08</v>
      </c>
    </row>
    <row r="38" spans="1:17" s="42" customFormat="1" ht="15" hidden="1" customHeight="1" outlineLevel="1" x14ac:dyDescent="0.3">
      <c r="A38" s="34"/>
      <c r="B38" s="11" t="str">
        <f>CONCATENATE("          ","6008"," - ","STUDENT HOURLY-FICA EXEMPT")</f>
        <v xml:space="preserve">          6008 - STUDENT HOURLY-FICA EXEMPT</v>
      </c>
      <c r="C38" s="15"/>
      <c r="D38" s="3"/>
      <c r="E38" s="3"/>
      <c r="F38" s="3"/>
      <c r="G38" s="3">
        <v>164.22</v>
      </c>
      <c r="H38" s="3"/>
      <c r="I38" s="3"/>
      <c r="J38" s="3"/>
      <c r="K38" s="3"/>
      <c r="L38" s="3"/>
      <c r="M38" s="3"/>
      <c r="N38" s="3">
        <v>9810</v>
      </c>
      <c r="O38" s="3">
        <v>0</v>
      </c>
      <c r="P38" s="10"/>
      <c r="Q38" s="3">
        <f>SUM(OSRRefD21_1_7x)+IFERROR(SUM(OSRRefE21_1_7x),0)</f>
        <v>9974.2199999999993</v>
      </c>
    </row>
    <row r="39" spans="1:17" s="42" customFormat="1" ht="15" hidden="1" customHeight="1" outlineLevel="1" x14ac:dyDescent="0.3">
      <c r="A39" s="34"/>
      <c r="B39" s="11" t="str">
        <f>CONCATENATE("          ","6009"," - ","TEMPORARY-SEASONAL")</f>
        <v xml:space="preserve">          6009 - TEMPORARY-SEASONAL</v>
      </c>
      <c r="C39" s="15"/>
      <c r="D39" s="3"/>
      <c r="E39" s="3"/>
      <c r="F39" s="3"/>
      <c r="G39" s="3"/>
      <c r="H39" s="3"/>
      <c r="I39" s="3"/>
      <c r="J39" s="3"/>
      <c r="K39" s="3"/>
      <c r="L39" s="3"/>
      <c r="M39" s="3"/>
      <c r="N39" s="3">
        <v>0</v>
      </c>
      <c r="O39" s="3">
        <v>0</v>
      </c>
      <c r="P39" s="10"/>
      <c r="Q39" s="3">
        <f>SUM(OSRRefD21_1_8x)+IFERROR(SUM(OSRRefE21_1_8x),0)</f>
        <v>0</v>
      </c>
    </row>
    <row r="40" spans="1:17" s="42" customFormat="1" ht="15" hidden="1" customHeight="1" outlineLevel="1" x14ac:dyDescent="0.3">
      <c r="A40" s="34"/>
      <c r="B40" s="11" t="str">
        <f>CONCATENATE("          ","6010"," - ","GRATUITY")</f>
        <v xml:space="preserve">          6010 - GRATUITY</v>
      </c>
      <c r="C40" s="15"/>
      <c r="D40" s="3"/>
      <c r="E40" s="3"/>
      <c r="F40" s="3"/>
      <c r="G40" s="3"/>
      <c r="H40" s="3"/>
      <c r="I40" s="3"/>
      <c r="J40" s="3"/>
      <c r="K40" s="3"/>
      <c r="L40" s="3"/>
      <c r="M40" s="3"/>
      <c r="N40" s="3">
        <v>0</v>
      </c>
      <c r="O40" s="3">
        <v>0</v>
      </c>
      <c r="P40" s="10"/>
      <c r="Q40" s="3">
        <f>SUM(OSRRefD21_1_9x)+IFERROR(SUM(OSRRefE21_1_9x),0)</f>
        <v>0</v>
      </c>
    </row>
    <row r="41" spans="1:17" s="42" customFormat="1" ht="15" customHeight="1" collapsed="1" x14ac:dyDescent="0.3">
      <c r="A41" s="34"/>
      <c r="B41" s="15" t="str">
        <f>CONCATENATE("     ","Advertising/Promo                                 ")</f>
        <v xml:space="preserve">     Advertising/Promo                                 </v>
      </c>
      <c r="C41" s="15"/>
      <c r="D41" s="2">
        <f>SUM(OSRRefD21_2x_0)</f>
        <v>0</v>
      </c>
      <c r="E41" s="2">
        <f>SUM(OSRRefD21_2x_1)</f>
        <v>17.64</v>
      </c>
      <c r="F41" s="2">
        <f>SUM(OSRRefD21_2x_2)</f>
        <v>17.64</v>
      </c>
      <c r="G41" s="2">
        <f>SUM(OSRRefD21_2x_3)</f>
        <v>77.180000000000007</v>
      </c>
      <c r="H41" s="2">
        <f>SUM(OSRRefD21_2x_4)</f>
        <v>0</v>
      </c>
      <c r="I41" s="2">
        <f>SUM(OSRRefD21_2x_5)</f>
        <v>0</v>
      </c>
      <c r="J41" s="2">
        <f>SUM(OSRRefD21_2x_6)</f>
        <v>0</v>
      </c>
      <c r="K41" s="2">
        <f>SUM(OSRRefD21_2x_7)</f>
        <v>0</v>
      </c>
      <c r="L41" s="2">
        <f>SUM(OSRRefD21_2x_8)</f>
        <v>138.72</v>
      </c>
      <c r="M41" s="2">
        <f>SUM(OSRRefD21_2x_9)</f>
        <v>0</v>
      </c>
      <c r="N41" s="2">
        <f>SUM(OSRRefE21_2x_0)</f>
        <v>100</v>
      </c>
      <c r="O41" s="2">
        <f>SUM(OSRRefE21_2x_1)</f>
        <v>100</v>
      </c>
      <c r="Q41" s="3">
        <f>SUM(OSRRefD20_2x)+IFERROR(SUM(OSRRefE20_2x),0)</f>
        <v>451.18</v>
      </c>
    </row>
    <row r="42" spans="1:17" s="42" customFormat="1" ht="15" hidden="1" customHeight="1" outlineLevel="1" x14ac:dyDescent="0.3">
      <c r="A42" s="34"/>
      <c r="B42" s="11" t="str">
        <f>CONCATENATE("          ","6362"," - ","ADVERTISING EXPENSE")</f>
        <v xml:space="preserve">          6362 - ADVERTISING EXPENSE</v>
      </c>
      <c r="C42" s="15"/>
      <c r="D42" s="3"/>
      <c r="E42" s="3">
        <v>17.64</v>
      </c>
      <c r="F42" s="3">
        <v>17.64</v>
      </c>
      <c r="G42" s="3">
        <v>77.180000000000007</v>
      </c>
      <c r="H42" s="3"/>
      <c r="I42" s="3"/>
      <c r="J42" s="3"/>
      <c r="K42" s="3"/>
      <c r="L42" s="3">
        <v>138.72</v>
      </c>
      <c r="M42" s="3"/>
      <c r="N42" s="3">
        <v>100</v>
      </c>
      <c r="O42" s="3">
        <v>100</v>
      </c>
      <c r="P42" s="10"/>
      <c r="Q42" s="3">
        <f>SUM(OSRRefD21_2_0x)+IFERROR(SUM(OSRRefE21_2_0x),0)</f>
        <v>451.18</v>
      </c>
    </row>
    <row r="43" spans="1:17" s="42" customFormat="1" ht="15" customHeight="1" collapsed="1" x14ac:dyDescent="0.3">
      <c r="A43" s="34"/>
      <c r="B43" s="15" t="str">
        <f>CONCATENATE("     ","Bank/card Fees                                    ")</f>
        <v xml:space="preserve">     Bank/card Fees                                    </v>
      </c>
      <c r="C43" s="15"/>
      <c r="D43" s="2">
        <f>SUM(OSRRefD21_3x_0)</f>
        <v>44.12</v>
      </c>
      <c r="E43" s="2">
        <f>SUM(OSRRefD21_3x_1)</f>
        <v>467.14</v>
      </c>
      <c r="F43" s="2">
        <f>SUM(OSRRefD21_3x_2)</f>
        <v>460.95</v>
      </c>
      <c r="G43" s="2">
        <f>SUM(OSRRefD21_3x_3)</f>
        <v>330.9</v>
      </c>
      <c r="H43" s="2">
        <f>SUM(OSRRefD21_3x_4)</f>
        <v>229.39</v>
      </c>
      <c r="I43" s="2">
        <f>SUM(OSRRefD21_3x_5)</f>
        <v>278</v>
      </c>
      <c r="J43" s="2">
        <f>SUM(OSRRefD21_3x_6)</f>
        <v>89.97</v>
      </c>
      <c r="K43" s="2">
        <f>SUM(OSRRefD21_3x_7)</f>
        <v>871.71</v>
      </c>
      <c r="L43" s="2">
        <f>SUM(OSRRefD21_3x_8)</f>
        <v>662.05</v>
      </c>
      <c r="M43" s="2">
        <f>SUM(OSRRefD21_3x_9)</f>
        <v>579.9</v>
      </c>
      <c r="N43" s="2">
        <f>SUM(OSRRefE21_3x_0)</f>
        <v>1250</v>
      </c>
      <c r="O43" s="2">
        <f>SUM(OSRRefE21_3x_1)</f>
        <v>1250</v>
      </c>
      <c r="Q43" s="3">
        <f>SUM(OSRRefD20_3x)+IFERROR(SUM(OSRRefE20_3x),0)</f>
        <v>6514.130000000001</v>
      </c>
    </row>
    <row r="44" spans="1:17" s="42" customFormat="1" ht="15" hidden="1" customHeight="1" outlineLevel="1" x14ac:dyDescent="0.3">
      <c r="A44" s="34"/>
      <c r="B44" s="11" t="str">
        <f>CONCATENATE("          ","6381"," - ","BANK/CREDIT CARD FEES")</f>
        <v xml:space="preserve">          6381 - BANK/CREDIT CARD FEES</v>
      </c>
      <c r="C44" s="15"/>
      <c r="D44" s="3">
        <v>44.12</v>
      </c>
      <c r="E44" s="3">
        <v>467.14</v>
      </c>
      <c r="F44" s="3">
        <v>460.95</v>
      </c>
      <c r="G44" s="3">
        <v>330.9</v>
      </c>
      <c r="H44" s="3">
        <v>229.39</v>
      </c>
      <c r="I44" s="3">
        <v>278</v>
      </c>
      <c r="J44" s="3">
        <v>89.97</v>
      </c>
      <c r="K44" s="3">
        <v>871.71</v>
      </c>
      <c r="L44" s="3">
        <v>662.05</v>
      </c>
      <c r="M44" s="3">
        <v>579.9</v>
      </c>
      <c r="N44" s="3">
        <v>1250</v>
      </c>
      <c r="O44" s="3">
        <v>1250</v>
      </c>
      <c r="P44" s="10"/>
      <c r="Q44" s="3">
        <f>SUM(OSRRefD21_3_0x)+IFERROR(SUM(OSRRefE21_3_0x),0)</f>
        <v>6514.130000000001</v>
      </c>
    </row>
    <row r="45" spans="1:17" s="42" customFormat="1" ht="15" customHeight="1" collapsed="1" x14ac:dyDescent="0.3">
      <c r="A45" s="34"/>
      <c r="B45" s="15" t="str">
        <f>CONCATENATE("     ","Employees' Appreciation                           ")</f>
        <v xml:space="preserve">     Employees' Appreciation                           </v>
      </c>
      <c r="C45" s="15"/>
      <c r="D45" s="2">
        <f>SUM(OSRRefD21_4x_0)</f>
        <v>0</v>
      </c>
      <c r="E45" s="2">
        <f>SUM(OSRRefD21_4x_1)</f>
        <v>0</v>
      </c>
      <c r="F45" s="2">
        <f>SUM(OSRRefD21_4x_2)</f>
        <v>0</v>
      </c>
      <c r="G45" s="2">
        <f>SUM(OSRRefD21_4x_3)</f>
        <v>0</v>
      </c>
      <c r="H45" s="2">
        <f>SUM(OSRRefD21_4x_4)</f>
        <v>0</v>
      </c>
      <c r="I45" s="2">
        <f>SUM(OSRRefD21_4x_5)</f>
        <v>0</v>
      </c>
      <c r="J45" s="2">
        <f>SUM(OSRRefD21_4x_6)</f>
        <v>0</v>
      </c>
      <c r="K45" s="2">
        <f>SUM(OSRRefD21_4x_7)</f>
        <v>0</v>
      </c>
      <c r="L45" s="2">
        <f>SUM(OSRRefD21_4x_8)</f>
        <v>0</v>
      </c>
      <c r="M45" s="2">
        <f>SUM(OSRRefD21_4x_9)</f>
        <v>0</v>
      </c>
      <c r="N45" s="2">
        <f>SUM(OSRRefE21_4x_0)</f>
        <v>20</v>
      </c>
      <c r="O45" s="2">
        <f>SUM(OSRRefE21_4x_1)</f>
        <v>20</v>
      </c>
      <c r="Q45" s="3">
        <f>SUM(OSRRefD20_4x)+IFERROR(SUM(OSRRefE20_4x),0)</f>
        <v>40</v>
      </c>
    </row>
    <row r="46" spans="1:17" s="42" customFormat="1" ht="15" hidden="1" customHeight="1" outlineLevel="1" x14ac:dyDescent="0.3">
      <c r="A46" s="34"/>
      <c r="B46" s="11" t="str">
        <f>CONCATENATE("          ","6277"," - ","EMPLOYEE APPRECIATION")</f>
        <v xml:space="preserve">          6277 - EMPLOYEE APPRECIATION</v>
      </c>
      <c r="C46" s="15"/>
      <c r="D46" s="3"/>
      <c r="E46" s="3"/>
      <c r="F46" s="3"/>
      <c r="G46" s="3"/>
      <c r="H46" s="3"/>
      <c r="I46" s="3"/>
      <c r="J46" s="3"/>
      <c r="K46" s="3"/>
      <c r="L46" s="3"/>
      <c r="M46" s="3"/>
      <c r="N46" s="3">
        <v>20</v>
      </c>
      <c r="O46" s="3">
        <v>20</v>
      </c>
      <c r="P46" s="10"/>
      <c r="Q46" s="3">
        <f>SUM(OSRRefD21_4_0x)+IFERROR(SUM(OSRRefE21_4_0x),0)</f>
        <v>40</v>
      </c>
    </row>
    <row r="47" spans="1:17" s="42" customFormat="1" ht="15" customHeight="1" collapsed="1" x14ac:dyDescent="0.3">
      <c r="A47" s="34"/>
      <c r="B47" s="15" t="str">
        <f>CONCATENATE("     ","Freight out/Postage                               ")</f>
        <v xml:space="preserve">     Freight out/Postage                               </v>
      </c>
      <c r="C47" s="15"/>
      <c r="D47" s="2">
        <f>SUM(OSRRefD21_5x_0)</f>
        <v>0</v>
      </c>
      <c r="E47" s="2">
        <f>SUM(OSRRefD21_5x_1)</f>
        <v>0</v>
      </c>
      <c r="F47" s="2">
        <f>SUM(OSRRefD21_5x_2)</f>
        <v>0.31</v>
      </c>
      <c r="G47" s="2">
        <f>SUM(OSRRefD21_5x_3)</f>
        <v>0.31</v>
      </c>
      <c r="H47" s="2">
        <f>SUM(OSRRefD21_5x_4)</f>
        <v>0</v>
      </c>
      <c r="I47" s="2">
        <f>SUM(OSRRefD21_5x_5)</f>
        <v>0</v>
      </c>
      <c r="J47" s="2">
        <f>SUM(OSRRefD21_5x_6)</f>
        <v>0</v>
      </c>
      <c r="K47" s="2">
        <f>SUM(OSRRefD21_5x_7)</f>
        <v>0</v>
      </c>
      <c r="L47" s="2">
        <f>SUM(OSRRefD21_5x_8)</f>
        <v>0</v>
      </c>
      <c r="M47" s="2">
        <f>SUM(OSRRefD21_5x_9)</f>
        <v>0</v>
      </c>
      <c r="N47" s="2">
        <f>SUM(OSRRefE21_5x_0)</f>
        <v>10</v>
      </c>
      <c r="O47" s="2">
        <f>SUM(OSRRefE21_5x_1)</f>
        <v>10</v>
      </c>
      <c r="Q47" s="3">
        <f>SUM(OSRRefD20_5x)+IFERROR(SUM(OSRRefE20_5x),0)</f>
        <v>20.62</v>
      </c>
    </row>
    <row r="48" spans="1:17" s="42" customFormat="1" ht="15" hidden="1" customHeight="1" outlineLevel="1" x14ac:dyDescent="0.3">
      <c r="A48" s="34"/>
      <c r="B48" s="11" t="str">
        <f>CONCATENATE("          ","6305"," - ","FREIGHT OUT")</f>
        <v xml:space="preserve">          6305 - FREIGHT OUT</v>
      </c>
      <c r="C48" s="15"/>
      <c r="D48" s="3"/>
      <c r="E48" s="3"/>
      <c r="F48" s="3">
        <v>0.31</v>
      </c>
      <c r="G48" s="3">
        <v>0.31</v>
      </c>
      <c r="H48" s="3"/>
      <c r="I48" s="3"/>
      <c r="J48" s="3"/>
      <c r="K48" s="3"/>
      <c r="L48" s="3"/>
      <c r="M48" s="3"/>
      <c r="N48" s="3"/>
      <c r="O48" s="3"/>
      <c r="P48" s="10"/>
      <c r="Q48" s="3">
        <f>SUM(OSRRefD21_5_0x)+IFERROR(SUM(OSRRefE21_5_0x),0)</f>
        <v>0.62</v>
      </c>
    </row>
    <row r="49" spans="1:17" s="42" customFormat="1" ht="15" hidden="1" customHeight="1" outlineLevel="1" x14ac:dyDescent="0.3">
      <c r="A49" s="34"/>
      <c r="B49" s="11" t="str">
        <f>CONCATENATE("          ","6307"," - ","POSTAGE")</f>
        <v xml:space="preserve">          6307 - POSTAGE</v>
      </c>
      <c r="C49" s="15"/>
      <c r="D49" s="3"/>
      <c r="E49" s="3"/>
      <c r="F49" s="3"/>
      <c r="G49" s="3"/>
      <c r="H49" s="3"/>
      <c r="I49" s="3"/>
      <c r="J49" s="3"/>
      <c r="K49" s="3"/>
      <c r="L49" s="3"/>
      <c r="M49" s="3"/>
      <c r="N49" s="3">
        <v>10</v>
      </c>
      <c r="O49" s="3">
        <v>10</v>
      </c>
      <c r="P49" s="10"/>
      <c r="Q49" s="3">
        <f>SUM(OSRRefD21_5_1x)+IFERROR(SUM(OSRRefE21_5_1x),0)</f>
        <v>20</v>
      </c>
    </row>
    <row r="50" spans="1:17" s="42" customFormat="1" ht="15" customHeight="1" collapsed="1" x14ac:dyDescent="0.3">
      <c r="A50" s="34"/>
      <c r="B50" s="15" t="str">
        <f>CONCATENATE("     ","General                                           ")</f>
        <v xml:space="preserve">     General                                           </v>
      </c>
      <c r="C50" s="15"/>
      <c r="D50" s="2">
        <f>SUM(OSRRefD21_6x_0)</f>
        <v>0</v>
      </c>
      <c r="E50" s="2">
        <f>SUM(OSRRefD21_6x_1)</f>
        <v>0</v>
      </c>
      <c r="F50" s="2">
        <f>SUM(OSRRefD21_6x_2)</f>
        <v>0</v>
      </c>
      <c r="G50" s="2">
        <f>SUM(OSRRefD21_6x_3)</f>
        <v>0</v>
      </c>
      <c r="H50" s="2">
        <f>SUM(OSRRefD21_6x_4)</f>
        <v>0</v>
      </c>
      <c r="I50" s="2">
        <f>SUM(OSRRefD21_6x_5)</f>
        <v>0</v>
      </c>
      <c r="J50" s="2">
        <f>SUM(OSRRefD21_6x_6)</f>
        <v>0</v>
      </c>
      <c r="K50" s="2">
        <f>SUM(OSRRefD21_6x_7)</f>
        <v>0</v>
      </c>
      <c r="L50" s="2">
        <f>SUM(OSRRefD21_6x_8)</f>
        <v>0</v>
      </c>
      <c r="M50" s="2">
        <f>SUM(OSRRefD21_6x_9)</f>
        <v>0</v>
      </c>
      <c r="N50" s="2">
        <f>SUM(OSRRefE21_6x_0)</f>
        <v>50</v>
      </c>
      <c r="O50" s="2">
        <f>SUM(OSRRefE21_6x_1)</f>
        <v>50</v>
      </c>
      <c r="Q50" s="3">
        <f>SUM(OSRRefD20_6x)+IFERROR(SUM(OSRRefE20_6x),0)</f>
        <v>100</v>
      </c>
    </row>
    <row r="51" spans="1:17" s="42" customFormat="1" ht="15" hidden="1" customHeight="1" outlineLevel="1" x14ac:dyDescent="0.3">
      <c r="A51" s="34"/>
      <c r="B51" s="11" t="str">
        <f>CONCATENATE("          ","6279"," - ","GENERAL EXPENSE")</f>
        <v xml:space="preserve">          6279 - GENERAL EXPENSE</v>
      </c>
      <c r="C51" s="15"/>
      <c r="D51" s="3"/>
      <c r="E51" s="3"/>
      <c r="F51" s="3"/>
      <c r="G51" s="3"/>
      <c r="H51" s="3"/>
      <c r="I51" s="3"/>
      <c r="J51" s="3"/>
      <c r="K51" s="3"/>
      <c r="L51" s="3"/>
      <c r="M51" s="3"/>
      <c r="N51" s="3">
        <v>50</v>
      </c>
      <c r="O51" s="3">
        <v>50</v>
      </c>
      <c r="P51" s="10"/>
      <c r="Q51" s="3">
        <f>SUM(OSRRefD21_6_0x)+IFERROR(SUM(OSRRefE21_6_0x),0)</f>
        <v>100</v>
      </c>
    </row>
    <row r="52" spans="1:17" s="42" customFormat="1" ht="15" customHeight="1" collapsed="1" x14ac:dyDescent="0.3">
      <c r="A52" s="34"/>
      <c r="B52" s="15" t="str">
        <f>CONCATENATE("     ","Insurance                                         ")</f>
        <v xml:space="preserve">     Insurance                                         </v>
      </c>
      <c r="C52" s="15"/>
      <c r="D52" s="2">
        <f>SUM(OSRRefD21_7x_0)</f>
        <v>39.43</v>
      </c>
      <c r="E52" s="2">
        <f>SUM(OSRRefD21_7x_1)</f>
        <v>39.43</v>
      </c>
      <c r="F52" s="2">
        <f>SUM(OSRRefD21_7x_2)</f>
        <v>39.43</v>
      </c>
      <c r="G52" s="2">
        <f>SUM(OSRRefD21_7x_3)</f>
        <v>39.43</v>
      </c>
      <c r="H52" s="2">
        <f>SUM(OSRRefD21_7x_4)</f>
        <v>39.43</v>
      </c>
      <c r="I52" s="2">
        <f>SUM(OSRRefD21_7x_5)</f>
        <v>39.43</v>
      </c>
      <c r="J52" s="2">
        <f>SUM(OSRRefD21_7x_6)</f>
        <v>39.43</v>
      </c>
      <c r="K52" s="2">
        <f>SUM(OSRRefD21_7x_7)</f>
        <v>39.43</v>
      </c>
      <c r="L52" s="2">
        <f>SUM(OSRRefD21_7x_8)</f>
        <v>39.43</v>
      </c>
      <c r="M52" s="2">
        <f>SUM(OSRRefD21_7x_9)</f>
        <v>39.43</v>
      </c>
      <c r="N52" s="2">
        <f>SUM(OSRRefE21_7x_0)</f>
        <v>40</v>
      </c>
      <c r="O52" s="2">
        <f>SUM(OSRRefE21_7x_1)</f>
        <v>40</v>
      </c>
      <c r="Q52" s="3">
        <f>SUM(OSRRefD20_7x)+IFERROR(SUM(OSRRefE20_7x),0)</f>
        <v>474.3</v>
      </c>
    </row>
    <row r="53" spans="1:17" s="42" customFormat="1" ht="15" hidden="1" customHeight="1" outlineLevel="1" x14ac:dyDescent="0.3">
      <c r="A53" s="34"/>
      <c r="B53" s="11" t="str">
        <f>CONCATENATE("          ","6314"," - ","LIABILITY INSURANCE")</f>
        <v xml:space="preserve">          6314 - LIABILITY INSURANCE</v>
      </c>
      <c r="C53" s="15"/>
      <c r="D53" s="3">
        <v>39.43</v>
      </c>
      <c r="E53" s="3">
        <v>39.43</v>
      </c>
      <c r="F53" s="3">
        <v>39.43</v>
      </c>
      <c r="G53" s="3">
        <v>39.43</v>
      </c>
      <c r="H53" s="3">
        <v>39.43</v>
      </c>
      <c r="I53" s="3">
        <v>39.43</v>
      </c>
      <c r="J53" s="3">
        <v>39.43</v>
      </c>
      <c r="K53" s="3">
        <v>39.43</v>
      </c>
      <c r="L53" s="3">
        <v>39.43</v>
      </c>
      <c r="M53" s="3">
        <v>39.43</v>
      </c>
      <c r="N53" s="3">
        <v>40</v>
      </c>
      <c r="O53" s="3">
        <v>40</v>
      </c>
      <c r="P53" s="10"/>
      <c r="Q53" s="3">
        <f>SUM(OSRRefD21_7_0x)+IFERROR(SUM(OSRRefE21_7_0x),0)</f>
        <v>474.3</v>
      </c>
    </row>
    <row r="54" spans="1:17" s="42" customFormat="1" ht="15" customHeight="1" collapsed="1" x14ac:dyDescent="0.3">
      <c r="A54" s="34"/>
      <c r="B54" s="15" t="str">
        <f>CONCATENATE("     ","Rent                                              ")</f>
        <v xml:space="preserve">     Rent                                              </v>
      </c>
      <c r="C54" s="15"/>
      <c r="D54" s="2">
        <f>SUM(OSRRefD21_8x_0)</f>
        <v>800</v>
      </c>
      <c r="E54" s="2">
        <f>SUM(OSRRefD21_8x_1)</f>
        <v>800</v>
      </c>
      <c r="F54" s="2">
        <f>SUM(OSRRefD21_8x_2)</f>
        <v>800</v>
      </c>
      <c r="G54" s="2">
        <f>SUM(OSRRefD21_8x_3)</f>
        <v>800</v>
      </c>
      <c r="H54" s="2">
        <f>SUM(OSRRefD21_8x_4)</f>
        <v>800</v>
      </c>
      <c r="I54" s="2">
        <f>SUM(OSRRefD21_8x_5)</f>
        <v>800</v>
      </c>
      <c r="J54" s="2">
        <f>SUM(OSRRefD21_8x_6)</f>
        <v>800</v>
      </c>
      <c r="K54" s="2">
        <f>SUM(OSRRefD21_8x_7)</f>
        <v>800</v>
      </c>
      <c r="L54" s="2">
        <f>SUM(OSRRefD21_8x_8)</f>
        <v>800</v>
      </c>
      <c r="M54" s="2">
        <f>SUM(OSRRefD21_8x_9)</f>
        <v>800</v>
      </c>
      <c r="N54" s="2">
        <f>SUM(OSRRefE21_8x_0)</f>
        <v>800</v>
      </c>
      <c r="O54" s="2">
        <f>SUM(OSRRefE21_8x_1)</f>
        <v>800</v>
      </c>
      <c r="Q54" s="3">
        <f>SUM(OSRRefD20_8x)+IFERROR(SUM(OSRRefE20_8x),0)</f>
        <v>9600</v>
      </c>
    </row>
    <row r="55" spans="1:17" s="42" customFormat="1" ht="15" hidden="1" customHeight="1" outlineLevel="1" x14ac:dyDescent="0.3">
      <c r="A55" s="34"/>
      <c r="B55" s="11" t="str">
        <f>CONCATENATE("          ","6273"," - ","RENT")</f>
        <v xml:space="preserve">          6273 - RENT</v>
      </c>
      <c r="C55" s="15"/>
      <c r="D55" s="3">
        <v>800</v>
      </c>
      <c r="E55" s="3">
        <v>800</v>
      </c>
      <c r="F55" s="3">
        <v>800</v>
      </c>
      <c r="G55" s="3">
        <v>800</v>
      </c>
      <c r="H55" s="3">
        <v>800</v>
      </c>
      <c r="I55" s="3">
        <v>800</v>
      </c>
      <c r="J55" s="3">
        <v>800</v>
      </c>
      <c r="K55" s="3">
        <v>800</v>
      </c>
      <c r="L55" s="3">
        <v>800</v>
      </c>
      <c r="M55" s="3">
        <v>800</v>
      </c>
      <c r="N55" s="3">
        <v>800</v>
      </c>
      <c r="O55" s="3">
        <v>800</v>
      </c>
      <c r="P55" s="10"/>
      <c r="Q55" s="3">
        <f>SUM(OSRRefD21_8_0x)+IFERROR(SUM(OSRRefE21_8_0x),0)</f>
        <v>9600</v>
      </c>
    </row>
    <row r="56" spans="1:17" s="42" customFormat="1" ht="15" customHeight="1" collapsed="1" x14ac:dyDescent="0.3">
      <c r="A56" s="34"/>
      <c r="B56" s="15" t="str">
        <f>CONCATENATE("     ","Repair and Maintenance                            ")</f>
        <v xml:space="preserve">     Repair and Maintenance                            </v>
      </c>
      <c r="C56" s="15"/>
      <c r="D56" s="2">
        <f>SUM(OSRRefD21_9x_0)</f>
        <v>122000.62</v>
      </c>
      <c r="E56" s="2">
        <f>SUM(OSRRefD21_9x_1)</f>
        <v>0</v>
      </c>
      <c r="F56" s="2">
        <f>SUM(OSRRefD21_9x_2)</f>
        <v>0</v>
      </c>
      <c r="G56" s="2">
        <f>SUM(OSRRefD21_9x_3)</f>
        <v>0</v>
      </c>
      <c r="H56" s="2">
        <f>SUM(OSRRefD21_9x_4)</f>
        <v>0</v>
      </c>
      <c r="I56" s="2">
        <f>SUM(OSRRefD21_9x_5)</f>
        <v>0</v>
      </c>
      <c r="J56" s="2">
        <f>SUM(OSRRefD21_9x_6)</f>
        <v>1555.65</v>
      </c>
      <c r="K56" s="2">
        <f>SUM(OSRRefD21_9x_7)</f>
        <v>7583.7</v>
      </c>
      <c r="L56" s="2">
        <f>SUM(OSRRefD21_9x_8)</f>
        <v>0</v>
      </c>
      <c r="M56" s="2">
        <f>SUM(OSRRefD21_9x_9)</f>
        <v>0</v>
      </c>
      <c r="N56" s="2">
        <f>SUM(OSRRefE21_9x_0)</f>
        <v>3200</v>
      </c>
      <c r="O56" s="2">
        <f>SUM(OSRRefE21_9x_1)</f>
        <v>3200</v>
      </c>
      <c r="Q56" s="3">
        <f>SUM(OSRRefD20_9x)+IFERROR(SUM(OSRRefE20_9x),0)</f>
        <v>137539.97</v>
      </c>
    </row>
    <row r="57" spans="1:17" s="42" customFormat="1" ht="15" hidden="1" customHeight="1" outlineLevel="1" x14ac:dyDescent="0.3">
      <c r="A57" s="34"/>
      <c r="B57" s="11" t="str">
        <f>CONCATENATE("          ","6371"," - ","COMPUTER SOFTWARE MAINTENANCE")</f>
        <v xml:space="preserve">          6371 - COMPUTER SOFTWARE MAINTENANCE</v>
      </c>
      <c r="C57" s="15"/>
      <c r="D57" s="3"/>
      <c r="E57" s="3"/>
      <c r="F57" s="3"/>
      <c r="G57" s="3"/>
      <c r="H57" s="3"/>
      <c r="I57" s="3"/>
      <c r="J57" s="3"/>
      <c r="K57" s="3">
        <v>7583.7</v>
      </c>
      <c r="L57" s="3"/>
      <c r="M57" s="3"/>
      <c r="N57" s="3"/>
      <c r="O57" s="3"/>
      <c r="P57" s="10"/>
      <c r="Q57" s="3">
        <f>SUM(OSRRefD21_9_0x)+IFERROR(SUM(OSRRefE21_9_0x),0)</f>
        <v>7583.7</v>
      </c>
    </row>
    <row r="58" spans="1:17" s="42" customFormat="1" ht="15" hidden="1" customHeight="1" outlineLevel="1" x14ac:dyDescent="0.3">
      <c r="A58" s="34"/>
      <c r="B58" s="11" t="str">
        <f>CONCATENATE("          ","6372"," - ","COMPUTER HARDWARE MAINTENANCE")</f>
        <v xml:space="preserve">          6372 - COMPUTER HARDWARE MAINTENANCE</v>
      </c>
      <c r="C58" s="15"/>
      <c r="D58" s="3"/>
      <c r="E58" s="3"/>
      <c r="F58" s="3"/>
      <c r="G58" s="3"/>
      <c r="H58" s="3"/>
      <c r="I58" s="3"/>
      <c r="J58" s="3">
        <v>1555.65</v>
      </c>
      <c r="K58" s="3"/>
      <c r="L58" s="3"/>
      <c r="M58" s="3"/>
      <c r="N58" s="3">
        <v>3200</v>
      </c>
      <c r="O58" s="3">
        <v>3200</v>
      </c>
      <c r="P58" s="10"/>
      <c r="Q58" s="3">
        <f>SUM(OSRRefD21_9_1x)+IFERROR(SUM(OSRRefE21_9_1x),0)</f>
        <v>7955.65</v>
      </c>
    </row>
    <row r="59" spans="1:17" s="42" customFormat="1" ht="15" hidden="1" customHeight="1" outlineLevel="1" x14ac:dyDescent="0.3">
      <c r="A59" s="34"/>
      <c r="B59" s="11" t="str">
        <f>CONCATENATE("          ","6373"," - ","MAINTENANCE CONTRACTS")</f>
        <v xml:space="preserve">          6373 - MAINTENANCE CONTRACTS</v>
      </c>
      <c r="C59" s="15"/>
      <c r="D59" s="3">
        <v>122000.62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10"/>
      <c r="Q59" s="3">
        <f>SUM(OSRRefD21_9_2x)+IFERROR(SUM(OSRRefE21_9_2x),0)</f>
        <v>122000.62</v>
      </c>
    </row>
    <row r="60" spans="1:17" s="42" customFormat="1" ht="15" customHeight="1" collapsed="1" x14ac:dyDescent="0.3">
      <c r="A60" s="34"/>
      <c r="B60" s="15" t="str">
        <f>CONCATENATE("     ","Subscriptions &amp; Dues                              ")</f>
        <v xml:space="preserve">     Subscriptions &amp; Dues                              </v>
      </c>
      <c r="C60" s="15"/>
      <c r="D60" s="2">
        <f>SUM(OSRRefD21_10x_0)</f>
        <v>0</v>
      </c>
      <c r="E60" s="2">
        <f>SUM(OSRRefD21_10x_1)</f>
        <v>0</v>
      </c>
      <c r="F60" s="2">
        <f>SUM(OSRRefD21_10x_2)</f>
        <v>0</v>
      </c>
      <c r="G60" s="2">
        <f>SUM(OSRRefD21_10x_3)</f>
        <v>0</v>
      </c>
      <c r="H60" s="2">
        <f>SUM(OSRRefD21_10x_4)</f>
        <v>0</v>
      </c>
      <c r="I60" s="2">
        <f>SUM(OSRRefD21_10x_5)</f>
        <v>0</v>
      </c>
      <c r="J60" s="2">
        <f>SUM(OSRRefD21_10x_6)</f>
        <v>0</v>
      </c>
      <c r="K60" s="2">
        <f>SUM(OSRRefD21_10x_7)</f>
        <v>0</v>
      </c>
      <c r="L60" s="2">
        <f>SUM(OSRRefD21_10x_8)</f>
        <v>0</v>
      </c>
      <c r="M60" s="2">
        <f>SUM(OSRRefD21_10x_9)</f>
        <v>0</v>
      </c>
      <c r="N60" s="2">
        <f>SUM(OSRRefE21_10x_0)</f>
        <v>85</v>
      </c>
      <c r="O60" s="2">
        <f>SUM(OSRRefE21_10x_1)</f>
        <v>85</v>
      </c>
      <c r="Q60" s="3">
        <f>SUM(OSRRefD20_10x)+IFERROR(SUM(OSRRefE20_10x),0)</f>
        <v>170</v>
      </c>
    </row>
    <row r="61" spans="1:17" s="42" customFormat="1" ht="15" hidden="1" customHeight="1" outlineLevel="1" x14ac:dyDescent="0.3">
      <c r="A61" s="34"/>
      <c r="B61" s="11" t="str">
        <f>CONCATENATE("          ","6258"," - ","MEMBERSHIP DUES")</f>
        <v xml:space="preserve">          6258 - MEMBERSHIP DUES</v>
      </c>
      <c r="C61" s="15"/>
      <c r="D61" s="3"/>
      <c r="E61" s="3"/>
      <c r="F61" s="3"/>
      <c r="G61" s="3"/>
      <c r="H61" s="3"/>
      <c r="I61" s="3"/>
      <c r="J61" s="3"/>
      <c r="K61" s="3"/>
      <c r="L61" s="3"/>
      <c r="M61" s="3"/>
      <c r="N61" s="3">
        <v>85</v>
      </c>
      <c r="O61" s="3">
        <v>85</v>
      </c>
      <c r="P61" s="10"/>
      <c r="Q61" s="3">
        <f>SUM(OSRRefD21_10_0x)+IFERROR(SUM(OSRRefE21_10_0x),0)</f>
        <v>170</v>
      </c>
    </row>
    <row r="62" spans="1:17" s="42" customFormat="1" ht="15" customHeight="1" collapsed="1" x14ac:dyDescent="0.3">
      <c r="A62" s="34"/>
      <c r="B62" s="15" t="str">
        <f>CONCATENATE("     ","Supplies                                          ")</f>
        <v xml:space="preserve">     Supplies                                          </v>
      </c>
      <c r="C62" s="15"/>
      <c r="D62" s="2">
        <f>SUM(OSRRefD21_11x_0)</f>
        <v>356.71</v>
      </c>
      <c r="E62" s="2">
        <f>SUM(OSRRefD21_11x_1)</f>
        <v>1601.24</v>
      </c>
      <c r="F62" s="2">
        <f>SUM(OSRRefD21_11x_2)</f>
        <v>18.71</v>
      </c>
      <c r="G62" s="2">
        <f>SUM(OSRRefD21_11x_3)</f>
        <v>13312.42</v>
      </c>
      <c r="H62" s="2">
        <f>SUM(OSRRefD21_11x_4)</f>
        <v>235.39</v>
      </c>
      <c r="I62" s="2">
        <f>SUM(OSRRefD21_11x_5)</f>
        <v>30.62</v>
      </c>
      <c r="J62" s="2">
        <f>SUM(OSRRefD21_11x_6)</f>
        <v>2523.12</v>
      </c>
      <c r="K62" s="2">
        <f>SUM(OSRRefD21_11x_7)</f>
        <v>1513.07</v>
      </c>
      <c r="L62" s="2">
        <f>SUM(OSRRefD21_11x_8)</f>
        <v>10001.17</v>
      </c>
      <c r="M62" s="2">
        <f>SUM(OSRRefD21_11x_9)</f>
        <v>23.08</v>
      </c>
      <c r="N62" s="2">
        <f>SUM(OSRRefE21_11x_0)</f>
        <v>5800</v>
      </c>
      <c r="O62" s="2">
        <f>SUM(OSRRefE21_11x_1)</f>
        <v>5800</v>
      </c>
      <c r="Q62" s="3">
        <f>SUM(OSRRefD20_11x)+IFERROR(SUM(OSRRefE20_11x),0)</f>
        <v>41215.53</v>
      </c>
    </row>
    <row r="63" spans="1:17" s="42" customFormat="1" ht="15" hidden="1" customHeight="1" outlineLevel="1" x14ac:dyDescent="0.3">
      <c r="A63" s="34"/>
      <c r="B63" s="11" t="str">
        <f>CONCATENATE("          ","6234"," - ","EXPENDABLE SUPPLIES &amp; EQUIPMEN")</f>
        <v xml:space="preserve">          6234 - EXPENDABLE SUPPLIES &amp; EQUIPMEN</v>
      </c>
      <c r="C63" s="15"/>
      <c r="D63" s="3"/>
      <c r="E63" s="3"/>
      <c r="F63" s="3"/>
      <c r="G63" s="3"/>
      <c r="H63" s="3"/>
      <c r="I63" s="3"/>
      <c r="J63" s="3"/>
      <c r="K63" s="3"/>
      <c r="L63" s="3"/>
      <c r="M63" s="3"/>
      <c r="N63" s="3">
        <v>5800</v>
      </c>
      <c r="O63" s="3">
        <v>5800</v>
      </c>
      <c r="P63" s="10"/>
      <c r="Q63" s="3">
        <f>SUM(OSRRefD21_11_0x)+IFERROR(SUM(OSRRefE21_11_0x),0)</f>
        <v>11600</v>
      </c>
    </row>
    <row r="64" spans="1:17" s="42" customFormat="1" ht="15" hidden="1" customHeight="1" outlineLevel="1" x14ac:dyDescent="0.3">
      <c r="A64" s="34"/>
      <c r="B64" s="11" t="str">
        <f>CONCATENATE("          ","6241"," - ","OFFICE EXPENSE")</f>
        <v xml:space="preserve">          6241 - OFFICE EXPENSE</v>
      </c>
      <c r="C64" s="15"/>
      <c r="D64" s="3">
        <v>356.71</v>
      </c>
      <c r="E64" s="3">
        <v>1601.24</v>
      </c>
      <c r="F64" s="3">
        <v>18.71</v>
      </c>
      <c r="G64" s="3">
        <v>13295.88</v>
      </c>
      <c r="H64" s="3">
        <v>235.39</v>
      </c>
      <c r="I64" s="3">
        <v>30.62</v>
      </c>
      <c r="J64" s="3">
        <v>2523.12</v>
      </c>
      <c r="K64" s="3">
        <v>1513.07</v>
      </c>
      <c r="L64" s="3">
        <v>9992.36</v>
      </c>
      <c r="M64" s="3">
        <v>23.08</v>
      </c>
      <c r="N64" s="3"/>
      <c r="O64" s="3"/>
      <c r="P64" s="10"/>
      <c r="Q64" s="3">
        <f>SUM(OSRRefD21_11_1x)+IFERROR(SUM(OSRRefE21_11_1x),0)</f>
        <v>29590.18</v>
      </c>
    </row>
    <row r="65" spans="1:17" s="42" customFormat="1" ht="15" hidden="1" customHeight="1" outlineLevel="1" x14ac:dyDescent="0.3">
      <c r="A65" s="34"/>
      <c r="B65" s="11" t="str">
        <f>CONCATENATE("          ","6247"," - ","STORE SUPPLIES")</f>
        <v xml:space="preserve">          6247 - STORE SUPPLIES</v>
      </c>
      <c r="C65" s="15"/>
      <c r="D65" s="3"/>
      <c r="E65" s="3"/>
      <c r="F65" s="3"/>
      <c r="G65" s="3">
        <v>16.54</v>
      </c>
      <c r="H65" s="3"/>
      <c r="I65" s="3"/>
      <c r="J65" s="3"/>
      <c r="K65" s="3"/>
      <c r="L65" s="3">
        <v>8.81</v>
      </c>
      <c r="M65" s="3"/>
      <c r="N65" s="3"/>
      <c r="O65" s="3"/>
      <c r="P65" s="10"/>
      <c r="Q65" s="3">
        <f>SUM(OSRRefD21_11_2x)+IFERROR(SUM(OSRRefE21_11_2x),0)</f>
        <v>25.35</v>
      </c>
    </row>
    <row r="66" spans="1:17" s="42" customFormat="1" ht="15" customHeight="1" collapsed="1" x14ac:dyDescent="0.3">
      <c r="A66" s="34"/>
      <c r="B66" s="15" t="str">
        <f>CONCATENATE("     ","Telephone/Data Lines                              ")</f>
        <v xml:space="preserve">     Telephone/Data Lines                              </v>
      </c>
      <c r="C66" s="15"/>
      <c r="D66" s="2">
        <f>SUM(OSRRefD21_12x_0)</f>
        <v>-250.25</v>
      </c>
      <c r="E66" s="2">
        <f>SUM(OSRRefD21_12x_1)</f>
        <v>86.95</v>
      </c>
      <c r="F66" s="2">
        <f>SUM(OSRRefD21_12x_2)</f>
        <v>0</v>
      </c>
      <c r="G66" s="2">
        <f>SUM(OSRRefD21_12x_3)</f>
        <v>87.3</v>
      </c>
      <c r="H66" s="2">
        <f>SUM(OSRRefD21_12x_4)</f>
        <v>90.85</v>
      </c>
      <c r="I66" s="2">
        <f>SUM(OSRRefD21_12x_5)</f>
        <v>90.15</v>
      </c>
      <c r="J66" s="2">
        <f>SUM(OSRRefD21_12x_6)</f>
        <v>88</v>
      </c>
      <c r="K66" s="2">
        <f>SUM(OSRRefD21_12x_7)</f>
        <v>87.2</v>
      </c>
      <c r="L66" s="2">
        <f>SUM(OSRRefD21_12x_8)</f>
        <v>87.05</v>
      </c>
      <c r="M66" s="2">
        <f>SUM(OSRRefD21_12x_9)</f>
        <v>56.44</v>
      </c>
      <c r="N66" s="2">
        <f>SUM(OSRRefE21_12x_0)</f>
        <v>350</v>
      </c>
      <c r="O66" s="2">
        <f>SUM(OSRRefE21_12x_1)</f>
        <v>350</v>
      </c>
      <c r="Q66" s="3">
        <f>SUM(OSRRefD20_12x)+IFERROR(SUM(OSRRefE20_12x),0)</f>
        <v>1123.69</v>
      </c>
    </row>
    <row r="67" spans="1:17" s="42" customFormat="1" ht="15" hidden="1" customHeight="1" outlineLevel="1" x14ac:dyDescent="0.3">
      <c r="A67" s="34"/>
      <c r="B67" s="11" t="str">
        <f>CONCATENATE("          ","6309"," - ","TELEPHONE")</f>
        <v xml:space="preserve">          6309 - TELEPHONE</v>
      </c>
      <c r="C67" s="15"/>
      <c r="D67" s="3">
        <v>-250.25</v>
      </c>
      <c r="E67" s="3">
        <v>86.95</v>
      </c>
      <c r="F67" s="3">
        <v>0</v>
      </c>
      <c r="G67" s="3">
        <v>87.3</v>
      </c>
      <c r="H67" s="3">
        <v>90.85</v>
      </c>
      <c r="I67" s="3">
        <v>90.15</v>
      </c>
      <c r="J67" s="3">
        <v>88</v>
      </c>
      <c r="K67" s="3">
        <v>87.2</v>
      </c>
      <c r="L67" s="3">
        <v>87.05</v>
      </c>
      <c r="M67" s="3">
        <v>56.44</v>
      </c>
      <c r="N67" s="3">
        <v>350</v>
      </c>
      <c r="O67" s="3">
        <v>350</v>
      </c>
      <c r="P67" s="10"/>
      <c r="Q67" s="3">
        <f>SUM(OSRRefD21_12_0x)+IFERROR(SUM(OSRRefE21_12_0x),0)</f>
        <v>1123.69</v>
      </c>
    </row>
    <row r="68" spans="1:17" s="42" customFormat="1" ht="15" customHeight="1" collapsed="1" x14ac:dyDescent="0.3">
      <c r="A68" s="34"/>
      <c r="B68" s="15" t="str">
        <f>CONCATENATE("     ","Training                                          ")</f>
        <v xml:space="preserve">     Training                                          </v>
      </c>
      <c r="C68" s="15"/>
      <c r="D68" s="2">
        <f>SUM(OSRRefD21_13x_0)</f>
        <v>0</v>
      </c>
      <c r="E68" s="2">
        <f>SUM(OSRRefD21_13x_1)</f>
        <v>0</v>
      </c>
      <c r="F68" s="2">
        <f>SUM(OSRRefD21_13x_2)</f>
        <v>0</v>
      </c>
      <c r="G68" s="2">
        <f>SUM(OSRRefD21_13x_3)</f>
        <v>2000</v>
      </c>
      <c r="H68" s="2">
        <f>SUM(OSRRefD21_13x_4)</f>
        <v>0</v>
      </c>
      <c r="I68" s="2">
        <f>SUM(OSRRefD21_13x_5)</f>
        <v>0</v>
      </c>
      <c r="J68" s="2">
        <f>SUM(OSRRefD21_13x_6)</f>
        <v>0</v>
      </c>
      <c r="K68" s="2">
        <f>SUM(OSRRefD21_13x_7)</f>
        <v>0</v>
      </c>
      <c r="L68" s="2">
        <f>SUM(OSRRefD21_13x_8)</f>
        <v>0</v>
      </c>
      <c r="M68" s="2">
        <f>SUM(OSRRefD21_13x_9)</f>
        <v>0</v>
      </c>
      <c r="N68" s="2">
        <f>SUM(OSRRefE21_13x_0)</f>
        <v>0</v>
      </c>
      <c r="O68" s="2">
        <f>SUM(OSRRefE21_13x_1)</f>
        <v>0</v>
      </c>
      <c r="Q68" s="3">
        <f>SUM(OSRRefD20_13x)+IFERROR(SUM(OSRRefE20_13x),0)</f>
        <v>2000</v>
      </c>
    </row>
    <row r="69" spans="1:17" s="42" customFormat="1" ht="15" hidden="1" customHeight="1" outlineLevel="1" x14ac:dyDescent="0.3">
      <c r="A69" s="34"/>
      <c r="B69" s="11" t="str">
        <f>CONCATENATE("          ","6376"," - ","TRAINING")</f>
        <v xml:space="preserve">          6376 - TRAINING</v>
      </c>
      <c r="C69" s="15"/>
      <c r="D69" s="3"/>
      <c r="E69" s="3"/>
      <c r="F69" s="3"/>
      <c r="G69" s="3">
        <v>2000</v>
      </c>
      <c r="H69" s="3"/>
      <c r="I69" s="3"/>
      <c r="J69" s="3"/>
      <c r="K69" s="3"/>
      <c r="L69" s="3"/>
      <c r="M69" s="3"/>
      <c r="N69" s="3"/>
      <c r="O69" s="3"/>
      <c r="P69" s="10"/>
      <c r="Q69" s="3">
        <f>SUM(OSRRefD21_13_0x)+IFERROR(SUM(OSRRefE21_13_0x),0)</f>
        <v>2000</v>
      </c>
    </row>
    <row r="70" spans="1:17" s="40" customFormat="1" ht="15" customHeight="1" x14ac:dyDescent="0.3">
      <c r="A70" s="22"/>
      <c r="B70" s="22"/>
      <c r="C70" s="2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Q70" s="2"/>
    </row>
    <row r="71" spans="1:17" s="39" customFormat="1" ht="15" customHeight="1" x14ac:dyDescent="0.3">
      <c r="A71" s="24"/>
      <c r="B71" s="17" t="s">
        <v>287</v>
      </c>
      <c r="C71" s="23"/>
      <c r="D71" s="4">
        <f>--108.16</f>
        <v>108.16</v>
      </c>
      <c r="E71" s="4">
        <f>--1456.68</f>
        <v>1456.68</v>
      </c>
      <c r="F71" s="4">
        <f>--1163.73</f>
        <v>1163.73</v>
      </c>
      <c r="G71" s="4">
        <f>--1668.3</f>
        <v>1668.3</v>
      </c>
      <c r="H71" s="4">
        <f>--620.46</f>
        <v>620.46</v>
      </c>
      <c r="I71" s="4">
        <f>--713.07</f>
        <v>713.07</v>
      </c>
      <c r="J71" s="4">
        <f>--508.14</f>
        <v>508.14</v>
      </c>
      <c r="K71" s="4">
        <f>--1802.51</f>
        <v>1802.51</v>
      </c>
      <c r="L71" s="4">
        <f>--1533.83</f>
        <v>1533.83</v>
      </c>
      <c r="M71" s="4">
        <f>--1642</f>
        <v>1642</v>
      </c>
      <c r="N71" s="4">
        <v>2400</v>
      </c>
      <c r="O71" s="4">
        <v>2400</v>
      </c>
      <c r="Q71" s="3">
        <f>SUM(OSRRefD23_0x)+IFERROR(SUM(OSRRefE23_0x),0)</f>
        <v>16016.880000000001</v>
      </c>
    </row>
    <row r="72" spans="1:17" ht="15" customHeight="1" x14ac:dyDescent="0.3">
      <c r="A72" s="6"/>
      <c r="B72" s="7"/>
      <c r="C72" s="7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Q72" s="4"/>
    </row>
    <row r="73" spans="1:17" s="37" customFormat="1" ht="15" customHeight="1" x14ac:dyDescent="0.3">
      <c r="A73" s="7"/>
      <c r="B73" s="18" t="s">
        <v>288</v>
      </c>
      <c r="C73" s="18"/>
      <c r="D73" s="9">
        <f t="shared" ref="D73:O73" si="3">IFERROR(+D15-D18+D71,0)</f>
        <v>0.14000000001047397</v>
      </c>
      <c r="E73" s="9">
        <f t="shared" si="3"/>
        <v>67291.799999999988</v>
      </c>
      <c r="F73" s="9">
        <f t="shared" si="3"/>
        <v>-0.16000000000303771</v>
      </c>
      <c r="G73" s="9">
        <f t="shared" si="3"/>
        <v>-432.76000000000499</v>
      </c>
      <c r="H73" s="9">
        <f t="shared" si="3"/>
        <v>0.33000000000265572</v>
      </c>
      <c r="I73" s="9">
        <f t="shared" si="3"/>
        <v>-30657.85</v>
      </c>
      <c r="J73" s="9">
        <f t="shared" si="3"/>
        <v>-1348.27</v>
      </c>
      <c r="K73" s="9">
        <f t="shared" si="3"/>
        <v>6399.9599999999973</v>
      </c>
      <c r="L73" s="9">
        <f t="shared" si="3"/>
        <v>1998.0300000000007</v>
      </c>
      <c r="M73" s="9">
        <f t="shared" si="3"/>
        <v>1433.0499999999993</v>
      </c>
      <c r="N73" s="9">
        <f t="shared" si="3"/>
        <v>3514.6434708223096</v>
      </c>
      <c r="O73" s="9">
        <f t="shared" si="3"/>
        <v>10348.623430822314</v>
      </c>
      <c r="Q73" s="9">
        <f>IFERROR(+Q15-Q18+Q71,0)</f>
        <v>58547.536901644606</v>
      </c>
    </row>
    <row r="74" spans="1:17" s="38" customFormat="1" ht="15" customHeight="1" x14ac:dyDescent="0.3">
      <c r="B74" s="17"/>
      <c r="C74" s="17"/>
      <c r="D74" s="5">
        <f t="shared" ref="D74:O74" si="4">IFERROR(D73/D10,0)</f>
        <v>9.6117538025110001E-7</v>
      </c>
      <c r="E74" s="5">
        <f t="shared" si="4"/>
        <v>0.74605363814761005</v>
      </c>
      <c r="F74" s="5">
        <f t="shared" si="4"/>
        <v>-9.1858996442207897E-6</v>
      </c>
      <c r="G74" s="5">
        <f t="shared" si="4"/>
        <v>-1.2337429084585483E-2</v>
      </c>
      <c r="H74" s="5">
        <f t="shared" si="4"/>
        <v>2.0374143360045425E-5</v>
      </c>
      <c r="I74" s="5">
        <f t="shared" si="4"/>
        <v>2.0444018404907975</v>
      </c>
      <c r="J74" s="5">
        <f t="shared" si="4"/>
        <v>-6.0993892784437911E-2</v>
      </c>
      <c r="K74" s="5">
        <f t="shared" si="4"/>
        <v>0.18366939302625906</v>
      </c>
      <c r="L74" s="5">
        <f t="shared" si="4"/>
        <v>7.1596015336653912E-2</v>
      </c>
      <c r="M74" s="5">
        <f t="shared" si="4"/>
        <v>5.7168787649100383E-2</v>
      </c>
      <c r="N74" s="5">
        <f t="shared" si="4"/>
        <v>0.10221443858724182</v>
      </c>
      <c r="O74" s="5">
        <f t="shared" si="4"/>
        <v>0.26025106706624873</v>
      </c>
      <c r="P74" s="19"/>
      <c r="Q74" s="5">
        <f>IFERROR(Q73/Q10,0)</f>
        <v>0.12361685166334391</v>
      </c>
    </row>
    <row r="75" spans="1:17" ht="15" customHeight="1" x14ac:dyDescent="0.3">
      <c r="A75" s="6"/>
      <c r="B75" s="7"/>
      <c r="C75" s="6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Q75" s="4"/>
    </row>
    <row r="76" spans="1:17" s="37" customFormat="1" ht="15" customHeight="1" x14ac:dyDescent="0.3">
      <c r="A76" s="26"/>
      <c r="B76" s="7" t="s">
        <v>289</v>
      </c>
      <c r="C76" s="7"/>
      <c r="D76" s="4">
        <v>67292.009999999995</v>
      </c>
      <c r="E76" s="4">
        <v>-32047.93</v>
      </c>
      <c r="F76" s="4">
        <v>-3895.43</v>
      </c>
      <c r="G76" s="4">
        <v>1981.88</v>
      </c>
      <c r="H76" s="4">
        <v>2944.24</v>
      </c>
      <c r="I76" s="4">
        <v>-1421.65</v>
      </c>
      <c r="J76" s="4">
        <v>6399.57</v>
      </c>
      <c r="K76" s="4">
        <v>1998.13</v>
      </c>
      <c r="L76" s="4">
        <v>1433.5</v>
      </c>
      <c r="M76" s="4">
        <v>569.41999999999996</v>
      </c>
      <c r="N76" s="4">
        <v>4760</v>
      </c>
      <c r="O76" s="4">
        <v>-1401</v>
      </c>
      <c r="Q76" s="3">
        <f>SUM(OSRRefD28_0x)+IFERROR(SUM(OSRRefE28_0x),0)</f>
        <v>48612.739999999983</v>
      </c>
    </row>
    <row r="77" spans="1:17" ht="15" customHeight="1" x14ac:dyDescent="0.3">
      <c r="A77" s="6"/>
      <c r="B77" s="7"/>
      <c r="C77" s="7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Q77" s="4"/>
    </row>
    <row r="78" spans="1:17" s="37" customFormat="1" ht="15.75" customHeight="1" x14ac:dyDescent="0.3">
      <c r="A78" s="7"/>
      <c r="B78" s="18" t="s">
        <v>290</v>
      </c>
      <c r="C78" s="18"/>
      <c r="D78" s="8">
        <f t="shared" ref="D78:O78" si="5">IFERROR(+D73-D76,0)</f>
        <v>-67291.869999999981</v>
      </c>
      <c r="E78" s="8">
        <f t="shared" si="5"/>
        <v>99339.729999999981</v>
      </c>
      <c r="F78" s="8">
        <f t="shared" si="5"/>
        <v>3895.2699999999968</v>
      </c>
      <c r="G78" s="8">
        <f t="shared" si="5"/>
        <v>-2414.6400000000049</v>
      </c>
      <c r="H78" s="8">
        <f t="shared" si="5"/>
        <v>-2943.9099999999971</v>
      </c>
      <c r="I78" s="8">
        <f t="shared" si="5"/>
        <v>-29236.199999999997</v>
      </c>
      <c r="J78" s="8">
        <f t="shared" si="5"/>
        <v>-7747.84</v>
      </c>
      <c r="K78" s="8">
        <f t="shared" si="5"/>
        <v>4401.8299999999972</v>
      </c>
      <c r="L78" s="8">
        <f t="shared" si="5"/>
        <v>564.53000000000065</v>
      </c>
      <c r="M78" s="8">
        <f t="shared" si="5"/>
        <v>863.62999999999931</v>
      </c>
      <c r="N78" s="8">
        <f t="shared" si="5"/>
        <v>-1245.3565291776904</v>
      </c>
      <c r="O78" s="8">
        <f t="shared" si="5"/>
        <v>11749.623430822314</v>
      </c>
      <c r="Q78" s="8">
        <f>IFERROR(+Q73-Q76,0)</f>
        <v>9934.7969016446223</v>
      </c>
    </row>
    <row r="79" spans="1:17" ht="15.75" customHeight="1" x14ac:dyDescent="0.3">
      <c r="A79" s="6"/>
      <c r="B79" s="6"/>
      <c r="C79" s="6"/>
      <c r="D79" s="5">
        <f t="shared" ref="D79:O79" si="6">IFERROR(D78/D10,0)</f>
        <v>-0.4619949195015618</v>
      </c>
      <c r="E79" s="5">
        <f t="shared" si="6"/>
        <v>1.1013640143242012</v>
      </c>
      <c r="F79" s="5">
        <f t="shared" si="6"/>
        <v>0.22363474566540342</v>
      </c>
      <c r="G79" s="5">
        <f t="shared" si="6"/>
        <v>-6.8838270091513096E-2</v>
      </c>
      <c r="H79" s="5">
        <f t="shared" si="6"/>
        <v>-0.18175649811693506</v>
      </c>
      <c r="I79" s="5">
        <f t="shared" si="6"/>
        <v>1.949599893304881</v>
      </c>
      <c r="J79" s="5">
        <f t="shared" si="6"/>
        <v>-0.35050169644876727</v>
      </c>
      <c r="K79" s="5">
        <f t="shared" si="6"/>
        <v>0.12632601521021658</v>
      </c>
      <c r="L79" s="5">
        <f t="shared" si="6"/>
        <v>2.0228974809187682E-2</v>
      </c>
      <c r="M79" s="5">
        <f t="shared" si="6"/>
        <v>3.4452866318267016E-2</v>
      </c>
      <c r="N79" s="5">
        <f t="shared" si="6"/>
        <v>-3.6218017425554465E-2</v>
      </c>
      <c r="O79" s="5">
        <f t="shared" si="6"/>
        <v>0.29548394102259112</v>
      </c>
      <c r="P79" s="19"/>
      <c r="Q79" s="5">
        <f>IFERROR(Q78/Q10,0)</f>
        <v>2.0976259290961807E-2</v>
      </c>
    </row>
    <row r="80" spans="1:17" ht="15" customHeight="1" x14ac:dyDescent="0.3">
      <c r="A80" s="6"/>
      <c r="B80" s="6"/>
      <c r="C80" s="6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Q80" s="4"/>
    </row>
    <row r="81" spans="1:17" ht="15" customHeight="1" x14ac:dyDescent="0.3">
      <c r="A81" s="6"/>
      <c r="B81" s="6"/>
      <c r="C81" s="6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Q81" s="4"/>
    </row>
    <row r="82" spans="1:17" s="37" customFormat="1" ht="15.75" customHeight="1" x14ac:dyDescent="0.3">
      <c r="A82" s="7"/>
      <c r="B82" s="18" t="s">
        <v>293</v>
      </c>
      <c r="C82" s="18"/>
      <c r="D82" s="8">
        <f t="shared" ref="D82:O82" si="7">IFERROR(SUM(D78:D81),0)</f>
        <v>-67292.331994919485</v>
      </c>
      <c r="E82" s="8">
        <f t="shared" si="7"/>
        <v>99340.831364014302</v>
      </c>
      <c r="F82" s="8">
        <f t="shared" si="7"/>
        <v>3895.4936347456623</v>
      </c>
      <c r="G82" s="8">
        <f t="shared" si="7"/>
        <v>-2414.7088382700963</v>
      </c>
      <c r="H82" s="8">
        <f t="shared" si="7"/>
        <v>-2944.0917564981141</v>
      </c>
      <c r="I82" s="8">
        <f t="shared" si="7"/>
        <v>-29234.250400106692</v>
      </c>
      <c r="J82" s="8">
        <f t="shared" si="7"/>
        <v>-7748.1905016964492</v>
      </c>
      <c r="K82" s="8">
        <f t="shared" si="7"/>
        <v>4401.9563260152072</v>
      </c>
      <c r="L82" s="8">
        <f t="shared" si="7"/>
        <v>564.5502289748099</v>
      </c>
      <c r="M82" s="8">
        <f t="shared" si="7"/>
        <v>863.66445286631756</v>
      </c>
      <c r="N82" s="8">
        <f t="shared" si="7"/>
        <v>-1245.392747195116</v>
      </c>
      <c r="O82" s="8">
        <f t="shared" si="7"/>
        <v>11749.918914763337</v>
      </c>
      <c r="Q82" s="8">
        <f>IFERROR(SUM(Q78:Q81),0)</f>
        <v>9934.8178779039135</v>
      </c>
    </row>
    <row r="83" spans="1:17" ht="15.75" customHeight="1" x14ac:dyDescent="0.3">
      <c r="A83" s="6"/>
      <c r="C83" s="6"/>
      <c r="D83" s="5">
        <f t="shared" ref="D83:O83" si="8">IFERROR(D82/D10,0)</f>
        <v>-0.46199809134543601</v>
      </c>
      <c r="E83" s="5">
        <f t="shared" si="8"/>
        <v>1.1013762249743817</v>
      </c>
      <c r="F83" s="5">
        <f t="shared" si="8"/>
        <v>0.2236475849549697</v>
      </c>
      <c r="G83" s="5">
        <f t="shared" si="8"/>
        <v>-6.8840232581751468E-2</v>
      </c>
      <c r="H83" s="5">
        <f t="shared" si="8"/>
        <v>-0.1817677197319327</v>
      </c>
      <c r="I83" s="5">
        <f t="shared" si="8"/>
        <v>1.949469885309862</v>
      </c>
      <c r="J83" s="5">
        <f t="shared" si="8"/>
        <v>-0.35051755266665685</v>
      </c>
      <c r="K83" s="5">
        <f t="shared" si="8"/>
        <v>0.12632964058014656</v>
      </c>
      <c r="L83" s="5">
        <f t="shared" si="8"/>
        <v>2.0229699680180954E-2</v>
      </c>
      <c r="M83" s="5">
        <f t="shared" si="8"/>
        <v>3.4454240749444191E-2</v>
      </c>
      <c r="N83" s="5">
        <f t="shared" si="8"/>
        <v>-3.6219070734189791E-2</v>
      </c>
      <c r="O83" s="5">
        <f t="shared" si="8"/>
        <v>0.29549137196366909</v>
      </c>
      <c r="P83" s="19"/>
      <c r="Q83" s="5">
        <f>IFERROR(Q82/Q10,0)</f>
        <v>2.0976303580086005E-2</v>
      </c>
    </row>
    <row r="84" spans="1:17" ht="15" customHeight="1" x14ac:dyDescent="0.3">
      <c r="A84" s="6"/>
      <c r="B84" s="33">
        <v>44694.892891863426</v>
      </c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Q84" s="14"/>
    </row>
    <row r="85" spans="1:17" ht="15" customHeight="1" x14ac:dyDescent="0.3">
      <c r="A85" s="6"/>
      <c r="B85" s="31" t="s">
        <v>294</v>
      </c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Q85" s="14"/>
    </row>
    <row r="86" spans="1:17" ht="15" customHeight="1" x14ac:dyDescent="0.3">
      <c r="A86" s="6"/>
      <c r="B86" s="27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Q86" s="14"/>
    </row>
    <row r="87" spans="1:17" ht="15" customHeight="1" x14ac:dyDescent="0.3"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Q87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69032-B7CB-ECD4-17C9-A74F825166E9}">
  <sheetPr>
    <tabColor rgb="FF92D05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278</v>
      </c>
    </row>
    <row r="5" spans="1:8" ht="15" customHeight="1" x14ac:dyDescent="0.3">
      <c r="A5" s="16"/>
      <c r="B5" s="16" t="e">
        <f ca="1">CONCATENATE("Department ",_xll.ONESTOP.REPORTPLAYER.OSRFUNCTIONS.OSRPAR("Department")," - ",_xll.ONESTOP.REPORTPLAYER.OSRFUNCTIONS.OSRGET("d_dim0","Description"))</f>
        <v>#NAME?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281</v>
      </c>
    </row>
    <row r="8" spans="1:8" ht="15" customHeight="1" x14ac:dyDescent="0.3">
      <c r="A8" s="7"/>
      <c r="B8" s="28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64108-AC26-12D6-171B-319ECD2572F4}">
  <sheetPr>
    <tabColor rgb="FF92D05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278</v>
      </c>
    </row>
    <row r="5" spans="1:8" ht="15" customHeight="1" x14ac:dyDescent="0.3">
      <c r="A5" s="16"/>
      <c r="B5" s="16" t="e">
        <f ca="1">CONCATENATE("Department ",_xll.ONESTOP.REPORTPLAYER.OSRFUNCTIONS.OSRPAR("Department")," - ",_xll.ONESTOP.REPORTPLAYER.OSRFUNCTIONS.OSRGET("d_dim0","Description"))</f>
        <v>#NAME?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281</v>
      </c>
    </row>
    <row r="8" spans="1:8" ht="15" customHeight="1" x14ac:dyDescent="0.3">
      <c r="A8" s="7"/>
      <c r="B8" s="28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ACCB6-29B3-13BE-7483-A1C42433790A}">
  <sheetPr>
    <tabColor rgb="FF92D050"/>
    <outlinePr summaryBelow="0" summaryRight="0"/>
    <pageSetUpPr fitToPage="1"/>
  </sheetPr>
  <dimension ref="A2:H41"/>
  <sheetViews>
    <sheetView showGridLines="0" defaultGridColor="0" colorId="8" zoomScale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9" sqref="D9"/>
    </sheetView>
  </sheetViews>
  <sheetFormatPr defaultRowHeight="15" customHeight="1" outlineLevelRow="1" x14ac:dyDescent="0.3"/>
  <cols>
    <col min="1" max="1" width="1.88671875" style="41" customWidth="1"/>
    <col min="2" max="2" width="33.44140625" style="41" customWidth="1"/>
    <col min="3" max="3" width="1.88671875" style="41" customWidth="1"/>
    <col min="4" max="5" width="15" style="41" customWidth="1"/>
    <col min="6" max="6" width="1.88671875" style="41" customWidth="1"/>
    <col min="7" max="7" width="15" style="41" customWidth="1"/>
  </cols>
  <sheetData>
    <row r="2" spans="1:8" ht="15" customHeight="1" x14ac:dyDescent="0.3">
      <c r="B2" s="32" t="s">
        <v>276</v>
      </c>
    </row>
    <row r="3" spans="1:8" ht="15" customHeight="1" x14ac:dyDescent="0.3">
      <c r="B3" s="32" t="s">
        <v>297</v>
      </c>
    </row>
    <row r="4" spans="1:8" ht="15" customHeight="1" x14ac:dyDescent="0.3">
      <c r="B4" s="30" t="s">
        <v>295</v>
      </c>
    </row>
    <row r="5" spans="1:8" ht="15" customHeight="1" x14ac:dyDescent="0.3">
      <c r="A5" s="16"/>
      <c r="B5" s="16" t="e">
        <f ca="1">CONCATENATE("Department ",_xll.ONESTOP.REPORTPLAYER.OSRFUNCTIONS.OSRPAR("Department")," - ",_xll.ONESTOP.REPORTPLAYER.OSRFUNCTIONS.OSRGET("d_dim0","Description"))</f>
        <v>#NAME?</v>
      </c>
    </row>
    <row r="6" spans="1:8" ht="15" customHeight="1" x14ac:dyDescent="0.3">
      <c r="B6" s="6"/>
      <c r="C6" s="6"/>
    </row>
    <row r="7" spans="1:8" ht="15" customHeight="1" x14ac:dyDescent="0.3">
      <c r="B7" s="6"/>
      <c r="C7" s="6"/>
      <c r="D7" s="13" t="s">
        <v>280</v>
      </c>
      <c r="E7" s="13" t="s">
        <v>296</v>
      </c>
    </row>
    <row r="8" spans="1:8" ht="15" customHeight="1" x14ac:dyDescent="0.3">
      <c r="A8" s="7"/>
      <c r="B8" s="28"/>
      <c r="C8" s="7"/>
      <c r="D8" s="13" t="e">
        <f ca="1">CONCATENATE("Period ",_xll.ONESTOP.REPORTPLAYER.OSRFUNCTIONS.OSRGET("Period","PeriodInYear"))</f>
        <v>#NAME?</v>
      </c>
      <c r="E8" s="13" t="e">
        <f ca="1">CONCATENATE("Period ",_xll.ONESTOP.REPORTPLAYER.OSRFUNCTIONS.OSRGET("Period","PeriodInYear"))</f>
        <v>#NAME?</v>
      </c>
      <c r="G8" s="13" t="s">
        <v>282</v>
      </c>
    </row>
    <row r="9" spans="1:8" ht="15.75" customHeight="1" x14ac:dyDescent="0.3">
      <c r="A9" s="6"/>
      <c r="B9" s="29"/>
      <c r="C9" s="6"/>
      <c r="D9" s="6"/>
      <c r="E9" s="6"/>
      <c r="G9" s="6"/>
    </row>
    <row r="10" spans="1:8" ht="15" customHeight="1" collapsed="1" x14ac:dyDescent="0.3">
      <c r="A10" s="6"/>
      <c r="B10" s="17" t="s">
        <v>283</v>
      </c>
      <c r="C10" s="6"/>
      <c r="D10" s="4" t="e">
        <f ca="1">SUM(_xll.ONESTOP.REPORTPLAYER.OSRFUNCTIONS.OSRREF(D11))</f>
        <v>#NAME?</v>
      </c>
      <c r="E10" s="4" t="e">
        <f ca="1">SUM(_xll.ONESTOP.REPORTPLAYER.OSRFUNCTIONS.OSRREF(E11))</f>
        <v>#NAME?</v>
      </c>
      <c r="F10" s="25"/>
      <c r="G10" s="4" t="e">
        <f ca="1">SUM(_xll.ONESTOP.REPORTPLAYER.OSRFUNCTIONS.OSRREF(G11))</f>
        <v>#NAME?</v>
      </c>
      <c r="H10" s="25"/>
    </row>
    <row r="11" spans="1:8" s="39" customFormat="1" ht="15" hidden="1" customHeight="1" outlineLevel="1" x14ac:dyDescent="0.3">
      <c r="A11" s="24"/>
      <c r="B11" s="11" t="e">
        <f ca="1">CONCATENATE("          ",_xll.ONESTOP.REPORTPLAYER.OSRFUNCTIONS.OSRGET("d_Account","Code")," - ",_xll.ONESTOP.REPORTPLAYER.OSRFUNCTIONS.OSRGET("d_Account","Description"))</f>
        <v>#NAME?</v>
      </c>
      <c r="C11" s="23"/>
      <c r="D11" s="3" t="e">
        <f ca="1">-_xll.ONESTOP.REPORTPLAYER.OSRFUNCTIONS.OSRGET("GL_F_Trans","Value1")</f>
        <v>#NAME?</v>
      </c>
      <c r="E11" s="3" t="e">
        <f ca="1">_xll.ONESTOP.REPORTPLAYER.OSRFUNCTIONS.OSRGET("GL_F_Trans","Value1")</f>
        <v>#NAME?</v>
      </c>
      <c r="G11" s="3" t="e">
        <f ca="1">SUM(_xll.ONESTOP.REPORTPLAYER.OSRFUNCTIONS.OSRREF(D11))+IFERROR(SUM(_xll.ONESTOP.REPORTPLAYER.OSRFUNCTIONS.OSRREF(E11)),0)</f>
        <v>#NAME?</v>
      </c>
    </row>
    <row r="12" spans="1:8" ht="15" customHeight="1" x14ac:dyDescent="0.3">
      <c r="A12" s="6"/>
      <c r="B12" s="7"/>
      <c r="C12" s="6"/>
      <c r="D12" s="4"/>
      <c r="E12" s="4"/>
      <c r="G12" s="4"/>
    </row>
    <row r="13" spans="1:8" s="39" customFormat="1" ht="15" customHeight="1" collapsed="1" x14ac:dyDescent="0.3">
      <c r="A13" s="24"/>
      <c r="B13" s="17" t="s">
        <v>284</v>
      </c>
      <c r="C13" s="23"/>
      <c r="D13" s="4" t="e">
        <f ca="1">SUM(_xll.ONESTOP.REPORTPLAYER.OSRFUNCTIONS.OSRREF(D14))</f>
        <v>#NAME?</v>
      </c>
      <c r="E13" s="4" t="e">
        <f ca="1">SUM(_xll.ONESTOP.REPORTPLAYER.OSRFUNCTIONS.OSRREF(E14))</f>
        <v>#NAME?</v>
      </c>
      <c r="G13" s="4" t="e">
        <f ca="1">SUM(_xll.ONESTOP.REPORTPLAYER.OSRFUNCTIONS.OSRREF(G14))</f>
        <v>#NAME?</v>
      </c>
    </row>
    <row r="14" spans="1:8" s="39" customFormat="1" ht="15" hidden="1" customHeight="1" outlineLevel="1" x14ac:dyDescent="0.3">
      <c r="A14" s="24"/>
      <c r="B14" s="11" t="e">
        <f ca="1">CONCATENATE("          ",_xll.ONESTOP.REPORTPLAYER.OSRFUNCTIONS.OSRGET("d_Account","Code")," - ",_xll.ONESTOP.REPORTPLAYER.OSRFUNCTIONS.OSRGET("d_Account","Description"))</f>
        <v>#NAME?</v>
      </c>
      <c r="C14" s="23"/>
      <c r="D14" s="3" t="e">
        <f ca="1">_xll.ONESTOP.REPORTPLAYER.OSRFUNCTIONS.OSRGET("GL_F_Trans","Value1")</f>
        <v>#NAME?</v>
      </c>
      <c r="E14" s="3" t="e">
        <f ca="1">_xll.ONESTOP.REPORTPLAYER.OSRFUNCTIONS.OSRGET("GL_F_Trans","Value1")</f>
        <v>#NAME?</v>
      </c>
      <c r="G14" s="3" t="e">
        <f ca="1">SUM(_xll.ONESTOP.REPORTPLAYER.OSRFUNCTIONS.OSRREF(D14))+IFERROR(SUM(_xll.ONESTOP.REPORTPLAYER.OSRFUNCTIONS.OSRREF(E14)),0)</f>
        <v>#NAME?</v>
      </c>
    </row>
    <row r="15" spans="1:8" ht="15" customHeight="1" x14ac:dyDescent="0.3">
      <c r="A15" s="6"/>
      <c r="B15" s="7"/>
      <c r="C15" s="7"/>
      <c r="D15" s="4"/>
      <c r="E15" s="4"/>
      <c r="G15" s="4"/>
    </row>
    <row r="16" spans="1:8" s="37" customFormat="1" ht="15" customHeight="1" x14ac:dyDescent="0.3">
      <c r="A16" s="7"/>
      <c r="B16" s="18" t="s">
        <v>285</v>
      </c>
      <c r="C16" s="18"/>
      <c r="D16" s="9">
        <f ca="1">IFERROR(+D10-D13,0)</f>
        <v>0</v>
      </c>
      <c r="E16" s="9">
        <f ca="1">IFERROR(+E10-E13,0)</f>
        <v>0</v>
      </c>
      <c r="G16" s="9">
        <f ca="1">IFERROR(+G10-G13,0)</f>
        <v>0</v>
      </c>
    </row>
    <row r="17" spans="1:7" s="38" customFormat="1" ht="15" customHeight="1" x14ac:dyDescent="0.3">
      <c r="B17" s="17"/>
      <c r="C17" s="17"/>
      <c r="D17" s="5">
        <f ca="1">IFERROR(D16/D10,0)</f>
        <v>0</v>
      </c>
      <c r="E17" s="5">
        <f ca="1">IFERROR(E16/E10,0)</f>
        <v>0</v>
      </c>
      <c r="F17" s="19"/>
      <c r="G17" s="5">
        <f ca="1">IFERROR(G16/G10,0)</f>
        <v>0</v>
      </c>
    </row>
    <row r="18" spans="1:7" ht="15" customHeight="1" x14ac:dyDescent="0.3">
      <c r="A18" s="6"/>
      <c r="B18" s="7"/>
      <c r="C18" s="6"/>
      <c r="D18" s="2"/>
      <c r="E18" s="2"/>
      <c r="G18" s="2"/>
    </row>
    <row r="19" spans="1:7" s="37" customFormat="1" ht="15" customHeight="1" x14ac:dyDescent="0.3">
      <c r="A19" s="7"/>
      <c r="B19" s="17" t="s">
        <v>286</v>
      </c>
      <c r="C19" s="7"/>
      <c r="D19" s="12" t="e">
        <f ca="1">SUM(_xll.ONESTOP.REPORTPLAYER.OSRFUNCTIONS.OSRREF(D20))</f>
        <v>#NAME?</v>
      </c>
      <c r="E19" s="12" t="e">
        <f ca="1">SUM(_xll.ONESTOP.REPORTPLAYER.OSRFUNCTIONS.OSRREF(E20))</f>
        <v>#NAME?</v>
      </c>
      <c r="G19" s="12" t="e">
        <f ca="1">SUM(_xll.ONESTOP.REPORTPLAYER.OSRFUNCTIONS.OSRREF(G20))</f>
        <v>#NAME?</v>
      </c>
    </row>
    <row r="20" spans="1:7" s="42" customFormat="1" ht="15" customHeight="1" collapsed="1" x14ac:dyDescent="0.3">
      <c r="A20" s="34"/>
      <c r="B20" s="15" t="e">
        <f ca="1">CONCATENATE("     ",_xll.ONESTOP.REPORTPLAYER.OSRFUNCTIONS.OSRGET("d_Account","AccountCategory"))</f>
        <v>#NAME?</v>
      </c>
      <c r="C20" s="15"/>
      <c r="D20" s="2" t="e">
        <f ca="1">SUM(_xll.ONESTOP.REPORTPLAYER.OSRFUNCTIONS.OSRREF(D21))</f>
        <v>#NAME?</v>
      </c>
      <c r="E20" s="2" t="e">
        <f ca="1">SUM(_xll.ONESTOP.REPORTPLAYER.OSRFUNCTIONS.OSRREF(E21))</f>
        <v>#NAME?</v>
      </c>
      <c r="G20" s="3" t="e">
        <f ca="1">SUM(_xll.ONESTOP.REPORTPLAYER.OSRFUNCTIONS.OSRREF(D20))+IFERROR(SUM(_xll.ONESTOP.REPORTPLAYER.OSRFUNCTIONS.OSRREF(E20)),0)</f>
        <v>#NAME?</v>
      </c>
    </row>
    <row r="21" spans="1:7" s="42" customFormat="1" ht="15" hidden="1" customHeight="1" outlineLevel="1" x14ac:dyDescent="0.3">
      <c r="A21" s="34"/>
      <c r="B21" s="11" t="e">
        <f ca="1">CONCATENATE("          ",_xll.ONESTOP.REPORTPLAYER.OSRFUNCTIONS.OSRGET("d_Account","Code")," - ",_xll.ONESTOP.REPORTPLAYER.OSRFUNCTIONS.OSRGET("d_Account","Description"))</f>
        <v>#NAME?</v>
      </c>
      <c r="C21" s="15"/>
      <c r="D21" s="3" t="e">
        <f ca="1">_xll.ONESTOP.REPORTPLAYER.OSRFUNCTIONS.OSRGET("GL_F_Trans","Value1")</f>
        <v>#NAME?</v>
      </c>
      <c r="E21" s="3" t="e">
        <f ca="1">_xll.ONESTOP.REPORTPLAYER.OSRFUNCTIONS.OSRGET("GL_F_Trans","Value1")</f>
        <v>#NAME?</v>
      </c>
      <c r="F21" s="10"/>
      <c r="G21" s="3" t="e">
        <f ca="1">SUM(_xll.ONESTOP.REPORTPLAYER.OSRFUNCTIONS.OSRREF(D21))+IFERROR(SUM(_xll.ONESTOP.REPORTPLAYER.OSRFUNCTIONS.OSRREF(E21)),0)</f>
        <v>#NAME?</v>
      </c>
    </row>
    <row r="22" spans="1:7" s="40" customFormat="1" ht="15" customHeight="1" x14ac:dyDescent="0.3">
      <c r="A22" s="22"/>
      <c r="B22" s="22"/>
      <c r="C22" s="22"/>
      <c r="D22" s="2"/>
      <c r="E22" s="2"/>
      <c r="G22" s="2"/>
    </row>
    <row r="23" spans="1:7" s="39" customFormat="1" ht="15" customHeight="1" x14ac:dyDescent="0.3">
      <c r="A23" s="24"/>
      <c r="B23" s="17" t="s">
        <v>287</v>
      </c>
      <c r="C23" s="23"/>
      <c r="D23" s="4" t="e">
        <f ca="1">-_xll.ONESTOP.REPORTPLAYER.OSRFUNCTIONS.OSRGET("GL_F_Trans","Value1")</f>
        <v>#NAME?</v>
      </c>
      <c r="E23" s="4" t="e">
        <f ca="1">_xll.ONESTOP.REPORTPLAYER.OSRFUNCTIONS.OSRGET("GL_F_Trans","Value1")</f>
        <v>#NAME?</v>
      </c>
      <c r="G23" s="3" t="e">
        <f ca="1">SUM(_xll.ONESTOP.REPORTPLAYER.OSRFUNCTIONS.OSRREF(D23))+IFERROR(SUM(_xll.ONESTOP.REPORTPLAYER.OSRFUNCTIONS.OSRREF(E23)),0)</f>
        <v>#NAME?</v>
      </c>
    </row>
    <row r="24" spans="1:7" ht="15" customHeight="1" x14ac:dyDescent="0.3">
      <c r="A24" s="6"/>
      <c r="B24" s="7"/>
      <c r="C24" s="7"/>
      <c r="D24" s="4"/>
      <c r="E24" s="4"/>
      <c r="G24" s="4"/>
    </row>
    <row r="25" spans="1:7" s="37" customFormat="1" ht="15" customHeight="1" x14ac:dyDescent="0.3">
      <c r="A25" s="7"/>
      <c r="B25" s="18" t="s">
        <v>288</v>
      </c>
      <c r="C25" s="18"/>
      <c r="D25" s="9">
        <f ca="1">IFERROR(+D16-D19+D23,0)</f>
        <v>0</v>
      </c>
      <c r="E25" s="9">
        <f ca="1">IFERROR(+E16-E19+E23,0)</f>
        <v>0</v>
      </c>
      <c r="G25" s="9">
        <f ca="1">IFERROR(+G16-G19+G23,0)</f>
        <v>0</v>
      </c>
    </row>
    <row r="26" spans="1:7" s="38" customFormat="1" ht="15" customHeight="1" x14ac:dyDescent="0.3">
      <c r="B26" s="17"/>
      <c r="C26" s="17"/>
      <c r="D26" s="5">
        <f ca="1">IFERROR(D25/D10,0)</f>
        <v>0</v>
      </c>
      <c r="E26" s="5">
        <f ca="1">IFERROR(E25/E10,0)</f>
        <v>0</v>
      </c>
      <c r="F26" s="19"/>
      <c r="G26" s="5">
        <f ca="1">IFERROR(G25/G10,0)</f>
        <v>0</v>
      </c>
    </row>
    <row r="27" spans="1:7" ht="15" customHeight="1" x14ac:dyDescent="0.3">
      <c r="A27" s="6"/>
      <c r="B27" s="7"/>
      <c r="C27" s="6"/>
      <c r="D27" s="4"/>
      <c r="E27" s="4"/>
      <c r="G27" s="4"/>
    </row>
    <row r="28" spans="1:7" s="37" customFormat="1" ht="15" customHeight="1" x14ac:dyDescent="0.3">
      <c r="A28" s="26"/>
      <c r="B28" s="7" t="s">
        <v>289</v>
      </c>
      <c r="C28" s="7"/>
      <c r="D28" s="4" t="e">
        <f ca="1">_xll.ONESTOP.REPORTPLAYER.OSRFUNCTIONS.OSRGET("GL_F_Trans","Value1")</f>
        <v>#NAME?</v>
      </c>
      <c r="E28" s="4" t="e">
        <f ca="1">_xll.ONESTOP.REPORTPLAYER.OSRFUNCTIONS.OSRGET("GL_F_Trans","Value1")</f>
        <v>#NAME?</v>
      </c>
      <c r="G28" s="3" t="e">
        <f ca="1">SUM(_xll.ONESTOP.REPORTPLAYER.OSRFUNCTIONS.OSRREF(D28))+IFERROR(SUM(_xll.ONESTOP.REPORTPLAYER.OSRFUNCTIONS.OSRREF(E28)),0)</f>
        <v>#NAME?</v>
      </c>
    </row>
    <row r="29" spans="1:7" ht="15" customHeight="1" x14ac:dyDescent="0.3">
      <c r="A29" s="6"/>
      <c r="B29" s="7"/>
      <c r="C29" s="7"/>
      <c r="D29" s="4"/>
      <c r="E29" s="4"/>
      <c r="G29" s="4"/>
    </row>
    <row r="30" spans="1:7" s="37" customFormat="1" ht="15.75" customHeight="1" x14ac:dyDescent="0.3">
      <c r="A30" s="7"/>
      <c r="B30" s="18" t="s">
        <v>290</v>
      </c>
      <c r="C30" s="18"/>
      <c r="D30" s="8">
        <f ca="1">IFERROR(+D25-D28,0)</f>
        <v>0</v>
      </c>
      <c r="E30" s="8">
        <f ca="1">IFERROR(+E25-E28,0)</f>
        <v>0</v>
      </c>
      <c r="G30" s="8">
        <f ca="1">IFERROR(+G25-G28,0)</f>
        <v>0</v>
      </c>
    </row>
    <row r="31" spans="1:7" ht="15.75" customHeight="1" x14ac:dyDescent="0.3">
      <c r="A31" s="6"/>
      <c r="B31" s="6"/>
      <c r="C31" s="6"/>
      <c r="D31" s="5">
        <f ca="1">IFERROR(D30/D10,0)</f>
        <v>0</v>
      </c>
      <c r="E31" s="5">
        <f ca="1">IFERROR(E30/E10,0)</f>
        <v>0</v>
      </c>
      <c r="F31" s="19"/>
      <c r="G31" s="5">
        <f ca="1">IFERROR(G30/G10,0)</f>
        <v>0</v>
      </c>
    </row>
    <row r="32" spans="1:7" ht="15" customHeight="1" x14ac:dyDescent="0.3">
      <c r="A32" s="6"/>
      <c r="B32" s="6"/>
      <c r="C32" s="6"/>
      <c r="D32" s="4"/>
      <c r="E32" s="4"/>
      <c r="G32" s="4"/>
    </row>
    <row r="33" spans="1:7" s="37" customFormat="1" ht="15" customHeight="1" x14ac:dyDescent="0.3">
      <c r="A33" s="26"/>
      <c r="B33" s="7" t="s">
        <v>291</v>
      </c>
      <c r="C33" s="7"/>
      <c r="D33" s="4" t="e">
        <f ca="1">-_xll.ONESTOP.REPORTPLAYER.OSRFUNCTIONS.OSRGET("GL_F_Trans","Value1")</f>
        <v>#NAME?</v>
      </c>
      <c r="E33" s="4" t="e">
        <f ca="1">-_xll.ONESTOP.REPORTPLAYER.OSRFUNCTIONS.OSRGET("GL_F_Trans","Value1")</f>
        <v>#NAME?</v>
      </c>
      <c r="G33" s="3" t="e">
        <f ca="1">SUM(_xll.ONESTOP.REPORTPLAYER.OSRFUNCTIONS.OSRREF(D33))+IFERROR(SUM(_xll.ONESTOP.REPORTPLAYER.OSRFUNCTIONS.OSRREF(E33)),0)</f>
        <v>#NAME?</v>
      </c>
    </row>
    <row r="34" spans="1:7" s="37" customFormat="1" ht="15" customHeight="1" x14ac:dyDescent="0.3">
      <c r="A34" s="26"/>
      <c r="B34" s="7" t="s">
        <v>292</v>
      </c>
      <c r="C34" s="7"/>
      <c r="D34" s="4" t="e">
        <f ca="1">-_xll.ONESTOP.REPORTPLAYER.OSRFUNCTIONS.OSRGET("GL_F_Trans","Value1")</f>
        <v>#NAME?</v>
      </c>
      <c r="E34" s="4" t="e">
        <f ca="1">-_xll.ONESTOP.REPORTPLAYER.OSRFUNCTIONS.OSRGET("GL_F_Trans","Value1")</f>
        <v>#NAME?</v>
      </c>
      <c r="G34" s="3" t="e">
        <f ca="1">SUM(_xll.ONESTOP.REPORTPLAYER.OSRFUNCTIONS.OSRREF(D34))+IFERROR(SUM(_xll.ONESTOP.REPORTPLAYER.OSRFUNCTIONS.OSRREF(E34)),0)</f>
        <v>#NAME?</v>
      </c>
    </row>
    <row r="35" spans="1:7" ht="15" customHeight="1" x14ac:dyDescent="0.3">
      <c r="A35" s="6"/>
      <c r="B35" s="6"/>
      <c r="C35" s="6"/>
      <c r="D35" s="4"/>
      <c r="E35" s="4"/>
      <c r="G35" s="4"/>
    </row>
    <row r="36" spans="1:7" s="37" customFormat="1" ht="15.75" customHeight="1" x14ac:dyDescent="0.3">
      <c r="A36" s="7"/>
      <c r="B36" s="18" t="s">
        <v>293</v>
      </c>
      <c r="C36" s="18"/>
      <c r="D36" s="8">
        <f ca="1">IFERROR(SUM(D30:D35),0)</f>
        <v>0</v>
      </c>
      <c r="E36" s="8">
        <f ca="1">IFERROR(SUM(E30:E35),0)</f>
        <v>0</v>
      </c>
      <c r="G36" s="8">
        <f ca="1">IFERROR(SUM(G30:G35),0)</f>
        <v>0</v>
      </c>
    </row>
    <row r="37" spans="1:7" ht="15.75" customHeight="1" x14ac:dyDescent="0.3">
      <c r="A37" s="6"/>
      <c r="C37" s="6"/>
      <c r="D37" s="5">
        <f ca="1">IFERROR(D36/D10,0)</f>
        <v>0</v>
      </c>
      <c r="E37" s="5">
        <f ca="1">IFERROR(E36/E10,0)</f>
        <v>0</v>
      </c>
      <c r="F37" s="19"/>
      <c r="G37" s="5">
        <f ca="1">IFERROR(G36/G10,0)</f>
        <v>0</v>
      </c>
    </row>
    <row r="38" spans="1:7" ht="15" customHeight="1" x14ac:dyDescent="0.3">
      <c r="A38" s="6"/>
      <c r="B38" s="33" t="e">
        <f ca="1">_xll.ONESTOP.REPORTPLAYER.OSRFUNCTIONS.OSRGET("CurrentDate","Date")</f>
        <v>#NAME?</v>
      </c>
      <c r="D38" s="14"/>
      <c r="E38" s="14"/>
      <c r="G38" s="14"/>
    </row>
    <row r="39" spans="1:7" ht="15" customHeight="1" x14ac:dyDescent="0.3">
      <c r="A39" s="6"/>
      <c r="B39" s="31" t="e">
        <f ca="1">_xll.ONESTOP.REPORTPLAYER.OSRFUNCTIONS.OSRGET("User","UserId")</f>
        <v>#NAME?</v>
      </c>
      <c r="D39" s="14"/>
      <c r="E39" s="14"/>
      <c r="G39" s="14"/>
    </row>
    <row r="40" spans="1:7" ht="15" customHeight="1" x14ac:dyDescent="0.3">
      <c r="A40" s="6"/>
      <c r="B40" s="27"/>
      <c r="D40" s="14"/>
      <c r="E40" s="14"/>
      <c r="G40" s="14"/>
    </row>
    <row r="41" spans="1:7" ht="15" customHeight="1" x14ac:dyDescent="0.3">
      <c r="D41" s="14"/>
      <c r="E41" s="14"/>
      <c r="G41" s="14"/>
    </row>
  </sheetData>
  <pageMargins left="0.25" right="0.25" top="0.75" bottom="0.75" header="0.3" footer="0.3"/>
  <pageSetup scale="83" orientation="landscape"/>
  <headerFooter>
    <oddHeader>&amp;L&amp;C&amp;R</oddHeader>
    <oddFooter>&amp;L&amp;C&amp;R</oddFooter>
    <evenHeader>&amp;L&amp;C&amp;R</evenHeader>
    <evenFooter>&amp;L&amp;C&amp;R</evenFooter>
  </headerFooter>
  <colBreaks count="1" manualBreakCount="1">
    <brk id="3" max="16384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96</vt:i4>
      </vt:variant>
      <vt:variant>
        <vt:lpstr>Named Ranges</vt:lpstr>
      </vt:variant>
      <vt:variant>
        <vt:i4>16532</vt:i4>
      </vt:variant>
    </vt:vector>
  </HeadingPairs>
  <TitlesOfParts>
    <vt:vector size="16628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OSR_Dept (2)_...dd5b15a0_2T6PUA</vt:lpstr>
      <vt:lpstr>OSR_Div 2_1PQ800A</vt:lpstr>
      <vt:lpstr>OSR_Div 1 (2...9b2bdc94_1Y8VZ4A</vt:lpstr>
      <vt:lpstr>OSR_Div 3_18723PH</vt:lpstr>
      <vt:lpstr>OSR_Div 1 (3...74ea2e91_1YANJVT</vt:lpstr>
      <vt:lpstr>OSR_300_IYZXI6</vt:lpstr>
      <vt:lpstr>OSR_Div 1 (4)...cdd6f638_NQSRHK</vt:lpstr>
      <vt:lpstr>OSR_300 &amp; 317_1C00ID4</vt:lpstr>
      <vt:lpstr>OSR_Div 1 (5)...14c61d9ac_RUIH7</vt:lpstr>
      <vt:lpstr>OSR_310_1CMTOSB</vt:lpstr>
      <vt:lpstr>OSR_Div 1 (6)...754b1b2a_ZV1FUK</vt:lpstr>
      <vt:lpstr>OSR_Div 1 (7)...77c4adfc_YECVQC</vt:lpstr>
      <vt:lpstr>OSR_308_UAWDAG</vt:lpstr>
      <vt:lpstr>OSR_Div 1 (8...54681dd8_1N56J6G</vt:lpstr>
      <vt:lpstr>OSR_331_10VKQAJ</vt:lpstr>
      <vt:lpstr>OSR_Div 1 (9)...81df0cf4_TBZUNU</vt:lpstr>
      <vt:lpstr>OSR_332_6NDVBW</vt:lpstr>
      <vt:lpstr>OSR_Div 1 (10...e834aaf2_4B2R3Z</vt:lpstr>
      <vt:lpstr>OSR_333_69UF5U</vt:lpstr>
      <vt:lpstr>OSR_Div 4_1740TMT</vt:lpstr>
      <vt:lpstr>OSR_Div 1 (1...42fef80a_1JUNUIZ</vt:lpstr>
      <vt:lpstr>OSR_310 &amp; 491_1NGRCS9</vt:lpstr>
      <vt:lpstr>OSR_Div 4 (2)...a8a8204b_XPPX5M</vt:lpstr>
      <vt:lpstr>OSR_491_9Z9JH5</vt:lpstr>
      <vt:lpstr>OSR_310 &amp; 491...c23f2d59_X1JXXU</vt:lpstr>
      <vt:lpstr>OSR_492_943FP1</vt:lpstr>
      <vt:lpstr>OSR_310 &amp; 49...76bf5af7_1A2901X</vt:lpstr>
      <vt:lpstr>OSR_Div 5_16NAZO2</vt:lpstr>
      <vt:lpstr>OSR_310 &amp; 49...7615ada9_1PJ8EDG</vt:lpstr>
      <vt:lpstr>OSR_Div 6_P37YY7</vt:lpstr>
      <vt:lpstr>OSR_Div 5 (2...bac05800_1LZIM8H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308</vt:lpstr>
      <vt:lpstr>311</vt:lpstr>
      <vt:lpstr>324</vt:lpstr>
      <vt:lpstr>333</vt:lpstr>
      <vt:lpstr>307</vt:lpstr>
      <vt:lpstr>331</vt:lpstr>
      <vt:lpstr>315</vt:lpstr>
      <vt:lpstr>326</vt:lpstr>
      <vt:lpstr>332</vt:lpstr>
      <vt:lpstr>316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'300'!OSRRefD11_0x</vt:lpstr>
      <vt:lpstr>'300 &amp; 317'!OSRRefD11_0x</vt:lpstr>
      <vt:lpstr>'307'!OSRRefD11_0x</vt:lpstr>
      <vt:lpstr>'308'!OSRRefD11_0x</vt:lpstr>
      <vt:lpstr>'309'!OSRRefD11_0x</vt:lpstr>
      <vt:lpstr>'310'!OSRRefD11_0x</vt:lpstr>
      <vt:lpstr>'310 &amp; 491'!OSRRefD11_0x</vt:lpstr>
      <vt:lpstr>'311'!OSRRefD11_0x</vt:lpstr>
      <vt:lpstr>'315'!OSRRefD11_0x</vt:lpstr>
      <vt:lpstr>'316'!OSRRefD11_0x</vt:lpstr>
      <vt:lpstr>'317'!OSRRefD11_0x</vt:lpstr>
      <vt:lpstr>'321'!OSRRefD11_0x</vt:lpstr>
      <vt:lpstr>'324'!OSRRefD11_0x</vt:lpstr>
      <vt:lpstr>'325'!OSRRefD11_0x</vt:lpstr>
      <vt:lpstr>'326'!OSRRefD11_0x</vt:lpstr>
      <vt:lpstr>'327'!OSRRefD11_0x</vt:lpstr>
      <vt:lpstr>'331'!OSRRefD11_0x</vt:lpstr>
      <vt:lpstr>'332'!OSRRefD11_0x</vt:lpstr>
      <vt:lpstr>'333'!OSRRefD11_0x</vt:lpstr>
      <vt:lpstr>'405'!OSRRefD11_0x</vt:lpstr>
      <vt:lpstr>'415'!OSRRefD11_0x</vt:lpstr>
      <vt:lpstr>'418'!OSRRefD11_0x</vt:lpstr>
      <vt:lpstr>'425'!OSRRefD11_0x</vt:lpstr>
      <vt:lpstr>'433'!OSRRefD11_0x</vt:lpstr>
      <vt:lpstr>'435'!OSRRefD11_0x</vt:lpstr>
      <vt:lpstr>'444'!OSRRefD11_0x</vt:lpstr>
      <vt:lpstr>'450'!OSRRefD11_0x</vt:lpstr>
      <vt:lpstr>'491'!OSRRefD11_0x</vt:lpstr>
      <vt:lpstr>'492'!OSRRefD11_0x</vt:lpstr>
      <vt:lpstr>'501'!OSRRefD11_0x</vt:lpstr>
      <vt:lpstr>'Div 3'!OSRRefD11_0x</vt:lpstr>
      <vt:lpstr>'Div 4'!OSRRefD11_0x</vt:lpstr>
      <vt:lpstr>'Div 5'!OSRRefD11_0x</vt:lpstr>
      <vt:lpstr>'Div 6'!OSRRefD11_0x</vt:lpstr>
      <vt:lpstr>Summary!OSRRefD11_0x</vt:lpstr>
      <vt:lpstr>'Div 3'!OSRRefD11_10x</vt:lpstr>
      <vt:lpstr>Summary!OSRRefD11_10x</vt:lpstr>
      <vt:lpstr>Summary!OSRRefD11_11x</vt:lpstr>
      <vt:lpstr>Summary!OSRRefD11_12x</vt:lpstr>
      <vt:lpstr>'300'!OSRRefD11_1x</vt:lpstr>
      <vt:lpstr>'300 &amp; 317'!OSRRefD11_1x</vt:lpstr>
      <vt:lpstr>'307'!OSRRefD11_1x</vt:lpstr>
      <vt:lpstr>'308'!OSRRefD11_1x</vt:lpstr>
      <vt:lpstr>'309'!OSRRefD11_1x</vt:lpstr>
      <vt:lpstr>'310'!OSRRefD11_1x</vt:lpstr>
      <vt:lpstr>'310 &amp; 491'!OSRRefD11_1x</vt:lpstr>
      <vt:lpstr>'311'!OSRRefD11_1x</vt:lpstr>
      <vt:lpstr>'315'!OSRRefD11_1x</vt:lpstr>
      <vt:lpstr>'316'!OSRRefD11_1x</vt:lpstr>
      <vt:lpstr>'317'!OSRRefD11_1x</vt:lpstr>
      <vt:lpstr>'321'!OSRRefD11_1x</vt:lpstr>
      <vt:lpstr>'324'!OSRRefD11_1x</vt:lpstr>
      <vt:lpstr>'325'!OSRRefD11_1x</vt:lpstr>
      <vt:lpstr>'326'!OSRRefD11_1x</vt:lpstr>
      <vt:lpstr>'327'!OSRRefD11_1x</vt:lpstr>
      <vt:lpstr>'331'!OSRRefD11_1x</vt:lpstr>
      <vt:lpstr>'332'!OSRRefD11_1x</vt:lpstr>
      <vt:lpstr>'333'!OSRRefD11_1x</vt:lpstr>
      <vt:lpstr>'405'!OSRRefD11_1x</vt:lpstr>
      <vt:lpstr>'415'!OSRRefD11_1x</vt:lpstr>
      <vt:lpstr>'418'!OSRRefD11_1x</vt:lpstr>
      <vt:lpstr>'433'!OSRRefD11_1x</vt:lpstr>
      <vt:lpstr>'435'!OSRRefD11_1x</vt:lpstr>
      <vt:lpstr>'444'!OSRRefD11_1x</vt:lpstr>
      <vt:lpstr>'450'!OSRRefD11_1x</vt:lpstr>
      <vt:lpstr>'491'!OSRRefD11_1x</vt:lpstr>
      <vt:lpstr>'492'!OSRRefD11_1x</vt:lpstr>
      <vt:lpstr>'Div 3'!OSRRefD11_1x</vt:lpstr>
      <vt:lpstr>'Div 4'!OSRRefD11_1x</vt:lpstr>
      <vt:lpstr>'Div 6'!OSRRefD11_1x</vt:lpstr>
      <vt:lpstr>Summary!OSRRefD11_1x</vt:lpstr>
      <vt:lpstr>'300'!OSRRefD11_2x</vt:lpstr>
      <vt:lpstr>'300 &amp; 317'!OSRRefD11_2x</vt:lpstr>
      <vt:lpstr>'307'!OSRRefD11_2x</vt:lpstr>
      <vt:lpstr>'308'!OSRRefD11_2x</vt:lpstr>
      <vt:lpstr>'309'!OSRRefD11_2x</vt:lpstr>
      <vt:lpstr>'310'!OSRRefD11_2x</vt:lpstr>
      <vt:lpstr>'310 &amp; 491'!OSRRefD11_2x</vt:lpstr>
      <vt:lpstr>'311'!OSRRefD11_2x</vt:lpstr>
      <vt:lpstr>'315'!OSRRefD11_2x</vt:lpstr>
      <vt:lpstr>'316'!OSRRefD11_2x</vt:lpstr>
      <vt:lpstr>'317'!OSRRefD11_2x</vt:lpstr>
      <vt:lpstr>'326'!OSRRefD11_2x</vt:lpstr>
      <vt:lpstr>'327'!OSRRefD11_2x</vt:lpstr>
      <vt:lpstr>'331'!OSRRefD11_2x</vt:lpstr>
      <vt:lpstr>'332'!OSRRefD11_2x</vt:lpstr>
      <vt:lpstr>'333'!OSRRefD11_2x</vt:lpstr>
      <vt:lpstr>'405'!OSRRefD11_2x</vt:lpstr>
      <vt:lpstr>'415'!OSRRefD11_2x</vt:lpstr>
      <vt:lpstr>'433'!OSRRefD11_2x</vt:lpstr>
      <vt:lpstr>'444'!OSRRefD11_2x</vt:lpstr>
      <vt:lpstr>'450'!OSRRefD11_2x</vt:lpstr>
      <vt:lpstr>'491'!OSRRefD11_2x</vt:lpstr>
      <vt:lpstr>'492'!OSRRefD11_2x</vt:lpstr>
      <vt:lpstr>'Div 3'!OSRRefD11_2x</vt:lpstr>
      <vt:lpstr>'Div 4'!OSRRefD11_2x</vt:lpstr>
      <vt:lpstr>'Div 6'!OSRRefD11_2x</vt:lpstr>
      <vt:lpstr>Summary!OSRRefD11_2x</vt:lpstr>
      <vt:lpstr>'300'!OSRRefD11_3x</vt:lpstr>
      <vt:lpstr>'300 &amp; 317'!OSRRefD11_3x</vt:lpstr>
      <vt:lpstr>'307'!OSRRefD11_3x</vt:lpstr>
      <vt:lpstr>'308'!OSRRefD11_3x</vt:lpstr>
      <vt:lpstr>'309'!OSRRefD11_3x</vt:lpstr>
      <vt:lpstr>'310'!OSRRefD11_3x</vt:lpstr>
      <vt:lpstr>'310 &amp; 491'!OSRRefD11_3x</vt:lpstr>
      <vt:lpstr>'311'!OSRRefD11_3x</vt:lpstr>
      <vt:lpstr>'315'!OSRRefD11_3x</vt:lpstr>
      <vt:lpstr>'316'!OSRRefD11_3x</vt:lpstr>
      <vt:lpstr>'317'!OSRRefD11_3x</vt:lpstr>
      <vt:lpstr>'326'!OSRRefD11_3x</vt:lpstr>
      <vt:lpstr>'331'!OSRRefD11_3x</vt:lpstr>
      <vt:lpstr>'332'!OSRRefD11_3x</vt:lpstr>
      <vt:lpstr>'333'!OSRRefD11_3x</vt:lpstr>
      <vt:lpstr>'405'!OSRRefD11_3x</vt:lpstr>
      <vt:lpstr>'415'!OSRRefD11_3x</vt:lpstr>
      <vt:lpstr>'433'!OSRRefD11_3x</vt:lpstr>
      <vt:lpstr>'444'!OSRRefD11_3x</vt:lpstr>
      <vt:lpstr>'450'!OSRRefD11_3x</vt:lpstr>
      <vt:lpstr>'491'!OSRRefD11_3x</vt:lpstr>
      <vt:lpstr>'492'!OSRRefD11_3x</vt:lpstr>
      <vt:lpstr>'Div 3'!OSRRefD11_3x</vt:lpstr>
      <vt:lpstr>'Div 4'!OSRRefD11_3x</vt:lpstr>
      <vt:lpstr>'Div 6'!OSRRefD11_3x</vt:lpstr>
      <vt:lpstr>Summary!OSRRefD11_3x</vt:lpstr>
      <vt:lpstr>'300'!OSRRefD11_4x</vt:lpstr>
      <vt:lpstr>'300 &amp; 317'!OSRRefD11_4x</vt:lpstr>
      <vt:lpstr>'308'!OSRRefD11_4x</vt:lpstr>
      <vt:lpstr>'310'!OSRRefD11_4x</vt:lpstr>
      <vt:lpstr>'310 &amp; 491'!OSRRefD11_4x</vt:lpstr>
      <vt:lpstr>'311'!OSRRefD11_4x</vt:lpstr>
      <vt:lpstr>'315'!OSRRefD11_4x</vt:lpstr>
      <vt:lpstr>'316'!OSRRefD11_4x</vt:lpstr>
      <vt:lpstr>'317'!OSRRefD11_4x</vt:lpstr>
      <vt:lpstr>'331'!OSRRefD11_4x</vt:lpstr>
      <vt:lpstr>'332'!OSRRefD11_4x</vt:lpstr>
      <vt:lpstr>'333'!OSRRefD11_4x</vt:lpstr>
      <vt:lpstr>'491'!OSRRefD11_4x</vt:lpstr>
      <vt:lpstr>'492'!OSRRefD11_4x</vt:lpstr>
      <vt:lpstr>'Div 3'!OSRRefD11_4x</vt:lpstr>
      <vt:lpstr>'Div 4'!OSRRefD11_4x</vt:lpstr>
      <vt:lpstr>'Div 6'!OSRRefD11_4x</vt:lpstr>
      <vt:lpstr>Summary!OSRRefD11_4x</vt:lpstr>
      <vt:lpstr>'300'!OSRRefD11_5x</vt:lpstr>
      <vt:lpstr>'300 &amp; 317'!OSRRefD11_5x</vt:lpstr>
      <vt:lpstr>'310'!OSRRefD11_5x</vt:lpstr>
      <vt:lpstr>'310 &amp; 491'!OSRRefD11_5x</vt:lpstr>
      <vt:lpstr>'492'!OSRRefD11_5x</vt:lpstr>
      <vt:lpstr>'Div 3'!OSRRefD11_5x</vt:lpstr>
      <vt:lpstr>'Div 4'!OSRRefD11_5x</vt:lpstr>
      <vt:lpstr>Summary!OSRRefD11_5x</vt:lpstr>
      <vt:lpstr>'300'!OSRRefD11_6x</vt:lpstr>
      <vt:lpstr>'300 &amp; 317'!OSRRefD11_6x</vt:lpstr>
      <vt:lpstr>'Div 3'!OSRRefD11_6x</vt:lpstr>
      <vt:lpstr>'Div 4'!OSRRefD11_6x</vt:lpstr>
      <vt:lpstr>Summary!OSRRefD11_6x</vt:lpstr>
      <vt:lpstr>'Div 3'!OSRRefD11_7x</vt:lpstr>
      <vt:lpstr>'Div 4'!OSRRefD11_7x</vt:lpstr>
      <vt:lpstr>Summary!OSRRefD11_7x</vt:lpstr>
      <vt:lpstr>'Div 3'!OSRRefD11_8x</vt:lpstr>
      <vt:lpstr>Summary!OSRRefD11_8x</vt:lpstr>
      <vt:lpstr>'Div 3'!OSRRefD11_9x</vt:lpstr>
      <vt:lpstr>Summary!OSRRefD11_9x</vt:lpstr>
      <vt:lpstr>'300'!OSRRefD11x_0</vt:lpstr>
      <vt:lpstr>'300 &amp; 317'!OSRRefD11x_0</vt:lpstr>
      <vt:lpstr>'307'!OSRRefD11x_0</vt:lpstr>
      <vt:lpstr>'308'!OSRRefD11x_0</vt:lpstr>
      <vt:lpstr>'309'!OSRRefD11x_0</vt:lpstr>
      <vt:lpstr>'310'!OSRRefD11x_0</vt:lpstr>
      <vt:lpstr>'310 &amp; 491'!OSRRefD11x_0</vt:lpstr>
      <vt:lpstr>'311'!OSRRefD11x_0</vt:lpstr>
      <vt:lpstr>'315'!OSRRefD11x_0</vt:lpstr>
      <vt:lpstr>'316'!OSRRefD11x_0</vt:lpstr>
      <vt:lpstr>'317'!OSRRefD11x_0</vt:lpstr>
      <vt:lpstr>'321'!OSRRefD11x_0</vt:lpstr>
      <vt:lpstr>'324'!OSRRefD11x_0</vt:lpstr>
      <vt:lpstr>'325'!OSRRefD11x_0</vt:lpstr>
      <vt:lpstr>'326'!OSRRefD11x_0</vt:lpstr>
      <vt:lpstr>'327'!OSRRefD11x_0</vt:lpstr>
      <vt:lpstr>'331'!OSRRefD11x_0</vt:lpstr>
      <vt:lpstr>'332'!OSRRefD11x_0</vt:lpstr>
      <vt:lpstr>'333'!OSRRefD11x_0</vt:lpstr>
      <vt:lpstr>'405'!OSRRefD11x_0</vt:lpstr>
      <vt:lpstr>'415'!OSRRefD11x_0</vt:lpstr>
      <vt:lpstr>'418'!OSRRefD11x_0</vt:lpstr>
      <vt:lpstr>'425'!OSRRefD11x_0</vt:lpstr>
      <vt:lpstr>'433'!OSRRefD11x_0</vt:lpstr>
      <vt:lpstr>'435'!OSRRefD11x_0</vt:lpstr>
      <vt:lpstr>'444'!OSRRefD11x_0</vt:lpstr>
      <vt:lpstr>'450'!OSRRefD11x_0</vt:lpstr>
      <vt:lpstr>'491'!OSRRefD11x_0</vt:lpstr>
      <vt:lpstr>'492'!OSRRefD11x_0</vt:lpstr>
      <vt:lpstr>'501'!OSRRefD11x_0</vt:lpstr>
      <vt:lpstr>'Div 3'!OSRRefD11x_0</vt:lpstr>
      <vt:lpstr>'Div 4'!OSRRefD11x_0</vt:lpstr>
      <vt:lpstr>'Div 5'!OSRRefD11x_0</vt:lpstr>
      <vt:lpstr>'Div 6'!OSRRefD11x_0</vt:lpstr>
      <vt:lpstr>Summary!OSRRefD11x_0</vt:lpstr>
      <vt:lpstr>'300'!OSRRefD11x_1</vt:lpstr>
      <vt:lpstr>'300 &amp; 317'!OSRRefD11x_1</vt:lpstr>
      <vt:lpstr>'307'!OSRRefD11x_1</vt:lpstr>
      <vt:lpstr>'308'!OSRRefD11x_1</vt:lpstr>
      <vt:lpstr>'309'!OSRRefD11x_1</vt:lpstr>
      <vt:lpstr>'310'!OSRRefD11x_1</vt:lpstr>
      <vt:lpstr>'310 &amp; 491'!OSRRefD11x_1</vt:lpstr>
      <vt:lpstr>'311'!OSRRefD11x_1</vt:lpstr>
      <vt:lpstr>'315'!OSRRefD11x_1</vt:lpstr>
      <vt:lpstr>'316'!OSRRefD11x_1</vt:lpstr>
      <vt:lpstr>'317'!OSRRefD11x_1</vt:lpstr>
      <vt:lpstr>'321'!OSRRefD11x_1</vt:lpstr>
      <vt:lpstr>'324'!OSRRefD11x_1</vt:lpstr>
      <vt:lpstr>'325'!OSRRefD11x_1</vt:lpstr>
      <vt:lpstr>'326'!OSRRefD11x_1</vt:lpstr>
      <vt:lpstr>'327'!OSRRefD11x_1</vt:lpstr>
      <vt:lpstr>'331'!OSRRefD11x_1</vt:lpstr>
      <vt:lpstr>'332'!OSRRefD11x_1</vt:lpstr>
      <vt:lpstr>'333'!OSRRefD11x_1</vt:lpstr>
      <vt:lpstr>'405'!OSRRefD11x_1</vt:lpstr>
      <vt:lpstr>'415'!OSRRefD11x_1</vt:lpstr>
      <vt:lpstr>'418'!OSRRefD11x_1</vt:lpstr>
      <vt:lpstr>'425'!OSRRefD11x_1</vt:lpstr>
      <vt:lpstr>'433'!OSRRefD11x_1</vt:lpstr>
      <vt:lpstr>'435'!OSRRefD11x_1</vt:lpstr>
      <vt:lpstr>'444'!OSRRefD11x_1</vt:lpstr>
      <vt:lpstr>'450'!OSRRefD11x_1</vt:lpstr>
      <vt:lpstr>'491'!OSRRefD11x_1</vt:lpstr>
      <vt:lpstr>'492'!OSRRefD11x_1</vt:lpstr>
      <vt:lpstr>'501'!OSRRefD11x_1</vt:lpstr>
      <vt:lpstr>'Div 3'!OSRRefD11x_1</vt:lpstr>
      <vt:lpstr>'Div 4'!OSRRefD11x_1</vt:lpstr>
      <vt:lpstr>'Div 5'!OSRRefD11x_1</vt:lpstr>
      <vt:lpstr>'Div 6'!OSRRefD11x_1</vt:lpstr>
      <vt:lpstr>Summary!OSRRefD11x_1</vt:lpstr>
      <vt:lpstr>'300'!OSRRefD11x_2</vt:lpstr>
      <vt:lpstr>'300 &amp; 317'!OSRRefD11x_2</vt:lpstr>
      <vt:lpstr>'307'!OSRRefD11x_2</vt:lpstr>
      <vt:lpstr>'308'!OSRRefD11x_2</vt:lpstr>
      <vt:lpstr>'309'!OSRRefD11x_2</vt:lpstr>
      <vt:lpstr>'310'!OSRRefD11x_2</vt:lpstr>
      <vt:lpstr>'310 &amp; 491'!OSRRefD11x_2</vt:lpstr>
      <vt:lpstr>'311'!OSRRefD11x_2</vt:lpstr>
      <vt:lpstr>'315'!OSRRefD11x_2</vt:lpstr>
      <vt:lpstr>'316'!OSRRefD11x_2</vt:lpstr>
      <vt:lpstr>'317'!OSRRefD11x_2</vt:lpstr>
      <vt:lpstr>'321'!OSRRefD11x_2</vt:lpstr>
      <vt:lpstr>'324'!OSRRefD11x_2</vt:lpstr>
      <vt:lpstr>'325'!OSRRefD11x_2</vt:lpstr>
      <vt:lpstr>'326'!OSRRefD11x_2</vt:lpstr>
      <vt:lpstr>'327'!OSRRefD11x_2</vt:lpstr>
      <vt:lpstr>'331'!OSRRefD11x_2</vt:lpstr>
      <vt:lpstr>'332'!OSRRefD11x_2</vt:lpstr>
      <vt:lpstr>'333'!OSRRefD11x_2</vt:lpstr>
      <vt:lpstr>'405'!OSRRefD11x_2</vt:lpstr>
      <vt:lpstr>'415'!OSRRefD11x_2</vt:lpstr>
      <vt:lpstr>'418'!OSRRefD11x_2</vt:lpstr>
      <vt:lpstr>'425'!OSRRefD11x_2</vt:lpstr>
      <vt:lpstr>'433'!OSRRefD11x_2</vt:lpstr>
      <vt:lpstr>'435'!OSRRefD11x_2</vt:lpstr>
      <vt:lpstr>'444'!OSRRefD11x_2</vt:lpstr>
      <vt:lpstr>'450'!OSRRefD11x_2</vt:lpstr>
      <vt:lpstr>'491'!OSRRefD11x_2</vt:lpstr>
      <vt:lpstr>'492'!OSRRefD11x_2</vt:lpstr>
      <vt:lpstr>'501'!OSRRefD11x_2</vt:lpstr>
      <vt:lpstr>'Div 3'!OSRRefD11x_2</vt:lpstr>
      <vt:lpstr>'Div 4'!OSRRefD11x_2</vt:lpstr>
      <vt:lpstr>'Div 5'!OSRRefD11x_2</vt:lpstr>
      <vt:lpstr>'Div 6'!OSRRefD11x_2</vt:lpstr>
      <vt:lpstr>Summary!OSRRefD11x_2</vt:lpstr>
      <vt:lpstr>'300'!OSRRefD11x_3</vt:lpstr>
      <vt:lpstr>'300 &amp; 317'!OSRRefD11x_3</vt:lpstr>
      <vt:lpstr>'307'!OSRRefD11x_3</vt:lpstr>
      <vt:lpstr>'308'!OSRRefD11x_3</vt:lpstr>
      <vt:lpstr>'309'!OSRRefD11x_3</vt:lpstr>
      <vt:lpstr>'310'!OSRRefD11x_3</vt:lpstr>
      <vt:lpstr>'310 &amp; 491'!OSRRefD11x_3</vt:lpstr>
      <vt:lpstr>'311'!OSRRefD11x_3</vt:lpstr>
      <vt:lpstr>'315'!OSRRefD11x_3</vt:lpstr>
      <vt:lpstr>'316'!OSRRefD11x_3</vt:lpstr>
      <vt:lpstr>'317'!OSRRefD11x_3</vt:lpstr>
      <vt:lpstr>'321'!OSRRefD11x_3</vt:lpstr>
      <vt:lpstr>'324'!OSRRefD11x_3</vt:lpstr>
      <vt:lpstr>'325'!OSRRefD11x_3</vt:lpstr>
      <vt:lpstr>'326'!OSRRefD11x_3</vt:lpstr>
      <vt:lpstr>'327'!OSRRefD11x_3</vt:lpstr>
      <vt:lpstr>'331'!OSRRefD11x_3</vt:lpstr>
      <vt:lpstr>'332'!OSRRefD11x_3</vt:lpstr>
      <vt:lpstr>'333'!OSRRefD11x_3</vt:lpstr>
      <vt:lpstr>'405'!OSRRefD11x_3</vt:lpstr>
      <vt:lpstr>'415'!OSRRefD11x_3</vt:lpstr>
      <vt:lpstr>'418'!OSRRefD11x_3</vt:lpstr>
      <vt:lpstr>'425'!OSRRefD11x_3</vt:lpstr>
      <vt:lpstr>'433'!OSRRefD11x_3</vt:lpstr>
      <vt:lpstr>'435'!OSRRefD11x_3</vt:lpstr>
      <vt:lpstr>'444'!OSRRefD11x_3</vt:lpstr>
      <vt:lpstr>'450'!OSRRefD11x_3</vt:lpstr>
      <vt:lpstr>'491'!OSRRefD11x_3</vt:lpstr>
      <vt:lpstr>'492'!OSRRefD11x_3</vt:lpstr>
      <vt:lpstr>'501'!OSRRefD11x_3</vt:lpstr>
      <vt:lpstr>'Div 3'!OSRRefD11x_3</vt:lpstr>
      <vt:lpstr>'Div 4'!OSRRefD11x_3</vt:lpstr>
      <vt:lpstr>'Div 5'!OSRRefD11x_3</vt:lpstr>
      <vt:lpstr>'Div 6'!OSRRefD11x_3</vt:lpstr>
      <vt:lpstr>Summary!OSRRefD11x_3</vt:lpstr>
      <vt:lpstr>'300'!OSRRefD11x_4</vt:lpstr>
      <vt:lpstr>'300 &amp; 317'!OSRRefD11x_4</vt:lpstr>
      <vt:lpstr>'307'!OSRRefD11x_4</vt:lpstr>
      <vt:lpstr>'308'!OSRRefD11x_4</vt:lpstr>
      <vt:lpstr>'309'!OSRRefD11x_4</vt:lpstr>
      <vt:lpstr>'310'!OSRRefD11x_4</vt:lpstr>
      <vt:lpstr>'310 &amp; 491'!OSRRefD11x_4</vt:lpstr>
      <vt:lpstr>'311'!OSRRefD11x_4</vt:lpstr>
      <vt:lpstr>'315'!OSRRefD11x_4</vt:lpstr>
      <vt:lpstr>'316'!OSRRefD11x_4</vt:lpstr>
      <vt:lpstr>'317'!OSRRefD11x_4</vt:lpstr>
      <vt:lpstr>'321'!OSRRefD11x_4</vt:lpstr>
      <vt:lpstr>'324'!OSRRefD11x_4</vt:lpstr>
      <vt:lpstr>'325'!OSRRefD11x_4</vt:lpstr>
      <vt:lpstr>'326'!OSRRefD11x_4</vt:lpstr>
      <vt:lpstr>'327'!OSRRefD11x_4</vt:lpstr>
      <vt:lpstr>'331'!OSRRefD11x_4</vt:lpstr>
      <vt:lpstr>'332'!OSRRefD11x_4</vt:lpstr>
      <vt:lpstr>'333'!OSRRefD11x_4</vt:lpstr>
      <vt:lpstr>'405'!OSRRefD11x_4</vt:lpstr>
      <vt:lpstr>'415'!OSRRefD11x_4</vt:lpstr>
      <vt:lpstr>'418'!OSRRefD11x_4</vt:lpstr>
      <vt:lpstr>'425'!OSRRefD11x_4</vt:lpstr>
      <vt:lpstr>'433'!OSRRefD11x_4</vt:lpstr>
      <vt:lpstr>'435'!OSRRefD11x_4</vt:lpstr>
      <vt:lpstr>'444'!OSRRefD11x_4</vt:lpstr>
      <vt:lpstr>'450'!OSRRefD11x_4</vt:lpstr>
      <vt:lpstr>'491'!OSRRefD11x_4</vt:lpstr>
      <vt:lpstr>'492'!OSRRefD11x_4</vt:lpstr>
      <vt:lpstr>'501'!OSRRefD11x_4</vt:lpstr>
      <vt:lpstr>'Div 3'!OSRRefD11x_4</vt:lpstr>
      <vt:lpstr>'Div 4'!OSRRefD11x_4</vt:lpstr>
      <vt:lpstr>'Div 5'!OSRRefD11x_4</vt:lpstr>
      <vt:lpstr>'Div 6'!OSRRefD11x_4</vt:lpstr>
      <vt:lpstr>Summary!OSRRefD11x_4</vt:lpstr>
      <vt:lpstr>'300'!OSRRefD11x_5</vt:lpstr>
      <vt:lpstr>'300 &amp; 317'!OSRRefD11x_5</vt:lpstr>
      <vt:lpstr>'307'!OSRRefD11x_5</vt:lpstr>
      <vt:lpstr>'308'!OSRRefD11x_5</vt:lpstr>
      <vt:lpstr>'309'!OSRRefD11x_5</vt:lpstr>
      <vt:lpstr>'310'!OSRRefD11x_5</vt:lpstr>
      <vt:lpstr>'310 &amp; 491'!OSRRefD11x_5</vt:lpstr>
      <vt:lpstr>'311'!OSRRefD11x_5</vt:lpstr>
      <vt:lpstr>'315'!OSRRefD11x_5</vt:lpstr>
      <vt:lpstr>'316'!OSRRefD11x_5</vt:lpstr>
      <vt:lpstr>'317'!OSRRefD11x_5</vt:lpstr>
      <vt:lpstr>'321'!OSRRefD11x_5</vt:lpstr>
      <vt:lpstr>'324'!OSRRefD11x_5</vt:lpstr>
      <vt:lpstr>'325'!OSRRefD11x_5</vt:lpstr>
      <vt:lpstr>'326'!OSRRefD11x_5</vt:lpstr>
      <vt:lpstr>'327'!OSRRefD11x_5</vt:lpstr>
      <vt:lpstr>'331'!OSRRefD11x_5</vt:lpstr>
      <vt:lpstr>'332'!OSRRefD11x_5</vt:lpstr>
      <vt:lpstr>'333'!OSRRefD11x_5</vt:lpstr>
      <vt:lpstr>'405'!OSRRefD11x_5</vt:lpstr>
      <vt:lpstr>'415'!OSRRefD11x_5</vt:lpstr>
      <vt:lpstr>'418'!OSRRefD11x_5</vt:lpstr>
      <vt:lpstr>'425'!OSRRefD11x_5</vt:lpstr>
      <vt:lpstr>'433'!OSRRefD11x_5</vt:lpstr>
      <vt:lpstr>'435'!OSRRefD11x_5</vt:lpstr>
      <vt:lpstr>'444'!OSRRefD11x_5</vt:lpstr>
      <vt:lpstr>'450'!OSRRefD11x_5</vt:lpstr>
      <vt:lpstr>'491'!OSRRefD11x_5</vt:lpstr>
      <vt:lpstr>'492'!OSRRefD11x_5</vt:lpstr>
      <vt:lpstr>'501'!OSRRefD11x_5</vt:lpstr>
      <vt:lpstr>'Div 3'!OSRRefD11x_5</vt:lpstr>
      <vt:lpstr>'Div 4'!OSRRefD11x_5</vt:lpstr>
      <vt:lpstr>'Div 5'!OSRRefD11x_5</vt:lpstr>
      <vt:lpstr>'Div 6'!OSRRefD11x_5</vt:lpstr>
      <vt:lpstr>Summary!OSRRefD11x_5</vt:lpstr>
      <vt:lpstr>'300'!OSRRefD11x_6</vt:lpstr>
      <vt:lpstr>'300 &amp; 317'!OSRRefD11x_6</vt:lpstr>
      <vt:lpstr>'307'!OSRRefD11x_6</vt:lpstr>
      <vt:lpstr>'308'!OSRRefD11x_6</vt:lpstr>
      <vt:lpstr>'309'!OSRRefD11x_6</vt:lpstr>
      <vt:lpstr>'310'!OSRRefD11x_6</vt:lpstr>
      <vt:lpstr>'310 &amp; 491'!OSRRefD11x_6</vt:lpstr>
      <vt:lpstr>'311'!OSRRefD11x_6</vt:lpstr>
      <vt:lpstr>'315'!OSRRefD11x_6</vt:lpstr>
      <vt:lpstr>'316'!OSRRefD11x_6</vt:lpstr>
      <vt:lpstr>'317'!OSRRefD11x_6</vt:lpstr>
      <vt:lpstr>'321'!OSRRefD11x_6</vt:lpstr>
      <vt:lpstr>'324'!OSRRefD11x_6</vt:lpstr>
      <vt:lpstr>'325'!OSRRefD11x_6</vt:lpstr>
      <vt:lpstr>'326'!OSRRefD11x_6</vt:lpstr>
      <vt:lpstr>'327'!OSRRefD11x_6</vt:lpstr>
      <vt:lpstr>'331'!OSRRefD11x_6</vt:lpstr>
      <vt:lpstr>'332'!OSRRefD11x_6</vt:lpstr>
      <vt:lpstr>'333'!OSRRefD11x_6</vt:lpstr>
      <vt:lpstr>'405'!OSRRefD11x_6</vt:lpstr>
      <vt:lpstr>'415'!OSRRefD11x_6</vt:lpstr>
      <vt:lpstr>'418'!OSRRefD11x_6</vt:lpstr>
      <vt:lpstr>'425'!OSRRefD11x_6</vt:lpstr>
      <vt:lpstr>'433'!OSRRefD11x_6</vt:lpstr>
      <vt:lpstr>'435'!OSRRefD11x_6</vt:lpstr>
      <vt:lpstr>'444'!OSRRefD11x_6</vt:lpstr>
      <vt:lpstr>'450'!OSRRefD11x_6</vt:lpstr>
      <vt:lpstr>'491'!OSRRefD11x_6</vt:lpstr>
      <vt:lpstr>'492'!OSRRefD11x_6</vt:lpstr>
      <vt:lpstr>'501'!OSRRefD11x_6</vt:lpstr>
      <vt:lpstr>'Div 3'!OSRRefD11x_6</vt:lpstr>
      <vt:lpstr>'Div 4'!OSRRefD11x_6</vt:lpstr>
      <vt:lpstr>'Div 5'!OSRRefD11x_6</vt:lpstr>
      <vt:lpstr>'Div 6'!OSRRefD11x_6</vt:lpstr>
      <vt:lpstr>Summary!OSRRefD11x_6</vt:lpstr>
      <vt:lpstr>'300'!OSRRefD11x_7</vt:lpstr>
      <vt:lpstr>'300 &amp; 317'!OSRRefD11x_7</vt:lpstr>
      <vt:lpstr>'307'!OSRRefD11x_7</vt:lpstr>
      <vt:lpstr>'308'!OSRRefD11x_7</vt:lpstr>
      <vt:lpstr>'309'!OSRRefD11x_7</vt:lpstr>
      <vt:lpstr>'310'!OSRRefD11x_7</vt:lpstr>
      <vt:lpstr>'310 &amp; 491'!OSRRefD11x_7</vt:lpstr>
      <vt:lpstr>'311'!OSRRefD11x_7</vt:lpstr>
      <vt:lpstr>'315'!OSRRefD11x_7</vt:lpstr>
      <vt:lpstr>'316'!OSRRefD11x_7</vt:lpstr>
      <vt:lpstr>'317'!OSRRefD11x_7</vt:lpstr>
      <vt:lpstr>'321'!OSRRefD11x_7</vt:lpstr>
      <vt:lpstr>'324'!OSRRefD11x_7</vt:lpstr>
      <vt:lpstr>'325'!OSRRefD11x_7</vt:lpstr>
      <vt:lpstr>'326'!OSRRefD11x_7</vt:lpstr>
      <vt:lpstr>'327'!OSRRefD11x_7</vt:lpstr>
      <vt:lpstr>'331'!OSRRefD11x_7</vt:lpstr>
      <vt:lpstr>'332'!OSRRefD11x_7</vt:lpstr>
      <vt:lpstr>'333'!OSRRefD11x_7</vt:lpstr>
      <vt:lpstr>'405'!OSRRefD11x_7</vt:lpstr>
      <vt:lpstr>'415'!OSRRefD11x_7</vt:lpstr>
      <vt:lpstr>'418'!OSRRefD11x_7</vt:lpstr>
      <vt:lpstr>'425'!OSRRefD11x_7</vt:lpstr>
      <vt:lpstr>'433'!OSRRefD11x_7</vt:lpstr>
      <vt:lpstr>'435'!OSRRefD11x_7</vt:lpstr>
      <vt:lpstr>'444'!OSRRefD11x_7</vt:lpstr>
      <vt:lpstr>'450'!OSRRefD11x_7</vt:lpstr>
      <vt:lpstr>'491'!OSRRefD11x_7</vt:lpstr>
      <vt:lpstr>'492'!OSRRefD11x_7</vt:lpstr>
      <vt:lpstr>'501'!OSRRefD11x_7</vt:lpstr>
      <vt:lpstr>'Div 3'!OSRRefD11x_7</vt:lpstr>
      <vt:lpstr>'Div 4'!OSRRefD11x_7</vt:lpstr>
      <vt:lpstr>'Div 5'!OSRRefD11x_7</vt:lpstr>
      <vt:lpstr>'Div 6'!OSRRefD11x_7</vt:lpstr>
      <vt:lpstr>Summary!OSRRefD11x_7</vt:lpstr>
      <vt:lpstr>'300'!OSRRefD11x_8</vt:lpstr>
      <vt:lpstr>'300 &amp; 317'!OSRRefD11x_8</vt:lpstr>
      <vt:lpstr>'307'!OSRRefD11x_8</vt:lpstr>
      <vt:lpstr>'308'!OSRRefD11x_8</vt:lpstr>
      <vt:lpstr>'309'!OSRRefD11x_8</vt:lpstr>
      <vt:lpstr>'310'!OSRRefD11x_8</vt:lpstr>
      <vt:lpstr>'310 &amp; 491'!OSRRefD11x_8</vt:lpstr>
      <vt:lpstr>'311'!OSRRefD11x_8</vt:lpstr>
      <vt:lpstr>'315'!OSRRefD11x_8</vt:lpstr>
      <vt:lpstr>'316'!OSRRefD11x_8</vt:lpstr>
      <vt:lpstr>'317'!OSRRefD11x_8</vt:lpstr>
      <vt:lpstr>'321'!OSRRefD11x_8</vt:lpstr>
      <vt:lpstr>'324'!OSRRefD11x_8</vt:lpstr>
      <vt:lpstr>'325'!OSRRefD11x_8</vt:lpstr>
      <vt:lpstr>'326'!OSRRefD11x_8</vt:lpstr>
      <vt:lpstr>'327'!OSRRefD11x_8</vt:lpstr>
      <vt:lpstr>'331'!OSRRefD11x_8</vt:lpstr>
      <vt:lpstr>'332'!OSRRefD11x_8</vt:lpstr>
      <vt:lpstr>'333'!OSRRefD11x_8</vt:lpstr>
      <vt:lpstr>'405'!OSRRefD11x_8</vt:lpstr>
      <vt:lpstr>'415'!OSRRefD11x_8</vt:lpstr>
      <vt:lpstr>'418'!OSRRefD11x_8</vt:lpstr>
      <vt:lpstr>'425'!OSRRefD11x_8</vt:lpstr>
      <vt:lpstr>'433'!OSRRefD11x_8</vt:lpstr>
      <vt:lpstr>'435'!OSRRefD11x_8</vt:lpstr>
      <vt:lpstr>'444'!OSRRefD11x_8</vt:lpstr>
      <vt:lpstr>'450'!OSRRefD11x_8</vt:lpstr>
      <vt:lpstr>'491'!OSRRefD11x_8</vt:lpstr>
      <vt:lpstr>'492'!OSRRefD11x_8</vt:lpstr>
      <vt:lpstr>'501'!OSRRefD11x_8</vt:lpstr>
      <vt:lpstr>'Div 3'!OSRRefD11x_8</vt:lpstr>
      <vt:lpstr>'Div 4'!OSRRefD11x_8</vt:lpstr>
      <vt:lpstr>'Div 5'!OSRRefD11x_8</vt:lpstr>
      <vt:lpstr>'Div 6'!OSRRefD11x_8</vt:lpstr>
      <vt:lpstr>Summary!OSRRefD11x_8</vt:lpstr>
      <vt:lpstr>'300'!OSRRefD11x_9</vt:lpstr>
      <vt:lpstr>'300 &amp; 317'!OSRRefD11x_9</vt:lpstr>
      <vt:lpstr>'307'!OSRRefD11x_9</vt:lpstr>
      <vt:lpstr>'308'!OSRRefD11x_9</vt:lpstr>
      <vt:lpstr>'309'!OSRRefD11x_9</vt:lpstr>
      <vt:lpstr>'310'!OSRRefD11x_9</vt:lpstr>
      <vt:lpstr>'310 &amp; 491'!OSRRefD11x_9</vt:lpstr>
      <vt:lpstr>'311'!OSRRefD11x_9</vt:lpstr>
      <vt:lpstr>'315'!OSRRefD11x_9</vt:lpstr>
      <vt:lpstr>'316'!OSRRefD11x_9</vt:lpstr>
      <vt:lpstr>'317'!OSRRefD11x_9</vt:lpstr>
      <vt:lpstr>'321'!OSRRefD11x_9</vt:lpstr>
      <vt:lpstr>'324'!OSRRefD11x_9</vt:lpstr>
      <vt:lpstr>'325'!OSRRefD11x_9</vt:lpstr>
      <vt:lpstr>'326'!OSRRefD11x_9</vt:lpstr>
      <vt:lpstr>'327'!OSRRefD11x_9</vt:lpstr>
      <vt:lpstr>'331'!OSRRefD11x_9</vt:lpstr>
      <vt:lpstr>'332'!OSRRefD11x_9</vt:lpstr>
      <vt:lpstr>'333'!OSRRefD11x_9</vt:lpstr>
      <vt:lpstr>'405'!OSRRefD11x_9</vt:lpstr>
      <vt:lpstr>'415'!OSRRefD11x_9</vt:lpstr>
      <vt:lpstr>'418'!OSRRefD11x_9</vt:lpstr>
      <vt:lpstr>'425'!OSRRefD11x_9</vt:lpstr>
      <vt:lpstr>'433'!OSRRefD11x_9</vt:lpstr>
      <vt:lpstr>'435'!OSRRefD11x_9</vt:lpstr>
      <vt:lpstr>'444'!OSRRefD11x_9</vt:lpstr>
      <vt:lpstr>'450'!OSRRefD11x_9</vt:lpstr>
      <vt:lpstr>'491'!OSRRefD11x_9</vt:lpstr>
      <vt:lpstr>'492'!OSRRefD11x_9</vt:lpstr>
      <vt:lpstr>'501'!OSRRefD11x_9</vt:lpstr>
      <vt:lpstr>'Div 3'!OSRRefD11x_9</vt:lpstr>
      <vt:lpstr>'Div 4'!OSRRefD11x_9</vt:lpstr>
      <vt:lpstr>'Div 5'!OSRRefD11x_9</vt:lpstr>
      <vt:lpstr>'Div 6'!OSRRefD11x_9</vt:lpstr>
      <vt:lpstr>Summary!OSRRefD11x_9</vt:lpstr>
      <vt:lpstr>'300'!OSRRefD14_0x</vt:lpstr>
      <vt:lpstr>'300 &amp; 317'!OSRRefD14_0x</vt:lpstr>
      <vt:lpstr>'301'!OSRRefD14_0x</vt:lpstr>
      <vt:lpstr>'307'!OSRRefD14_0x</vt:lpstr>
      <vt:lpstr>'308'!OSRRefD14_0x</vt:lpstr>
      <vt:lpstr>'309'!OSRRefD14_0x</vt:lpstr>
      <vt:lpstr>'310'!OSRRefD14_0x</vt:lpstr>
      <vt:lpstr>'310 &amp; 491'!OSRRefD14_0x</vt:lpstr>
      <vt:lpstr>'311'!OSRRefD14_0x</vt:lpstr>
      <vt:lpstr>'315'!OSRRefD14_0x</vt:lpstr>
      <vt:lpstr>'316'!OSRRefD14_0x</vt:lpstr>
      <vt:lpstr>'317'!OSRRefD14_0x</vt:lpstr>
      <vt:lpstr>'321'!OSRRefD14_0x</vt:lpstr>
      <vt:lpstr>'324'!OSRRefD14_0x</vt:lpstr>
      <vt:lpstr>'325'!OSRRefD14_0x</vt:lpstr>
      <vt:lpstr>'326'!OSRRefD14_0x</vt:lpstr>
      <vt:lpstr>'327'!OSRRefD14_0x</vt:lpstr>
      <vt:lpstr>'331'!OSRRefD14_0x</vt:lpstr>
      <vt:lpstr>'332'!OSRRefD14_0x</vt:lpstr>
      <vt:lpstr>'333'!OSRRefD14_0x</vt:lpstr>
      <vt:lpstr>'405'!OSRRefD14_0x</vt:lpstr>
      <vt:lpstr>'415'!OSRRefD14_0x</vt:lpstr>
      <vt:lpstr>'418'!OSRRefD14_0x</vt:lpstr>
      <vt:lpstr>'425'!OSRRefD14_0x</vt:lpstr>
      <vt:lpstr>'433'!OSRRefD14_0x</vt:lpstr>
      <vt:lpstr>'435'!OSRRefD14_0x</vt:lpstr>
      <vt:lpstr>'444'!OSRRefD14_0x</vt:lpstr>
      <vt:lpstr>'450'!OSRRefD14_0x</vt:lpstr>
      <vt:lpstr>'491'!OSRRefD14_0x</vt:lpstr>
      <vt:lpstr>'492'!OSRRefD14_0x</vt:lpstr>
      <vt:lpstr>'Div 3'!OSRRefD14_0x</vt:lpstr>
      <vt:lpstr>'Div 4'!OSRRefD14_0x</vt:lpstr>
      <vt:lpstr>'Div 6'!OSRRefD14_0x</vt:lpstr>
      <vt:lpstr>Summary!OSRRefD14_0x</vt:lpstr>
      <vt:lpstr>'300'!OSRRefD14_10x</vt:lpstr>
      <vt:lpstr>'300 &amp; 317'!OSRRefD14_10x</vt:lpstr>
      <vt:lpstr>'315'!OSRRefD14_10x</vt:lpstr>
      <vt:lpstr>'331'!OSRRefD14_10x</vt:lpstr>
      <vt:lpstr>'333'!OSRRefD14_10x</vt:lpstr>
      <vt:lpstr>'Div 3'!OSRRefD14_10x</vt:lpstr>
      <vt:lpstr>Summary!OSRRefD14_10x</vt:lpstr>
      <vt:lpstr>'300'!OSRRefD14_11x</vt:lpstr>
      <vt:lpstr>'300 &amp; 317'!OSRRefD14_11x</vt:lpstr>
      <vt:lpstr>'315'!OSRRefD14_11x</vt:lpstr>
      <vt:lpstr>'331'!OSRRefD14_11x</vt:lpstr>
      <vt:lpstr>'333'!OSRRefD14_11x</vt:lpstr>
      <vt:lpstr>'Div 3'!OSRRefD14_11x</vt:lpstr>
      <vt:lpstr>Summary!OSRRefD14_11x</vt:lpstr>
      <vt:lpstr>'300'!OSRRefD14_12x</vt:lpstr>
      <vt:lpstr>'300 &amp; 317'!OSRRefD14_12x</vt:lpstr>
      <vt:lpstr>'315'!OSRRefD14_12x</vt:lpstr>
      <vt:lpstr>'331'!OSRRefD14_12x</vt:lpstr>
      <vt:lpstr>'333'!OSRRefD14_12x</vt:lpstr>
      <vt:lpstr>'Div 3'!OSRRefD14_12x</vt:lpstr>
      <vt:lpstr>Summary!OSRRefD14_12x</vt:lpstr>
      <vt:lpstr>'300'!OSRRefD14_13x</vt:lpstr>
      <vt:lpstr>'300 &amp; 317'!OSRRefD14_13x</vt:lpstr>
      <vt:lpstr>'315'!OSRRefD14_13x</vt:lpstr>
      <vt:lpstr>'331'!OSRRefD14_13x</vt:lpstr>
      <vt:lpstr>'333'!OSRRefD14_13x</vt:lpstr>
      <vt:lpstr>'Div 3'!OSRRefD14_13x</vt:lpstr>
      <vt:lpstr>Summary!OSRRefD14_13x</vt:lpstr>
      <vt:lpstr>'300'!OSRRefD14_14x</vt:lpstr>
      <vt:lpstr>'300 &amp; 317'!OSRRefD14_14x</vt:lpstr>
      <vt:lpstr>'315'!OSRRefD14_14x</vt:lpstr>
      <vt:lpstr>'331'!OSRRefD14_14x</vt:lpstr>
      <vt:lpstr>'333'!OSRRefD14_14x</vt:lpstr>
      <vt:lpstr>'Div 3'!OSRRefD14_14x</vt:lpstr>
      <vt:lpstr>Summary!OSRRefD14_14x</vt:lpstr>
      <vt:lpstr>'300'!OSRRefD14_15x</vt:lpstr>
      <vt:lpstr>'300 &amp; 317'!OSRRefD14_15x</vt:lpstr>
      <vt:lpstr>'315'!OSRRefD14_15x</vt:lpstr>
      <vt:lpstr>'331'!OSRRefD14_15x</vt:lpstr>
      <vt:lpstr>'333'!OSRRefD14_15x</vt:lpstr>
      <vt:lpstr>'Div 3'!OSRRefD14_15x</vt:lpstr>
      <vt:lpstr>Summary!OSRRefD14_15x</vt:lpstr>
      <vt:lpstr>'300'!OSRRefD14_16x</vt:lpstr>
      <vt:lpstr>'300 &amp; 317'!OSRRefD14_16x</vt:lpstr>
      <vt:lpstr>'315'!OSRRefD14_16x</vt:lpstr>
      <vt:lpstr>'331'!OSRRefD14_16x</vt:lpstr>
      <vt:lpstr>'333'!OSRRefD14_16x</vt:lpstr>
      <vt:lpstr>'Div 3'!OSRRefD14_16x</vt:lpstr>
      <vt:lpstr>Summary!OSRRefD14_16x</vt:lpstr>
      <vt:lpstr>'300'!OSRRefD14_17x</vt:lpstr>
      <vt:lpstr>'300 &amp; 317'!OSRRefD14_17x</vt:lpstr>
      <vt:lpstr>'315'!OSRRefD14_17x</vt:lpstr>
      <vt:lpstr>'331'!OSRRefD14_17x</vt:lpstr>
      <vt:lpstr>'333'!OSRRefD14_17x</vt:lpstr>
      <vt:lpstr>'Div 3'!OSRRefD14_17x</vt:lpstr>
      <vt:lpstr>Summary!OSRRefD14_17x</vt:lpstr>
      <vt:lpstr>'300'!OSRRefD14_18x</vt:lpstr>
      <vt:lpstr>'300 &amp; 317'!OSRRefD14_18x</vt:lpstr>
      <vt:lpstr>'315'!OSRRefD14_18x</vt:lpstr>
      <vt:lpstr>'331'!OSRRefD14_18x</vt:lpstr>
      <vt:lpstr>'333'!OSRRefD14_18x</vt:lpstr>
      <vt:lpstr>'Div 3'!OSRRefD14_18x</vt:lpstr>
      <vt:lpstr>Summary!OSRRefD14_18x</vt:lpstr>
      <vt:lpstr>'300'!OSRRefD14_19x</vt:lpstr>
      <vt:lpstr>'300 &amp; 317'!OSRRefD14_19x</vt:lpstr>
      <vt:lpstr>'333'!OSRRefD14_19x</vt:lpstr>
      <vt:lpstr>'Div 3'!OSRRefD14_19x</vt:lpstr>
      <vt:lpstr>Summary!OSRRefD14_19x</vt:lpstr>
      <vt:lpstr>'300'!OSRRefD14_1x</vt:lpstr>
      <vt:lpstr>'300 &amp; 317'!OSRRefD14_1x</vt:lpstr>
      <vt:lpstr>'307'!OSRRefD14_1x</vt:lpstr>
      <vt:lpstr>'308'!OSRRefD14_1x</vt:lpstr>
      <vt:lpstr>'309'!OSRRefD14_1x</vt:lpstr>
      <vt:lpstr>'310'!OSRRefD14_1x</vt:lpstr>
      <vt:lpstr>'310 &amp; 491'!OSRRefD14_1x</vt:lpstr>
      <vt:lpstr>'311'!OSRRefD14_1x</vt:lpstr>
      <vt:lpstr>'315'!OSRRefD14_1x</vt:lpstr>
      <vt:lpstr>'316'!OSRRefD14_1x</vt:lpstr>
      <vt:lpstr>'317'!OSRRefD14_1x</vt:lpstr>
      <vt:lpstr>'321'!OSRRefD14_1x</vt:lpstr>
      <vt:lpstr>'325'!OSRRefD14_1x</vt:lpstr>
      <vt:lpstr>'326'!OSRRefD14_1x</vt:lpstr>
      <vt:lpstr>'327'!OSRRefD14_1x</vt:lpstr>
      <vt:lpstr>'331'!OSRRefD14_1x</vt:lpstr>
      <vt:lpstr>'332'!OSRRefD14_1x</vt:lpstr>
      <vt:lpstr>'333'!OSRRefD14_1x</vt:lpstr>
      <vt:lpstr>'405'!OSRRefD14_1x</vt:lpstr>
      <vt:lpstr>'415'!OSRRefD14_1x</vt:lpstr>
      <vt:lpstr>'418'!OSRRefD14_1x</vt:lpstr>
      <vt:lpstr>'433'!OSRRefD14_1x</vt:lpstr>
      <vt:lpstr>'444'!OSRRefD14_1x</vt:lpstr>
      <vt:lpstr>'450'!OSRRefD14_1x</vt:lpstr>
      <vt:lpstr>'491'!OSRRefD14_1x</vt:lpstr>
      <vt:lpstr>'492'!OSRRefD14_1x</vt:lpstr>
      <vt:lpstr>'Div 3'!OSRRefD14_1x</vt:lpstr>
      <vt:lpstr>'Div 4'!OSRRefD14_1x</vt:lpstr>
      <vt:lpstr>'Div 6'!OSRRefD14_1x</vt:lpstr>
      <vt:lpstr>Summary!OSRRefD14_1x</vt:lpstr>
      <vt:lpstr>'300'!OSRRefD14_20x</vt:lpstr>
      <vt:lpstr>'300 &amp; 317'!OSRRefD14_20x</vt:lpstr>
      <vt:lpstr>'333'!OSRRefD14_20x</vt:lpstr>
      <vt:lpstr>'Div 3'!OSRRefD14_20x</vt:lpstr>
      <vt:lpstr>Summary!OSRRefD14_20x</vt:lpstr>
      <vt:lpstr>'300'!OSRRefD14_21x</vt:lpstr>
      <vt:lpstr>'300 &amp; 317'!OSRRefD14_21x</vt:lpstr>
      <vt:lpstr>'Div 3'!OSRRefD14_21x</vt:lpstr>
      <vt:lpstr>Summary!OSRRefD14_21x</vt:lpstr>
      <vt:lpstr>'300'!OSRRefD14_22x</vt:lpstr>
      <vt:lpstr>'300 &amp; 317'!OSRRefD14_22x</vt:lpstr>
      <vt:lpstr>'Div 3'!OSRRefD14_22x</vt:lpstr>
      <vt:lpstr>Summary!OSRRefD14_22x</vt:lpstr>
      <vt:lpstr>'300'!OSRRefD14_23x</vt:lpstr>
      <vt:lpstr>'300 &amp; 317'!OSRRefD14_23x</vt:lpstr>
      <vt:lpstr>'Div 3'!OSRRefD14_23x</vt:lpstr>
      <vt:lpstr>Summary!OSRRefD14_23x</vt:lpstr>
      <vt:lpstr>'300'!OSRRefD14_24x</vt:lpstr>
      <vt:lpstr>'300 &amp; 317'!OSRRefD14_24x</vt:lpstr>
      <vt:lpstr>'Div 3'!OSRRefD14_24x</vt:lpstr>
      <vt:lpstr>Summary!OSRRefD14_24x</vt:lpstr>
      <vt:lpstr>'300'!OSRRefD14_25x</vt:lpstr>
      <vt:lpstr>'300 &amp; 317'!OSRRefD14_25x</vt:lpstr>
      <vt:lpstr>'Div 3'!OSRRefD14_25x</vt:lpstr>
      <vt:lpstr>Summary!OSRRefD14_25x</vt:lpstr>
      <vt:lpstr>'300'!OSRRefD14_26x</vt:lpstr>
      <vt:lpstr>'300 &amp; 317'!OSRRefD14_26x</vt:lpstr>
      <vt:lpstr>'Div 3'!OSRRefD14_26x</vt:lpstr>
      <vt:lpstr>Summary!OSRRefD14_26x</vt:lpstr>
      <vt:lpstr>'300 &amp; 317'!OSRRefD14_27x</vt:lpstr>
      <vt:lpstr>'Div 3'!OSRRefD14_27x</vt:lpstr>
      <vt:lpstr>Summary!OSRRefD14_27x</vt:lpstr>
      <vt:lpstr>'300 &amp; 317'!OSRRefD14_28x</vt:lpstr>
      <vt:lpstr>'Div 3'!OSRRefD14_28x</vt:lpstr>
      <vt:lpstr>Summary!OSRRefD14_28x</vt:lpstr>
      <vt:lpstr>'300 &amp; 317'!OSRRefD14_29x</vt:lpstr>
      <vt:lpstr>Summary!OSRRefD14_29x</vt:lpstr>
      <vt:lpstr>'300'!OSRRefD14_2x</vt:lpstr>
      <vt:lpstr>'300 &amp; 317'!OSRRefD14_2x</vt:lpstr>
      <vt:lpstr>'307'!OSRRefD14_2x</vt:lpstr>
      <vt:lpstr>'308'!OSRRefD14_2x</vt:lpstr>
      <vt:lpstr>'310'!OSRRefD14_2x</vt:lpstr>
      <vt:lpstr>'310 &amp; 491'!OSRRefD14_2x</vt:lpstr>
      <vt:lpstr>'311'!OSRRefD14_2x</vt:lpstr>
      <vt:lpstr>'315'!OSRRefD14_2x</vt:lpstr>
      <vt:lpstr>'317'!OSRRefD14_2x</vt:lpstr>
      <vt:lpstr>'325'!OSRRefD14_2x</vt:lpstr>
      <vt:lpstr>'326'!OSRRefD14_2x</vt:lpstr>
      <vt:lpstr>'327'!OSRRefD14_2x</vt:lpstr>
      <vt:lpstr>'331'!OSRRefD14_2x</vt:lpstr>
      <vt:lpstr>'333'!OSRRefD14_2x</vt:lpstr>
      <vt:lpstr>'405'!OSRRefD14_2x</vt:lpstr>
      <vt:lpstr>'415'!OSRRefD14_2x</vt:lpstr>
      <vt:lpstr>'433'!OSRRefD14_2x</vt:lpstr>
      <vt:lpstr>'444'!OSRRefD14_2x</vt:lpstr>
      <vt:lpstr>'450'!OSRRefD14_2x</vt:lpstr>
      <vt:lpstr>'491'!OSRRefD14_2x</vt:lpstr>
      <vt:lpstr>'492'!OSRRefD14_2x</vt:lpstr>
      <vt:lpstr>'Div 3'!OSRRefD14_2x</vt:lpstr>
      <vt:lpstr>'Div 4'!OSRRefD14_2x</vt:lpstr>
      <vt:lpstr>'Div 6'!OSRRefD14_2x</vt:lpstr>
      <vt:lpstr>Summary!OSRRefD14_2x</vt:lpstr>
      <vt:lpstr>'300 &amp; 317'!OSRRefD14_30x</vt:lpstr>
      <vt:lpstr>Summary!OSRRefD14_30x</vt:lpstr>
      <vt:lpstr>'300 &amp; 317'!OSRRefD14_31x</vt:lpstr>
      <vt:lpstr>Summary!OSRRefD14_31x</vt:lpstr>
      <vt:lpstr>'300 &amp; 317'!OSRRefD14_32x</vt:lpstr>
      <vt:lpstr>Summary!OSRRefD14_32x</vt:lpstr>
      <vt:lpstr>Summary!OSRRefD14_33x</vt:lpstr>
      <vt:lpstr>Summary!OSRRefD14_34x</vt:lpstr>
      <vt:lpstr>'300'!OSRRefD14_3x</vt:lpstr>
      <vt:lpstr>'300 &amp; 317'!OSRRefD14_3x</vt:lpstr>
      <vt:lpstr>'307'!OSRRefD14_3x</vt:lpstr>
      <vt:lpstr>'308'!OSRRefD14_3x</vt:lpstr>
      <vt:lpstr>'311'!OSRRefD14_3x</vt:lpstr>
      <vt:lpstr>'315'!OSRRefD14_3x</vt:lpstr>
      <vt:lpstr>'317'!OSRRefD14_3x</vt:lpstr>
      <vt:lpstr>'326'!OSRRefD14_3x</vt:lpstr>
      <vt:lpstr>'331'!OSRRefD14_3x</vt:lpstr>
      <vt:lpstr>'333'!OSRRefD14_3x</vt:lpstr>
      <vt:lpstr>'Div 3'!OSRRefD14_3x</vt:lpstr>
      <vt:lpstr>'Div 6'!OSRRefD14_3x</vt:lpstr>
      <vt:lpstr>Summary!OSRRefD14_3x</vt:lpstr>
      <vt:lpstr>'300'!OSRRefD14_4x</vt:lpstr>
      <vt:lpstr>'300 &amp; 317'!OSRRefD14_4x</vt:lpstr>
      <vt:lpstr>'307'!OSRRefD14_4x</vt:lpstr>
      <vt:lpstr>'308'!OSRRefD14_4x</vt:lpstr>
      <vt:lpstr>'311'!OSRRefD14_4x</vt:lpstr>
      <vt:lpstr>'315'!OSRRefD14_4x</vt:lpstr>
      <vt:lpstr>'317'!OSRRefD14_4x</vt:lpstr>
      <vt:lpstr>'331'!OSRRefD14_4x</vt:lpstr>
      <vt:lpstr>'333'!OSRRefD14_4x</vt:lpstr>
      <vt:lpstr>'Div 3'!OSRRefD14_4x</vt:lpstr>
      <vt:lpstr>'Div 6'!OSRRefD14_4x</vt:lpstr>
      <vt:lpstr>Summary!OSRRefD14_4x</vt:lpstr>
      <vt:lpstr>'300'!OSRRefD14_5x</vt:lpstr>
      <vt:lpstr>'300 &amp; 317'!OSRRefD14_5x</vt:lpstr>
      <vt:lpstr>'307'!OSRRefD14_5x</vt:lpstr>
      <vt:lpstr>'308'!OSRRefD14_5x</vt:lpstr>
      <vt:lpstr>'311'!OSRRefD14_5x</vt:lpstr>
      <vt:lpstr>'315'!OSRRefD14_5x</vt:lpstr>
      <vt:lpstr>'317'!OSRRefD14_5x</vt:lpstr>
      <vt:lpstr>'331'!OSRRefD14_5x</vt:lpstr>
      <vt:lpstr>'333'!OSRRefD14_5x</vt:lpstr>
      <vt:lpstr>'Div 3'!OSRRefD14_5x</vt:lpstr>
      <vt:lpstr>'Div 6'!OSRRefD14_5x</vt:lpstr>
      <vt:lpstr>Summary!OSRRefD14_5x</vt:lpstr>
      <vt:lpstr>'300'!OSRRefD14_6x</vt:lpstr>
      <vt:lpstr>'300 &amp; 317'!OSRRefD14_6x</vt:lpstr>
      <vt:lpstr>'307'!OSRRefD14_6x</vt:lpstr>
      <vt:lpstr>'308'!OSRRefD14_6x</vt:lpstr>
      <vt:lpstr>'311'!OSRRefD14_6x</vt:lpstr>
      <vt:lpstr>'315'!OSRRefD14_6x</vt:lpstr>
      <vt:lpstr>'317'!OSRRefD14_6x</vt:lpstr>
      <vt:lpstr>'331'!OSRRefD14_6x</vt:lpstr>
      <vt:lpstr>'333'!OSRRefD14_6x</vt:lpstr>
      <vt:lpstr>'Div 3'!OSRRefD14_6x</vt:lpstr>
      <vt:lpstr>'Div 6'!OSRRefD14_6x</vt:lpstr>
      <vt:lpstr>Summary!OSRRefD14_6x</vt:lpstr>
      <vt:lpstr>'300'!OSRRefD14_7x</vt:lpstr>
      <vt:lpstr>'300 &amp; 317'!OSRRefD14_7x</vt:lpstr>
      <vt:lpstr>'307'!OSRRefD14_7x</vt:lpstr>
      <vt:lpstr>'308'!OSRRefD14_7x</vt:lpstr>
      <vt:lpstr>'311'!OSRRefD14_7x</vt:lpstr>
      <vt:lpstr>'315'!OSRRefD14_7x</vt:lpstr>
      <vt:lpstr>'317'!OSRRefD14_7x</vt:lpstr>
      <vt:lpstr>'331'!OSRRefD14_7x</vt:lpstr>
      <vt:lpstr>'333'!OSRRefD14_7x</vt:lpstr>
      <vt:lpstr>'Div 3'!OSRRefD14_7x</vt:lpstr>
      <vt:lpstr>'Div 6'!OSRRefD14_7x</vt:lpstr>
      <vt:lpstr>Summary!OSRRefD14_7x</vt:lpstr>
      <vt:lpstr>'300'!OSRRefD14_8x</vt:lpstr>
      <vt:lpstr>'300 &amp; 317'!OSRRefD14_8x</vt:lpstr>
      <vt:lpstr>'307'!OSRRefD14_8x</vt:lpstr>
      <vt:lpstr>'308'!OSRRefD14_8x</vt:lpstr>
      <vt:lpstr>'311'!OSRRefD14_8x</vt:lpstr>
      <vt:lpstr>'315'!OSRRefD14_8x</vt:lpstr>
      <vt:lpstr>'317'!OSRRefD14_8x</vt:lpstr>
      <vt:lpstr>'331'!OSRRefD14_8x</vt:lpstr>
      <vt:lpstr>'333'!OSRRefD14_8x</vt:lpstr>
      <vt:lpstr>'Div 3'!OSRRefD14_8x</vt:lpstr>
      <vt:lpstr>'Div 6'!OSRRefD14_8x</vt:lpstr>
      <vt:lpstr>Summary!OSRRefD14_8x</vt:lpstr>
      <vt:lpstr>'300'!OSRRefD14_9x</vt:lpstr>
      <vt:lpstr>'300 &amp; 317'!OSRRefD14_9x</vt:lpstr>
      <vt:lpstr>'307'!OSRRefD14_9x</vt:lpstr>
      <vt:lpstr>'308'!OSRRefD14_9x</vt:lpstr>
      <vt:lpstr>'311'!OSRRefD14_9x</vt:lpstr>
      <vt:lpstr>'315'!OSRRefD14_9x</vt:lpstr>
      <vt:lpstr>'317'!OSRRefD14_9x</vt:lpstr>
      <vt:lpstr>'331'!OSRRefD14_9x</vt:lpstr>
      <vt:lpstr>'333'!OSRRefD14_9x</vt:lpstr>
      <vt:lpstr>'Div 3'!OSRRefD14_9x</vt:lpstr>
      <vt:lpstr>'Div 6'!OSRRefD14_9x</vt:lpstr>
      <vt:lpstr>Summary!OSRRefD14_9x</vt:lpstr>
      <vt:lpstr>'300'!OSRRefD14x_0</vt:lpstr>
      <vt:lpstr>'300 &amp; 317'!OSRRefD14x_0</vt:lpstr>
      <vt:lpstr>'301'!OSRRefD14x_0</vt:lpstr>
      <vt:lpstr>'307'!OSRRefD14x_0</vt:lpstr>
      <vt:lpstr>'308'!OSRRefD14x_0</vt:lpstr>
      <vt:lpstr>'309'!OSRRefD14x_0</vt:lpstr>
      <vt:lpstr>'310'!OSRRefD14x_0</vt:lpstr>
      <vt:lpstr>'310 &amp; 491'!OSRRefD14x_0</vt:lpstr>
      <vt:lpstr>'311'!OSRRefD14x_0</vt:lpstr>
      <vt:lpstr>'315'!OSRRefD14x_0</vt:lpstr>
      <vt:lpstr>'316'!OSRRefD14x_0</vt:lpstr>
      <vt:lpstr>'317'!OSRRefD14x_0</vt:lpstr>
      <vt:lpstr>'321'!OSRRefD14x_0</vt:lpstr>
      <vt:lpstr>'324'!OSRRefD14x_0</vt:lpstr>
      <vt:lpstr>'325'!OSRRefD14x_0</vt:lpstr>
      <vt:lpstr>'326'!OSRRefD14x_0</vt:lpstr>
      <vt:lpstr>'327'!OSRRefD14x_0</vt:lpstr>
      <vt:lpstr>'331'!OSRRefD14x_0</vt:lpstr>
      <vt:lpstr>'332'!OSRRefD14x_0</vt:lpstr>
      <vt:lpstr>'333'!OSRRefD14x_0</vt:lpstr>
      <vt:lpstr>'405'!OSRRefD14x_0</vt:lpstr>
      <vt:lpstr>'415'!OSRRefD14x_0</vt:lpstr>
      <vt:lpstr>'418'!OSRRefD14x_0</vt:lpstr>
      <vt:lpstr>'425'!OSRRefD14x_0</vt:lpstr>
      <vt:lpstr>'433'!OSRRefD14x_0</vt:lpstr>
      <vt:lpstr>'435'!OSRRefD14x_0</vt:lpstr>
      <vt:lpstr>'444'!OSRRefD14x_0</vt:lpstr>
      <vt:lpstr>'450'!OSRRefD14x_0</vt:lpstr>
      <vt:lpstr>'491'!OSRRefD14x_0</vt:lpstr>
      <vt:lpstr>'492'!OSRRefD14x_0</vt:lpstr>
      <vt:lpstr>'Div 3'!OSRRefD14x_0</vt:lpstr>
      <vt:lpstr>'Div 4'!OSRRefD14x_0</vt:lpstr>
      <vt:lpstr>'Div 6'!OSRRefD14x_0</vt:lpstr>
      <vt:lpstr>Summary!OSRRefD14x_0</vt:lpstr>
      <vt:lpstr>'300'!OSRRefD14x_1</vt:lpstr>
      <vt:lpstr>'300 &amp; 317'!OSRRefD14x_1</vt:lpstr>
      <vt:lpstr>'301'!OSRRefD14x_1</vt:lpstr>
      <vt:lpstr>'307'!OSRRefD14x_1</vt:lpstr>
      <vt:lpstr>'308'!OSRRefD14x_1</vt:lpstr>
      <vt:lpstr>'309'!OSRRefD14x_1</vt:lpstr>
      <vt:lpstr>'310'!OSRRefD14x_1</vt:lpstr>
      <vt:lpstr>'310 &amp; 491'!OSRRefD14x_1</vt:lpstr>
      <vt:lpstr>'311'!OSRRefD14x_1</vt:lpstr>
      <vt:lpstr>'315'!OSRRefD14x_1</vt:lpstr>
      <vt:lpstr>'316'!OSRRefD14x_1</vt:lpstr>
      <vt:lpstr>'317'!OSRRefD14x_1</vt:lpstr>
      <vt:lpstr>'321'!OSRRefD14x_1</vt:lpstr>
      <vt:lpstr>'324'!OSRRefD14x_1</vt:lpstr>
      <vt:lpstr>'325'!OSRRefD14x_1</vt:lpstr>
      <vt:lpstr>'326'!OSRRefD14x_1</vt:lpstr>
      <vt:lpstr>'327'!OSRRefD14x_1</vt:lpstr>
      <vt:lpstr>'331'!OSRRefD14x_1</vt:lpstr>
      <vt:lpstr>'332'!OSRRefD14x_1</vt:lpstr>
      <vt:lpstr>'333'!OSRRefD14x_1</vt:lpstr>
      <vt:lpstr>'405'!OSRRefD14x_1</vt:lpstr>
      <vt:lpstr>'415'!OSRRefD14x_1</vt:lpstr>
      <vt:lpstr>'418'!OSRRefD14x_1</vt:lpstr>
      <vt:lpstr>'425'!OSRRefD14x_1</vt:lpstr>
      <vt:lpstr>'433'!OSRRefD14x_1</vt:lpstr>
      <vt:lpstr>'435'!OSRRefD14x_1</vt:lpstr>
      <vt:lpstr>'444'!OSRRefD14x_1</vt:lpstr>
      <vt:lpstr>'450'!OSRRefD14x_1</vt:lpstr>
      <vt:lpstr>'491'!OSRRefD14x_1</vt:lpstr>
      <vt:lpstr>'492'!OSRRefD14x_1</vt:lpstr>
      <vt:lpstr>'Div 3'!OSRRefD14x_1</vt:lpstr>
      <vt:lpstr>'Div 4'!OSRRefD14x_1</vt:lpstr>
      <vt:lpstr>'Div 6'!OSRRefD14x_1</vt:lpstr>
      <vt:lpstr>Summary!OSRRefD14x_1</vt:lpstr>
      <vt:lpstr>'300'!OSRRefD14x_2</vt:lpstr>
      <vt:lpstr>'300 &amp; 317'!OSRRefD14x_2</vt:lpstr>
      <vt:lpstr>'301'!OSRRefD14x_2</vt:lpstr>
      <vt:lpstr>'307'!OSRRefD14x_2</vt:lpstr>
      <vt:lpstr>'308'!OSRRefD14x_2</vt:lpstr>
      <vt:lpstr>'309'!OSRRefD14x_2</vt:lpstr>
      <vt:lpstr>'310'!OSRRefD14x_2</vt:lpstr>
      <vt:lpstr>'310 &amp; 491'!OSRRefD14x_2</vt:lpstr>
      <vt:lpstr>'311'!OSRRefD14x_2</vt:lpstr>
      <vt:lpstr>'315'!OSRRefD14x_2</vt:lpstr>
      <vt:lpstr>'316'!OSRRefD14x_2</vt:lpstr>
      <vt:lpstr>'317'!OSRRefD14x_2</vt:lpstr>
      <vt:lpstr>'321'!OSRRefD14x_2</vt:lpstr>
      <vt:lpstr>'324'!OSRRefD14x_2</vt:lpstr>
      <vt:lpstr>'325'!OSRRefD14x_2</vt:lpstr>
      <vt:lpstr>'326'!OSRRefD14x_2</vt:lpstr>
      <vt:lpstr>'327'!OSRRefD14x_2</vt:lpstr>
      <vt:lpstr>'331'!OSRRefD14x_2</vt:lpstr>
      <vt:lpstr>'332'!OSRRefD14x_2</vt:lpstr>
      <vt:lpstr>'333'!OSRRefD14x_2</vt:lpstr>
      <vt:lpstr>'405'!OSRRefD14x_2</vt:lpstr>
      <vt:lpstr>'415'!OSRRefD14x_2</vt:lpstr>
      <vt:lpstr>'418'!OSRRefD14x_2</vt:lpstr>
      <vt:lpstr>'425'!OSRRefD14x_2</vt:lpstr>
      <vt:lpstr>'433'!OSRRefD14x_2</vt:lpstr>
      <vt:lpstr>'435'!OSRRefD14x_2</vt:lpstr>
      <vt:lpstr>'444'!OSRRefD14x_2</vt:lpstr>
      <vt:lpstr>'450'!OSRRefD14x_2</vt:lpstr>
      <vt:lpstr>'491'!OSRRefD14x_2</vt:lpstr>
      <vt:lpstr>'492'!OSRRefD14x_2</vt:lpstr>
      <vt:lpstr>'Div 3'!OSRRefD14x_2</vt:lpstr>
      <vt:lpstr>'Div 4'!OSRRefD14x_2</vt:lpstr>
      <vt:lpstr>'Div 6'!OSRRefD14x_2</vt:lpstr>
      <vt:lpstr>Summary!OSRRefD14x_2</vt:lpstr>
      <vt:lpstr>'300'!OSRRefD14x_3</vt:lpstr>
      <vt:lpstr>'300 &amp; 317'!OSRRefD14x_3</vt:lpstr>
      <vt:lpstr>'301'!OSRRefD14x_3</vt:lpstr>
      <vt:lpstr>'307'!OSRRefD14x_3</vt:lpstr>
      <vt:lpstr>'308'!OSRRefD14x_3</vt:lpstr>
      <vt:lpstr>'309'!OSRRefD14x_3</vt:lpstr>
      <vt:lpstr>'310'!OSRRefD14x_3</vt:lpstr>
      <vt:lpstr>'310 &amp; 491'!OSRRefD14x_3</vt:lpstr>
      <vt:lpstr>'311'!OSRRefD14x_3</vt:lpstr>
      <vt:lpstr>'315'!OSRRefD14x_3</vt:lpstr>
      <vt:lpstr>'316'!OSRRefD14x_3</vt:lpstr>
      <vt:lpstr>'317'!OSRRefD14x_3</vt:lpstr>
      <vt:lpstr>'321'!OSRRefD14x_3</vt:lpstr>
      <vt:lpstr>'324'!OSRRefD14x_3</vt:lpstr>
      <vt:lpstr>'325'!OSRRefD14x_3</vt:lpstr>
      <vt:lpstr>'326'!OSRRefD14x_3</vt:lpstr>
      <vt:lpstr>'327'!OSRRefD14x_3</vt:lpstr>
      <vt:lpstr>'331'!OSRRefD14x_3</vt:lpstr>
      <vt:lpstr>'332'!OSRRefD14x_3</vt:lpstr>
      <vt:lpstr>'333'!OSRRefD14x_3</vt:lpstr>
      <vt:lpstr>'405'!OSRRefD14x_3</vt:lpstr>
      <vt:lpstr>'415'!OSRRefD14x_3</vt:lpstr>
      <vt:lpstr>'418'!OSRRefD14x_3</vt:lpstr>
      <vt:lpstr>'425'!OSRRefD14x_3</vt:lpstr>
      <vt:lpstr>'433'!OSRRefD14x_3</vt:lpstr>
      <vt:lpstr>'435'!OSRRefD14x_3</vt:lpstr>
      <vt:lpstr>'444'!OSRRefD14x_3</vt:lpstr>
      <vt:lpstr>'450'!OSRRefD14x_3</vt:lpstr>
      <vt:lpstr>'491'!OSRRefD14x_3</vt:lpstr>
      <vt:lpstr>'492'!OSRRefD14x_3</vt:lpstr>
      <vt:lpstr>'Div 3'!OSRRefD14x_3</vt:lpstr>
      <vt:lpstr>'Div 4'!OSRRefD14x_3</vt:lpstr>
      <vt:lpstr>'Div 6'!OSRRefD14x_3</vt:lpstr>
      <vt:lpstr>Summary!OSRRefD14x_3</vt:lpstr>
      <vt:lpstr>'300'!OSRRefD14x_4</vt:lpstr>
      <vt:lpstr>'300 &amp; 317'!OSRRefD14x_4</vt:lpstr>
      <vt:lpstr>'301'!OSRRefD14x_4</vt:lpstr>
      <vt:lpstr>'307'!OSRRefD14x_4</vt:lpstr>
      <vt:lpstr>'308'!OSRRefD14x_4</vt:lpstr>
      <vt:lpstr>'309'!OSRRefD14x_4</vt:lpstr>
      <vt:lpstr>'310'!OSRRefD14x_4</vt:lpstr>
      <vt:lpstr>'310 &amp; 491'!OSRRefD14x_4</vt:lpstr>
      <vt:lpstr>'311'!OSRRefD14x_4</vt:lpstr>
      <vt:lpstr>'315'!OSRRefD14x_4</vt:lpstr>
      <vt:lpstr>'316'!OSRRefD14x_4</vt:lpstr>
      <vt:lpstr>'317'!OSRRefD14x_4</vt:lpstr>
      <vt:lpstr>'321'!OSRRefD14x_4</vt:lpstr>
      <vt:lpstr>'324'!OSRRefD14x_4</vt:lpstr>
      <vt:lpstr>'325'!OSRRefD14x_4</vt:lpstr>
      <vt:lpstr>'326'!OSRRefD14x_4</vt:lpstr>
      <vt:lpstr>'327'!OSRRefD14x_4</vt:lpstr>
      <vt:lpstr>'331'!OSRRefD14x_4</vt:lpstr>
      <vt:lpstr>'332'!OSRRefD14x_4</vt:lpstr>
      <vt:lpstr>'333'!OSRRefD14x_4</vt:lpstr>
      <vt:lpstr>'405'!OSRRefD14x_4</vt:lpstr>
      <vt:lpstr>'415'!OSRRefD14x_4</vt:lpstr>
      <vt:lpstr>'418'!OSRRefD14x_4</vt:lpstr>
      <vt:lpstr>'425'!OSRRefD14x_4</vt:lpstr>
      <vt:lpstr>'433'!OSRRefD14x_4</vt:lpstr>
      <vt:lpstr>'435'!OSRRefD14x_4</vt:lpstr>
      <vt:lpstr>'444'!OSRRefD14x_4</vt:lpstr>
      <vt:lpstr>'450'!OSRRefD14x_4</vt:lpstr>
      <vt:lpstr>'491'!OSRRefD14x_4</vt:lpstr>
      <vt:lpstr>'492'!OSRRefD14x_4</vt:lpstr>
      <vt:lpstr>'Div 3'!OSRRefD14x_4</vt:lpstr>
      <vt:lpstr>'Div 4'!OSRRefD14x_4</vt:lpstr>
      <vt:lpstr>'Div 6'!OSRRefD14x_4</vt:lpstr>
      <vt:lpstr>Summary!OSRRefD14x_4</vt:lpstr>
      <vt:lpstr>'300'!OSRRefD14x_5</vt:lpstr>
      <vt:lpstr>'300 &amp; 317'!OSRRefD14x_5</vt:lpstr>
      <vt:lpstr>'301'!OSRRefD14x_5</vt:lpstr>
      <vt:lpstr>'307'!OSRRefD14x_5</vt:lpstr>
      <vt:lpstr>'308'!OSRRefD14x_5</vt:lpstr>
      <vt:lpstr>'309'!OSRRefD14x_5</vt:lpstr>
      <vt:lpstr>'310'!OSRRefD14x_5</vt:lpstr>
      <vt:lpstr>'310 &amp; 491'!OSRRefD14x_5</vt:lpstr>
      <vt:lpstr>'311'!OSRRefD14x_5</vt:lpstr>
      <vt:lpstr>'315'!OSRRefD14x_5</vt:lpstr>
      <vt:lpstr>'316'!OSRRefD14x_5</vt:lpstr>
      <vt:lpstr>'317'!OSRRefD14x_5</vt:lpstr>
      <vt:lpstr>'321'!OSRRefD14x_5</vt:lpstr>
      <vt:lpstr>'324'!OSRRefD14x_5</vt:lpstr>
      <vt:lpstr>'325'!OSRRefD14x_5</vt:lpstr>
      <vt:lpstr>'326'!OSRRefD14x_5</vt:lpstr>
      <vt:lpstr>'327'!OSRRefD14x_5</vt:lpstr>
      <vt:lpstr>'331'!OSRRefD14x_5</vt:lpstr>
      <vt:lpstr>'332'!OSRRefD14x_5</vt:lpstr>
      <vt:lpstr>'333'!OSRRefD14x_5</vt:lpstr>
      <vt:lpstr>'405'!OSRRefD14x_5</vt:lpstr>
      <vt:lpstr>'415'!OSRRefD14x_5</vt:lpstr>
      <vt:lpstr>'418'!OSRRefD14x_5</vt:lpstr>
      <vt:lpstr>'425'!OSRRefD14x_5</vt:lpstr>
      <vt:lpstr>'433'!OSRRefD14x_5</vt:lpstr>
      <vt:lpstr>'435'!OSRRefD14x_5</vt:lpstr>
      <vt:lpstr>'444'!OSRRefD14x_5</vt:lpstr>
      <vt:lpstr>'450'!OSRRefD14x_5</vt:lpstr>
      <vt:lpstr>'491'!OSRRefD14x_5</vt:lpstr>
      <vt:lpstr>'492'!OSRRefD14x_5</vt:lpstr>
      <vt:lpstr>'Div 3'!OSRRefD14x_5</vt:lpstr>
      <vt:lpstr>'Div 4'!OSRRefD14x_5</vt:lpstr>
      <vt:lpstr>'Div 6'!OSRRefD14x_5</vt:lpstr>
      <vt:lpstr>Summary!OSRRefD14x_5</vt:lpstr>
      <vt:lpstr>'300'!OSRRefD14x_6</vt:lpstr>
      <vt:lpstr>'300 &amp; 317'!OSRRefD14x_6</vt:lpstr>
      <vt:lpstr>'301'!OSRRefD14x_6</vt:lpstr>
      <vt:lpstr>'307'!OSRRefD14x_6</vt:lpstr>
      <vt:lpstr>'308'!OSRRefD14x_6</vt:lpstr>
      <vt:lpstr>'309'!OSRRefD14x_6</vt:lpstr>
      <vt:lpstr>'310'!OSRRefD14x_6</vt:lpstr>
      <vt:lpstr>'310 &amp; 491'!OSRRefD14x_6</vt:lpstr>
      <vt:lpstr>'311'!OSRRefD14x_6</vt:lpstr>
      <vt:lpstr>'315'!OSRRefD14x_6</vt:lpstr>
      <vt:lpstr>'316'!OSRRefD14x_6</vt:lpstr>
      <vt:lpstr>'317'!OSRRefD14x_6</vt:lpstr>
      <vt:lpstr>'321'!OSRRefD14x_6</vt:lpstr>
      <vt:lpstr>'324'!OSRRefD14x_6</vt:lpstr>
      <vt:lpstr>'325'!OSRRefD14x_6</vt:lpstr>
      <vt:lpstr>'326'!OSRRefD14x_6</vt:lpstr>
      <vt:lpstr>'327'!OSRRefD14x_6</vt:lpstr>
      <vt:lpstr>'331'!OSRRefD14x_6</vt:lpstr>
      <vt:lpstr>'332'!OSRRefD14x_6</vt:lpstr>
      <vt:lpstr>'333'!OSRRefD14x_6</vt:lpstr>
      <vt:lpstr>'405'!OSRRefD14x_6</vt:lpstr>
      <vt:lpstr>'415'!OSRRefD14x_6</vt:lpstr>
      <vt:lpstr>'418'!OSRRefD14x_6</vt:lpstr>
      <vt:lpstr>'425'!OSRRefD14x_6</vt:lpstr>
      <vt:lpstr>'433'!OSRRefD14x_6</vt:lpstr>
      <vt:lpstr>'435'!OSRRefD14x_6</vt:lpstr>
      <vt:lpstr>'444'!OSRRefD14x_6</vt:lpstr>
      <vt:lpstr>'450'!OSRRefD14x_6</vt:lpstr>
      <vt:lpstr>'491'!OSRRefD14x_6</vt:lpstr>
      <vt:lpstr>'492'!OSRRefD14x_6</vt:lpstr>
      <vt:lpstr>'Div 3'!OSRRefD14x_6</vt:lpstr>
      <vt:lpstr>'Div 4'!OSRRefD14x_6</vt:lpstr>
      <vt:lpstr>'Div 6'!OSRRefD14x_6</vt:lpstr>
      <vt:lpstr>Summary!OSRRefD14x_6</vt:lpstr>
      <vt:lpstr>'300'!OSRRefD14x_7</vt:lpstr>
      <vt:lpstr>'300 &amp; 317'!OSRRefD14x_7</vt:lpstr>
      <vt:lpstr>'301'!OSRRefD14x_7</vt:lpstr>
      <vt:lpstr>'307'!OSRRefD14x_7</vt:lpstr>
      <vt:lpstr>'308'!OSRRefD14x_7</vt:lpstr>
      <vt:lpstr>'309'!OSRRefD14x_7</vt:lpstr>
      <vt:lpstr>'310'!OSRRefD14x_7</vt:lpstr>
      <vt:lpstr>'310 &amp; 491'!OSRRefD14x_7</vt:lpstr>
      <vt:lpstr>'311'!OSRRefD14x_7</vt:lpstr>
      <vt:lpstr>'315'!OSRRefD14x_7</vt:lpstr>
      <vt:lpstr>'316'!OSRRefD14x_7</vt:lpstr>
      <vt:lpstr>'317'!OSRRefD14x_7</vt:lpstr>
      <vt:lpstr>'321'!OSRRefD14x_7</vt:lpstr>
      <vt:lpstr>'324'!OSRRefD14x_7</vt:lpstr>
      <vt:lpstr>'325'!OSRRefD14x_7</vt:lpstr>
      <vt:lpstr>'326'!OSRRefD14x_7</vt:lpstr>
      <vt:lpstr>'327'!OSRRefD14x_7</vt:lpstr>
      <vt:lpstr>'331'!OSRRefD14x_7</vt:lpstr>
      <vt:lpstr>'332'!OSRRefD14x_7</vt:lpstr>
      <vt:lpstr>'333'!OSRRefD14x_7</vt:lpstr>
      <vt:lpstr>'405'!OSRRefD14x_7</vt:lpstr>
      <vt:lpstr>'415'!OSRRefD14x_7</vt:lpstr>
      <vt:lpstr>'418'!OSRRefD14x_7</vt:lpstr>
      <vt:lpstr>'425'!OSRRefD14x_7</vt:lpstr>
      <vt:lpstr>'433'!OSRRefD14x_7</vt:lpstr>
      <vt:lpstr>'435'!OSRRefD14x_7</vt:lpstr>
      <vt:lpstr>'444'!OSRRefD14x_7</vt:lpstr>
      <vt:lpstr>'450'!OSRRefD14x_7</vt:lpstr>
      <vt:lpstr>'491'!OSRRefD14x_7</vt:lpstr>
      <vt:lpstr>'492'!OSRRefD14x_7</vt:lpstr>
      <vt:lpstr>'Div 3'!OSRRefD14x_7</vt:lpstr>
      <vt:lpstr>'Div 4'!OSRRefD14x_7</vt:lpstr>
      <vt:lpstr>'Div 6'!OSRRefD14x_7</vt:lpstr>
      <vt:lpstr>Summary!OSRRefD14x_7</vt:lpstr>
      <vt:lpstr>'300'!OSRRefD14x_8</vt:lpstr>
      <vt:lpstr>'300 &amp; 317'!OSRRefD14x_8</vt:lpstr>
      <vt:lpstr>'301'!OSRRefD14x_8</vt:lpstr>
      <vt:lpstr>'307'!OSRRefD14x_8</vt:lpstr>
      <vt:lpstr>'308'!OSRRefD14x_8</vt:lpstr>
      <vt:lpstr>'309'!OSRRefD14x_8</vt:lpstr>
      <vt:lpstr>'310'!OSRRefD14x_8</vt:lpstr>
      <vt:lpstr>'310 &amp; 491'!OSRRefD14x_8</vt:lpstr>
      <vt:lpstr>'311'!OSRRefD14x_8</vt:lpstr>
      <vt:lpstr>'315'!OSRRefD14x_8</vt:lpstr>
      <vt:lpstr>'316'!OSRRefD14x_8</vt:lpstr>
      <vt:lpstr>'317'!OSRRefD14x_8</vt:lpstr>
      <vt:lpstr>'321'!OSRRefD14x_8</vt:lpstr>
      <vt:lpstr>'324'!OSRRefD14x_8</vt:lpstr>
      <vt:lpstr>'325'!OSRRefD14x_8</vt:lpstr>
      <vt:lpstr>'326'!OSRRefD14x_8</vt:lpstr>
      <vt:lpstr>'327'!OSRRefD14x_8</vt:lpstr>
      <vt:lpstr>'331'!OSRRefD14x_8</vt:lpstr>
      <vt:lpstr>'332'!OSRRefD14x_8</vt:lpstr>
      <vt:lpstr>'333'!OSRRefD14x_8</vt:lpstr>
      <vt:lpstr>'405'!OSRRefD14x_8</vt:lpstr>
      <vt:lpstr>'415'!OSRRefD14x_8</vt:lpstr>
      <vt:lpstr>'418'!OSRRefD14x_8</vt:lpstr>
      <vt:lpstr>'425'!OSRRefD14x_8</vt:lpstr>
      <vt:lpstr>'433'!OSRRefD14x_8</vt:lpstr>
      <vt:lpstr>'435'!OSRRefD14x_8</vt:lpstr>
      <vt:lpstr>'444'!OSRRefD14x_8</vt:lpstr>
      <vt:lpstr>'450'!OSRRefD14x_8</vt:lpstr>
      <vt:lpstr>'491'!OSRRefD14x_8</vt:lpstr>
      <vt:lpstr>'492'!OSRRefD14x_8</vt:lpstr>
      <vt:lpstr>'Div 3'!OSRRefD14x_8</vt:lpstr>
      <vt:lpstr>'Div 4'!OSRRefD14x_8</vt:lpstr>
      <vt:lpstr>'Div 6'!OSRRefD14x_8</vt:lpstr>
      <vt:lpstr>Summary!OSRRefD14x_8</vt:lpstr>
      <vt:lpstr>'300'!OSRRefD14x_9</vt:lpstr>
      <vt:lpstr>'300 &amp; 317'!OSRRefD14x_9</vt:lpstr>
      <vt:lpstr>'301'!OSRRefD14x_9</vt:lpstr>
      <vt:lpstr>'307'!OSRRefD14x_9</vt:lpstr>
      <vt:lpstr>'308'!OSRRefD14x_9</vt:lpstr>
      <vt:lpstr>'309'!OSRRefD14x_9</vt:lpstr>
      <vt:lpstr>'310'!OSRRefD14x_9</vt:lpstr>
      <vt:lpstr>'310 &amp; 491'!OSRRefD14x_9</vt:lpstr>
      <vt:lpstr>'311'!OSRRefD14x_9</vt:lpstr>
      <vt:lpstr>'315'!OSRRefD14x_9</vt:lpstr>
      <vt:lpstr>'316'!OSRRefD14x_9</vt:lpstr>
      <vt:lpstr>'317'!OSRRefD14x_9</vt:lpstr>
      <vt:lpstr>'321'!OSRRefD14x_9</vt:lpstr>
      <vt:lpstr>'324'!OSRRefD14x_9</vt:lpstr>
      <vt:lpstr>'325'!OSRRefD14x_9</vt:lpstr>
      <vt:lpstr>'326'!OSRRefD14x_9</vt:lpstr>
      <vt:lpstr>'327'!OSRRefD14x_9</vt:lpstr>
      <vt:lpstr>'331'!OSRRefD14x_9</vt:lpstr>
      <vt:lpstr>'332'!OSRRefD14x_9</vt:lpstr>
      <vt:lpstr>'333'!OSRRefD14x_9</vt:lpstr>
      <vt:lpstr>'405'!OSRRefD14x_9</vt:lpstr>
      <vt:lpstr>'415'!OSRRefD14x_9</vt:lpstr>
      <vt:lpstr>'418'!OSRRefD14x_9</vt:lpstr>
      <vt:lpstr>'425'!OSRRefD14x_9</vt:lpstr>
      <vt:lpstr>'433'!OSRRefD14x_9</vt:lpstr>
      <vt:lpstr>'435'!OSRRefD14x_9</vt:lpstr>
      <vt:lpstr>'444'!OSRRefD14x_9</vt:lpstr>
      <vt:lpstr>'450'!OSRRefD14x_9</vt:lpstr>
      <vt:lpstr>'491'!OSRRefD14x_9</vt:lpstr>
      <vt:lpstr>'492'!OSRRefD14x_9</vt:lpstr>
      <vt:lpstr>'Div 3'!OSRRefD14x_9</vt:lpstr>
      <vt:lpstr>'Div 4'!OSRRefD14x_9</vt:lpstr>
      <vt:lpstr>'Div 6'!OSRRefD14x_9</vt:lpstr>
      <vt:lpstr>Summary!OSRRefD14x_9</vt:lpstr>
      <vt:lpstr>'200'!OSRRefD20_0x</vt:lpstr>
      <vt:lpstr>'201'!OSRRefD20_0x</vt:lpstr>
      <vt:lpstr>'202'!OSRRefD20_0x</vt:lpstr>
      <vt:lpstr>'203'!OSRRefD20_0x</vt:lpstr>
      <vt:lpstr>'204'!OSRRefD20_0x</vt:lpstr>
      <vt:lpstr>'205'!OSRRefD20_0x</vt:lpstr>
      <vt:lpstr>'206'!OSRRefD20_0x</vt:lpstr>
      <vt:lpstr>'300'!OSRRefD20_0x</vt:lpstr>
      <vt:lpstr>'300 &amp; 317'!OSRRefD20_0x</vt:lpstr>
      <vt:lpstr>'301'!OSRRefD20_0x</vt:lpstr>
      <vt:lpstr>'307'!OSRRefD20_0x</vt:lpstr>
      <vt:lpstr>'308'!OSRRefD20_0x</vt:lpstr>
      <vt:lpstr>'309'!OSRRefD20_0x</vt:lpstr>
      <vt:lpstr>'310'!OSRRefD20_0x</vt:lpstr>
      <vt:lpstr>'310 &amp; 491'!OSRRefD20_0x</vt:lpstr>
      <vt:lpstr>'311'!OSRRefD20_0x</vt:lpstr>
      <vt:lpstr>'313'!OSRRefD20_0x</vt:lpstr>
      <vt:lpstr>'315'!OSRRefD20_0x</vt:lpstr>
      <vt:lpstr>'316'!OSRRefD20_0x</vt:lpstr>
      <vt:lpstr>'317'!OSRRefD20_0x</vt:lpstr>
      <vt:lpstr>'321'!OSRRefD20_0x</vt:lpstr>
      <vt:lpstr>'322'!OSRRefD20_0x</vt:lpstr>
      <vt:lpstr>'325'!OSRRefD20_0x</vt:lpstr>
      <vt:lpstr>'326'!OSRRefD20_0x</vt:lpstr>
      <vt:lpstr>'327'!OSRRefD20_0x</vt:lpstr>
      <vt:lpstr>'331'!OSRRefD20_0x</vt:lpstr>
      <vt:lpstr>'332'!OSRRefD20_0x</vt:lpstr>
      <vt:lpstr>'333'!OSRRefD20_0x</vt:lpstr>
      <vt:lpstr>'405'!OSRRefD20_0x</vt:lpstr>
      <vt:lpstr>'406'!OSRRefD20_0x</vt:lpstr>
      <vt:lpstr>'411'!OSRRefD20_0x</vt:lpstr>
      <vt:lpstr>'412'!OSRRefD20_0x</vt:lpstr>
      <vt:lpstr>'413'!OSRRefD20_0x</vt:lpstr>
      <vt:lpstr>'414'!OSRRefD20_0x</vt:lpstr>
      <vt:lpstr>'415'!OSRRefD20_0x</vt:lpstr>
      <vt:lpstr>'418'!OSRRefD20_0x</vt:lpstr>
      <vt:lpstr>'423'!OSRRefD20_0x</vt:lpstr>
      <vt:lpstr>'424'!OSRRefD20_0x</vt:lpstr>
      <vt:lpstr>'425'!OSRRefD20_0x</vt:lpstr>
      <vt:lpstr>'430'!OSRRefD20_0x</vt:lpstr>
      <vt:lpstr>'433'!OSRRefD20_0x</vt:lpstr>
      <vt:lpstr>'435'!OSRRefD20_0x</vt:lpstr>
      <vt:lpstr>'444'!OSRRefD20_0x</vt:lpstr>
      <vt:lpstr>'450'!OSRRefD20_0x</vt:lpstr>
      <vt:lpstr>'491'!OSRRefD20_0x</vt:lpstr>
      <vt:lpstr>'492'!OSRRefD20_0x</vt:lpstr>
      <vt:lpstr>'501'!OSRRefD20_0x</vt:lpstr>
      <vt:lpstr>'Div 2'!OSRRefD20_0x</vt:lpstr>
      <vt:lpstr>'Div 3'!OSRRefD20_0x</vt:lpstr>
      <vt:lpstr>'Div 4'!OSRRefD20_0x</vt:lpstr>
      <vt:lpstr>'Div 5'!OSRRefD20_0x</vt:lpstr>
      <vt:lpstr>'Div 6'!OSRRefD20_0x</vt:lpstr>
      <vt:lpstr>Summary!OSRRefD20_0x</vt:lpstr>
      <vt:lpstr>'201'!OSRRefD20_10x</vt:lpstr>
      <vt:lpstr>'202'!OSRRefD20_10x</vt:lpstr>
      <vt:lpstr>'203'!OSRRefD20_10x</vt:lpstr>
      <vt:lpstr>'300'!OSRRefD20_10x</vt:lpstr>
      <vt:lpstr>'300 &amp; 317'!OSRRefD20_10x</vt:lpstr>
      <vt:lpstr>'301'!OSRRefD20_10x</vt:lpstr>
      <vt:lpstr>'307'!OSRRefD20_10x</vt:lpstr>
      <vt:lpstr>'308'!OSRRefD20_10x</vt:lpstr>
      <vt:lpstr>'309'!OSRRefD20_10x</vt:lpstr>
      <vt:lpstr>'310'!OSRRefD20_10x</vt:lpstr>
      <vt:lpstr>'310 &amp; 491'!OSRRefD20_10x</vt:lpstr>
      <vt:lpstr>'311'!OSRRefD20_10x</vt:lpstr>
      <vt:lpstr>'315'!OSRRefD20_10x</vt:lpstr>
      <vt:lpstr>'316'!OSRRefD20_10x</vt:lpstr>
      <vt:lpstr>'317'!OSRRefD20_10x</vt:lpstr>
      <vt:lpstr>'321'!OSRRefD20_10x</vt:lpstr>
      <vt:lpstr>'325'!OSRRefD20_10x</vt:lpstr>
      <vt:lpstr>'326'!OSRRefD20_10x</vt:lpstr>
      <vt:lpstr>'331'!OSRRefD20_10x</vt:lpstr>
      <vt:lpstr>'332'!OSRRefD20_10x</vt:lpstr>
      <vt:lpstr>'333'!OSRRefD20_10x</vt:lpstr>
      <vt:lpstr>'405'!OSRRefD20_10x</vt:lpstr>
      <vt:lpstr>'411'!OSRRefD20_10x</vt:lpstr>
      <vt:lpstr>'415'!OSRRefD20_10x</vt:lpstr>
      <vt:lpstr>'418'!OSRRefD20_10x</vt:lpstr>
      <vt:lpstr>'433'!OSRRefD20_10x</vt:lpstr>
      <vt:lpstr>'444'!OSRRefD20_10x</vt:lpstr>
      <vt:lpstr>'450'!OSRRefD20_10x</vt:lpstr>
      <vt:lpstr>'491'!OSRRefD20_10x</vt:lpstr>
      <vt:lpstr>'492'!OSRRefD20_10x</vt:lpstr>
      <vt:lpstr>'501'!OSRRefD20_10x</vt:lpstr>
      <vt:lpstr>'Div 2'!OSRRefD20_10x</vt:lpstr>
      <vt:lpstr>'Div 3'!OSRRefD20_10x</vt:lpstr>
      <vt:lpstr>'Div 4'!OSRRefD20_10x</vt:lpstr>
      <vt:lpstr>'Div 5'!OSRRefD20_10x</vt:lpstr>
      <vt:lpstr>'Div 6'!OSRRefD20_10x</vt:lpstr>
      <vt:lpstr>Summary!OSRRefD20_10x</vt:lpstr>
      <vt:lpstr>'201'!OSRRefD20_11x</vt:lpstr>
      <vt:lpstr>'202'!OSRRefD20_11x</vt:lpstr>
      <vt:lpstr>'203'!OSRRefD20_11x</vt:lpstr>
      <vt:lpstr>'300'!OSRRefD20_11x</vt:lpstr>
      <vt:lpstr>'300 &amp; 317'!OSRRefD20_11x</vt:lpstr>
      <vt:lpstr>'301'!OSRRefD20_11x</vt:lpstr>
      <vt:lpstr>'307'!OSRRefD20_11x</vt:lpstr>
      <vt:lpstr>'308'!OSRRefD20_11x</vt:lpstr>
      <vt:lpstr>'309'!OSRRefD20_11x</vt:lpstr>
      <vt:lpstr>'310'!OSRRefD20_11x</vt:lpstr>
      <vt:lpstr>'310 &amp; 491'!OSRRefD20_11x</vt:lpstr>
      <vt:lpstr>'311'!OSRRefD20_11x</vt:lpstr>
      <vt:lpstr>'315'!OSRRefD20_11x</vt:lpstr>
      <vt:lpstr>'316'!OSRRefD20_11x</vt:lpstr>
      <vt:lpstr>'321'!OSRRefD20_11x</vt:lpstr>
      <vt:lpstr>'325'!OSRRefD20_11x</vt:lpstr>
      <vt:lpstr>'326'!OSRRefD20_11x</vt:lpstr>
      <vt:lpstr>'331'!OSRRefD20_11x</vt:lpstr>
      <vt:lpstr>'332'!OSRRefD20_11x</vt:lpstr>
      <vt:lpstr>'333'!OSRRefD20_11x</vt:lpstr>
      <vt:lpstr>'405'!OSRRefD20_11x</vt:lpstr>
      <vt:lpstr>'411'!OSRRefD20_11x</vt:lpstr>
      <vt:lpstr>'415'!OSRRefD20_11x</vt:lpstr>
      <vt:lpstr>'418'!OSRRefD20_11x</vt:lpstr>
      <vt:lpstr>'433'!OSRRefD20_11x</vt:lpstr>
      <vt:lpstr>'444'!OSRRefD20_11x</vt:lpstr>
      <vt:lpstr>'450'!OSRRefD20_11x</vt:lpstr>
      <vt:lpstr>'491'!OSRRefD20_11x</vt:lpstr>
      <vt:lpstr>'492'!OSRRefD20_11x</vt:lpstr>
      <vt:lpstr>'501'!OSRRefD20_11x</vt:lpstr>
      <vt:lpstr>'Div 2'!OSRRefD20_11x</vt:lpstr>
      <vt:lpstr>'Div 3'!OSRRefD20_11x</vt:lpstr>
      <vt:lpstr>'Div 4'!OSRRefD20_11x</vt:lpstr>
      <vt:lpstr>'Div 5'!OSRRefD20_11x</vt:lpstr>
      <vt:lpstr>Summary!OSRRefD20_11x</vt:lpstr>
      <vt:lpstr>'201'!OSRRefD20_12x</vt:lpstr>
      <vt:lpstr>'202'!OSRRefD20_12x</vt:lpstr>
      <vt:lpstr>'203'!OSRRefD20_12x</vt:lpstr>
      <vt:lpstr>'300'!OSRRefD20_12x</vt:lpstr>
      <vt:lpstr>'300 &amp; 317'!OSRRefD20_12x</vt:lpstr>
      <vt:lpstr>'301'!OSRRefD20_12x</vt:lpstr>
      <vt:lpstr>'307'!OSRRefD20_12x</vt:lpstr>
      <vt:lpstr>'308'!OSRRefD20_12x</vt:lpstr>
      <vt:lpstr>'309'!OSRRefD20_12x</vt:lpstr>
      <vt:lpstr>'310'!OSRRefD20_12x</vt:lpstr>
      <vt:lpstr>'310 &amp; 491'!OSRRefD20_12x</vt:lpstr>
      <vt:lpstr>'311'!OSRRefD20_12x</vt:lpstr>
      <vt:lpstr>'315'!OSRRefD20_12x</vt:lpstr>
      <vt:lpstr>'321'!OSRRefD20_12x</vt:lpstr>
      <vt:lpstr>'325'!OSRRefD20_12x</vt:lpstr>
      <vt:lpstr>'326'!OSRRefD20_12x</vt:lpstr>
      <vt:lpstr>'331'!OSRRefD20_12x</vt:lpstr>
      <vt:lpstr>'333'!OSRRefD20_12x</vt:lpstr>
      <vt:lpstr>'405'!OSRRefD20_12x</vt:lpstr>
      <vt:lpstr>'411'!OSRRefD20_12x</vt:lpstr>
      <vt:lpstr>'415'!OSRRefD20_12x</vt:lpstr>
      <vt:lpstr>'418'!OSRRefD20_12x</vt:lpstr>
      <vt:lpstr>'433'!OSRRefD20_12x</vt:lpstr>
      <vt:lpstr>'444'!OSRRefD20_12x</vt:lpstr>
      <vt:lpstr>'450'!OSRRefD20_12x</vt:lpstr>
      <vt:lpstr>'491'!OSRRefD20_12x</vt:lpstr>
      <vt:lpstr>'492'!OSRRefD20_12x</vt:lpstr>
      <vt:lpstr>'501'!OSRRefD20_12x</vt:lpstr>
      <vt:lpstr>'Div 2'!OSRRefD20_12x</vt:lpstr>
      <vt:lpstr>'Div 3'!OSRRefD20_12x</vt:lpstr>
      <vt:lpstr>'Div 4'!OSRRefD20_12x</vt:lpstr>
      <vt:lpstr>'Div 5'!OSRRefD20_12x</vt:lpstr>
      <vt:lpstr>Summary!OSRRefD20_12x</vt:lpstr>
      <vt:lpstr>'201'!OSRRefD20_13x</vt:lpstr>
      <vt:lpstr>'203'!OSRRefD20_13x</vt:lpstr>
      <vt:lpstr>'300'!OSRRefD20_13x</vt:lpstr>
      <vt:lpstr>'300 &amp; 317'!OSRRefD20_13x</vt:lpstr>
      <vt:lpstr>'301'!OSRRefD20_13x</vt:lpstr>
      <vt:lpstr>'307'!OSRRefD20_13x</vt:lpstr>
      <vt:lpstr>'308'!OSRRefD20_13x</vt:lpstr>
      <vt:lpstr>'310'!OSRRefD20_13x</vt:lpstr>
      <vt:lpstr>'310 &amp; 491'!OSRRefD20_13x</vt:lpstr>
      <vt:lpstr>'311'!OSRRefD20_13x</vt:lpstr>
      <vt:lpstr>'315'!OSRRefD20_13x</vt:lpstr>
      <vt:lpstr>'325'!OSRRefD20_13x</vt:lpstr>
      <vt:lpstr>'326'!OSRRefD20_13x</vt:lpstr>
      <vt:lpstr>'331'!OSRRefD20_13x</vt:lpstr>
      <vt:lpstr>'333'!OSRRefD20_13x</vt:lpstr>
      <vt:lpstr>'405'!OSRRefD20_13x</vt:lpstr>
      <vt:lpstr>'411'!OSRRefD20_13x</vt:lpstr>
      <vt:lpstr>'415'!OSRRefD20_13x</vt:lpstr>
      <vt:lpstr>'418'!OSRRefD20_13x</vt:lpstr>
      <vt:lpstr>'433'!OSRRefD20_13x</vt:lpstr>
      <vt:lpstr>'444'!OSRRefD20_13x</vt:lpstr>
      <vt:lpstr>'450'!OSRRefD20_13x</vt:lpstr>
      <vt:lpstr>'491'!OSRRefD20_13x</vt:lpstr>
      <vt:lpstr>'492'!OSRRefD20_13x</vt:lpstr>
      <vt:lpstr>'501'!OSRRefD20_13x</vt:lpstr>
      <vt:lpstr>'Div 2'!OSRRefD20_13x</vt:lpstr>
      <vt:lpstr>'Div 3'!OSRRefD20_13x</vt:lpstr>
      <vt:lpstr>'Div 4'!OSRRefD20_13x</vt:lpstr>
      <vt:lpstr>'Div 5'!OSRRefD20_13x</vt:lpstr>
      <vt:lpstr>Summary!OSRRefD20_13x</vt:lpstr>
      <vt:lpstr>'201'!OSRRefD20_14x</vt:lpstr>
      <vt:lpstr>'300'!OSRRefD20_14x</vt:lpstr>
      <vt:lpstr>'300 &amp; 317'!OSRRefD20_14x</vt:lpstr>
      <vt:lpstr>'301'!OSRRefD20_14x</vt:lpstr>
      <vt:lpstr>'310'!OSRRefD20_14x</vt:lpstr>
      <vt:lpstr>'310 &amp; 491'!OSRRefD20_14x</vt:lpstr>
      <vt:lpstr>'315'!OSRRefD20_14x</vt:lpstr>
      <vt:lpstr>'325'!OSRRefD20_14x</vt:lpstr>
      <vt:lpstr>'326'!OSRRefD20_14x</vt:lpstr>
      <vt:lpstr>'331'!OSRRefD20_14x</vt:lpstr>
      <vt:lpstr>'333'!OSRRefD20_14x</vt:lpstr>
      <vt:lpstr>'405'!OSRRefD20_14x</vt:lpstr>
      <vt:lpstr>'411'!OSRRefD20_14x</vt:lpstr>
      <vt:lpstr>'415'!OSRRefD20_14x</vt:lpstr>
      <vt:lpstr>'418'!OSRRefD20_14x</vt:lpstr>
      <vt:lpstr>'433'!OSRRefD20_14x</vt:lpstr>
      <vt:lpstr>'444'!OSRRefD20_14x</vt:lpstr>
      <vt:lpstr>'450'!OSRRefD20_14x</vt:lpstr>
      <vt:lpstr>'491'!OSRRefD20_14x</vt:lpstr>
      <vt:lpstr>'492'!OSRRefD20_14x</vt:lpstr>
      <vt:lpstr>'Div 2'!OSRRefD20_14x</vt:lpstr>
      <vt:lpstr>'Div 3'!OSRRefD20_14x</vt:lpstr>
      <vt:lpstr>'Div 4'!OSRRefD20_14x</vt:lpstr>
      <vt:lpstr>Summary!OSRRefD20_14x</vt:lpstr>
      <vt:lpstr>'300'!OSRRefD20_15x</vt:lpstr>
      <vt:lpstr>'300 &amp; 317'!OSRRefD20_15x</vt:lpstr>
      <vt:lpstr>'301'!OSRRefD20_15x</vt:lpstr>
      <vt:lpstr>'310'!OSRRefD20_15x</vt:lpstr>
      <vt:lpstr>'310 &amp; 491'!OSRRefD20_15x</vt:lpstr>
      <vt:lpstr>'315'!OSRRefD20_15x</vt:lpstr>
      <vt:lpstr>'325'!OSRRefD20_15x</vt:lpstr>
      <vt:lpstr>'326'!OSRRefD20_15x</vt:lpstr>
      <vt:lpstr>'331'!OSRRefD20_15x</vt:lpstr>
      <vt:lpstr>'333'!OSRRefD20_15x</vt:lpstr>
      <vt:lpstr>'405'!OSRRefD20_15x</vt:lpstr>
      <vt:lpstr>'415'!OSRRefD20_15x</vt:lpstr>
      <vt:lpstr>'433'!OSRRefD20_15x</vt:lpstr>
      <vt:lpstr>'444'!OSRRefD20_15x</vt:lpstr>
      <vt:lpstr>'450'!OSRRefD20_15x</vt:lpstr>
      <vt:lpstr>'491'!OSRRefD20_15x</vt:lpstr>
      <vt:lpstr>'492'!OSRRefD20_15x</vt:lpstr>
      <vt:lpstr>'Div 2'!OSRRefD20_15x</vt:lpstr>
      <vt:lpstr>'Div 3'!OSRRefD20_15x</vt:lpstr>
      <vt:lpstr>'Div 4'!OSRRefD20_15x</vt:lpstr>
      <vt:lpstr>Summary!OSRRefD20_15x</vt:lpstr>
      <vt:lpstr>'300'!OSRRefD20_16x</vt:lpstr>
      <vt:lpstr>'300 &amp; 317'!OSRRefD20_16x</vt:lpstr>
      <vt:lpstr>'301'!OSRRefD20_16x</vt:lpstr>
      <vt:lpstr>'310'!OSRRefD20_16x</vt:lpstr>
      <vt:lpstr>'310 &amp; 491'!OSRRefD20_16x</vt:lpstr>
      <vt:lpstr>'315'!OSRRefD20_16x</vt:lpstr>
      <vt:lpstr>'325'!OSRRefD20_16x</vt:lpstr>
      <vt:lpstr>'326'!OSRRefD20_16x</vt:lpstr>
      <vt:lpstr>'331'!OSRRefD20_16x</vt:lpstr>
      <vt:lpstr>'333'!OSRRefD20_16x</vt:lpstr>
      <vt:lpstr>'415'!OSRRefD20_16x</vt:lpstr>
      <vt:lpstr>'450'!OSRRefD20_16x</vt:lpstr>
      <vt:lpstr>'491'!OSRRefD20_16x</vt:lpstr>
      <vt:lpstr>'492'!OSRRefD20_16x</vt:lpstr>
      <vt:lpstr>'Div 2'!OSRRefD20_16x</vt:lpstr>
      <vt:lpstr>'Div 3'!OSRRefD20_16x</vt:lpstr>
      <vt:lpstr>'Div 4'!OSRRefD20_16x</vt:lpstr>
      <vt:lpstr>Summary!OSRRefD20_16x</vt:lpstr>
      <vt:lpstr>'300'!OSRRefD20_17x</vt:lpstr>
      <vt:lpstr>'300 &amp; 317'!OSRRefD20_17x</vt:lpstr>
      <vt:lpstr>'301'!OSRRefD20_17x</vt:lpstr>
      <vt:lpstr>'310'!OSRRefD20_17x</vt:lpstr>
      <vt:lpstr>'310 &amp; 491'!OSRRefD20_17x</vt:lpstr>
      <vt:lpstr>'315'!OSRRefD20_17x</vt:lpstr>
      <vt:lpstr>'326'!OSRRefD20_17x</vt:lpstr>
      <vt:lpstr>'331'!OSRRefD20_17x</vt:lpstr>
      <vt:lpstr>'333'!OSRRefD20_17x</vt:lpstr>
      <vt:lpstr>'415'!OSRRefD20_17x</vt:lpstr>
      <vt:lpstr>'491'!OSRRefD20_17x</vt:lpstr>
      <vt:lpstr>'492'!OSRRefD20_17x</vt:lpstr>
      <vt:lpstr>'Div 2'!OSRRefD20_17x</vt:lpstr>
      <vt:lpstr>'Div 3'!OSRRefD20_17x</vt:lpstr>
      <vt:lpstr>'Div 4'!OSRRefD20_17x</vt:lpstr>
      <vt:lpstr>Summary!OSRRefD20_17x</vt:lpstr>
      <vt:lpstr>'300'!OSRRefD20_18x</vt:lpstr>
      <vt:lpstr>'300 &amp; 317'!OSRRefD20_18x</vt:lpstr>
      <vt:lpstr>'301'!OSRRefD20_18x</vt:lpstr>
      <vt:lpstr>'310 &amp; 491'!OSRRefD20_18x</vt:lpstr>
      <vt:lpstr>'315'!OSRRefD20_18x</vt:lpstr>
      <vt:lpstr>'331'!OSRRefD20_18x</vt:lpstr>
      <vt:lpstr>'333'!OSRRefD20_18x</vt:lpstr>
      <vt:lpstr>'491'!OSRRefD20_18x</vt:lpstr>
      <vt:lpstr>'Div 2'!OSRRefD20_18x</vt:lpstr>
      <vt:lpstr>'Div 3'!OSRRefD20_18x</vt:lpstr>
      <vt:lpstr>'Div 4'!OSRRefD20_18x</vt:lpstr>
      <vt:lpstr>Summary!OSRRefD20_18x</vt:lpstr>
      <vt:lpstr>'300'!OSRRefD20_19x</vt:lpstr>
      <vt:lpstr>'300 &amp; 317'!OSRRefD20_19x</vt:lpstr>
      <vt:lpstr>'301'!OSRRefD20_19x</vt:lpstr>
      <vt:lpstr>'310 &amp; 491'!OSRRefD20_19x</vt:lpstr>
      <vt:lpstr>'331'!OSRRefD20_19x</vt:lpstr>
      <vt:lpstr>'333'!OSRRefD20_19x</vt:lpstr>
      <vt:lpstr>'491'!OSRRefD20_19x</vt:lpstr>
      <vt:lpstr>'Div 2'!OSRRefD20_19x</vt:lpstr>
      <vt:lpstr>'Div 3'!OSRRefD20_19x</vt:lpstr>
      <vt:lpstr>'Div 4'!OSRRefD20_19x</vt:lpstr>
      <vt:lpstr>Summary!OSRRefD20_19x</vt:lpstr>
      <vt:lpstr>'200'!OSRRefD20_1x</vt:lpstr>
      <vt:lpstr>'201'!OSRRefD20_1x</vt:lpstr>
      <vt:lpstr>'202'!OSRRefD20_1x</vt:lpstr>
      <vt:lpstr>'203'!OSRRefD20_1x</vt:lpstr>
      <vt:lpstr>'204'!OSRRefD20_1x</vt:lpstr>
      <vt:lpstr>'205'!OSRRefD20_1x</vt:lpstr>
      <vt:lpstr>'206'!OSRRefD20_1x</vt:lpstr>
      <vt:lpstr>'300'!OSRRefD20_1x</vt:lpstr>
      <vt:lpstr>'300 &amp; 317'!OSRRefD20_1x</vt:lpstr>
      <vt:lpstr>'301'!OSRRefD20_1x</vt:lpstr>
      <vt:lpstr>'307'!OSRRefD20_1x</vt:lpstr>
      <vt:lpstr>'308'!OSRRefD20_1x</vt:lpstr>
      <vt:lpstr>'309'!OSRRefD20_1x</vt:lpstr>
      <vt:lpstr>'310'!OSRRefD20_1x</vt:lpstr>
      <vt:lpstr>'310 &amp; 491'!OSRRefD20_1x</vt:lpstr>
      <vt:lpstr>'311'!OSRRefD20_1x</vt:lpstr>
      <vt:lpstr>'313'!OSRRefD20_1x</vt:lpstr>
      <vt:lpstr>'315'!OSRRefD20_1x</vt:lpstr>
      <vt:lpstr>'316'!OSRRefD20_1x</vt:lpstr>
      <vt:lpstr>'317'!OSRRefD20_1x</vt:lpstr>
      <vt:lpstr>'321'!OSRRefD20_1x</vt:lpstr>
      <vt:lpstr>'325'!OSRRefD20_1x</vt:lpstr>
      <vt:lpstr>'326'!OSRRefD20_1x</vt:lpstr>
      <vt:lpstr>'327'!OSRRefD20_1x</vt:lpstr>
      <vt:lpstr>'331'!OSRRefD20_1x</vt:lpstr>
      <vt:lpstr>'332'!OSRRefD20_1x</vt:lpstr>
      <vt:lpstr>'333'!OSRRefD20_1x</vt:lpstr>
      <vt:lpstr>'405'!OSRRefD20_1x</vt:lpstr>
      <vt:lpstr>'411'!OSRRefD20_1x</vt:lpstr>
      <vt:lpstr>'412'!OSRRefD20_1x</vt:lpstr>
      <vt:lpstr>'413'!OSRRefD20_1x</vt:lpstr>
      <vt:lpstr>'414'!OSRRefD20_1x</vt:lpstr>
      <vt:lpstr>'415'!OSRRefD20_1x</vt:lpstr>
      <vt:lpstr>'418'!OSRRefD20_1x</vt:lpstr>
      <vt:lpstr>'423'!OSRRefD20_1x</vt:lpstr>
      <vt:lpstr>'424'!OSRRefD20_1x</vt:lpstr>
      <vt:lpstr>'425'!OSRRefD20_1x</vt:lpstr>
      <vt:lpstr>'430'!OSRRefD20_1x</vt:lpstr>
      <vt:lpstr>'433'!OSRRefD20_1x</vt:lpstr>
      <vt:lpstr>'435'!OSRRefD20_1x</vt:lpstr>
      <vt:lpstr>'444'!OSRRefD20_1x</vt:lpstr>
      <vt:lpstr>'450'!OSRRefD20_1x</vt:lpstr>
      <vt:lpstr>'491'!OSRRefD20_1x</vt:lpstr>
      <vt:lpstr>'492'!OSRRefD20_1x</vt:lpstr>
      <vt:lpstr>'501'!OSRRefD20_1x</vt:lpstr>
      <vt:lpstr>'Div 2'!OSRRefD20_1x</vt:lpstr>
      <vt:lpstr>'Div 3'!OSRRefD20_1x</vt:lpstr>
      <vt:lpstr>'Div 4'!OSRRefD20_1x</vt:lpstr>
      <vt:lpstr>'Div 5'!OSRRefD20_1x</vt:lpstr>
      <vt:lpstr>'Div 6'!OSRRefD20_1x</vt:lpstr>
      <vt:lpstr>Summary!OSRRefD20_1x</vt:lpstr>
      <vt:lpstr>'300'!OSRRefD20_20x</vt:lpstr>
      <vt:lpstr>'300 &amp; 317'!OSRRefD20_20x</vt:lpstr>
      <vt:lpstr>'301'!OSRRefD20_20x</vt:lpstr>
      <vt:lpstr>'310 &amp; 491'!OSRRefD20_20x</vt:lpstr>
      <vt:lpstr>'331'!OSRRefD20_20x</vt:lpstr>
      <vt:lpstr>'333'!OSRRefD20_20x</vt:lpstr>
      <vt:lpstr>'491'!OSRRefD20_20x</vt:lpstr>
      <vt:lpstr>'Div 3'!OSRRefD20_20x</vt:lpstr>
      <vt:lpstr>'Div 4'!OSRRefD20_20x</vt:lpstr>
      <vt:lpstr>Summary!OSRRefD20_20x</vt:lpstr>
      <vt:lpstr>'300'!OSRRefD20_21x</vt:lpstr>
      <vt:lpstr>'300 &amp; 317'!OSRRefD20_21x</vt:lpstr>
      <vt:lpstr>'301'!OSRRefD20_21x</vt:lpstr>
      <vt:lpstr>'331'!OSRRefD20_21x</vt:lpstr>
      <vt:lpstr>'333'!OSRRefD20_21x</vt:lpstr>
      <vt:lpstr>'Div 3'!OSRRefD20_21x</vt:lpstr>
      <vt:lpstr>'Div 4'!OSRRefD20_21x</vt:lpstr>
      <vt:lpstr>Summary!OSRRefD20_21x</vt:lpstr>
      <vt:lpstr>'300'!OSRRefD20_22x</vt:lpstr>
      <vt:lpstr>'300 &amp; 317'!OSRRefD20_22x</vt:lpstr>
      <vt:lpstr>'301'!OSRRefD20_22x</vt:lpstr>
      <vt:lpstr>'331'!OSRRefD20_22x</vt:lpstr>
      <vt:lpstr>'333'!OSRRefD20_22x</vt:lpstr>
      <vt:lpstr>'Div 3'!OSRRefD20_22x</vt:lpstr>
      <vt:lpstr>'Div 4'!OSRRefD20_22x</vt:lpstr>
      <vt:lpstr>Summary!OSRRefD20_22x</vt:lpstr>
      <vt:lpstr>'300'!OSRRefD20_23x</vt:lpstr>
      <vt:lpstr>'300 &amp; 317'!OSRRefD20_23x</vt:lpstr>
      <vt:lpstr>'Div 3'!OSRRefD20_23x</vt:lpstr>
      <vt:lpstr>Summary!OSRRefD20_23x</vt:lpstr>
      <vt:lpstr>'300'!OSRRefD20_24x</vt:lpstr>
      <vt:lpstr>'300 &amp; 317'!OSRRefD20_24x</vt:lpstr>
      <vt:lpstr>'Div 3'!OSRRefD20_24x</vt:lpstr>
      <vt:lpstr>Summary!OSRRefD20_24x</vt:lpstr>
      <vt:lpstr>'Div 3'!OSRRefD20_25x</vt:lpstr>
      <vt:lpstr>Summary!OSRRefD20_25x</vt:lpstr>
      <vt:lpstr>Summary!OSRRefD20_26x</vt:lpstr>
      <vt:lpstr>'200'!OSRRefD20_2x</vt:lpstr>
      <vt:lpstr>'201'!OSRRefD20_2x</vt:lpstr>
      <vt:lpstr>'202'!OSRRefD20_2x</vt:lpstr>
      <vt:lpstr>'203'!OSRRefD20_2x</vt:lpstr>
      <vt:lpstr>'204'!OSRRefD20_2x</vt:lpstr>
      <vt:lpstr>'205'!OSRRefD20_2x</vt:lpstr>
      <vt:lpstr>'206'!OSRRefD20_2x</vt:lpstr>
      <vt:lpstr>'300'!OSRRefD20_2x</vt:lpstr>
      <vt:lpstr>'300 &amp; 317'!OSRRefD20_2x</vt:lpstr>
      <vt:lpstr>'301'!OSRRefD20_2x</vt:lpstr>
      <vt:lpstr>'307'!OSRRefD20_2x</vt:lpstr>
      <vt:lpstr>'308'!OSRRefD20_2x</vt:lpstr>
      <vt:lpstr>'309'!OSRRefD20_2x</vt:lpstr>
      <vt:lpstr>'310'!OSRRefD20_2x</vt:lpstr>
      <vt:lpstr>'310 &amp; 491'!OSRRefD20_2x</vt:lpstr>
      <vt:lpstr>'311'!OSRRefD20_2x</vt:lpstr>
      <vt:lpstr>'313'!OSRRefD20_2x</vt:lpstr>
      <vt:lpstr>'315'!OSRRefD20_2x</vt:lpstr>
      <vt:lpstr>'316'!OSRRefD20_2x</vt:lpstr>
      <vt:lpstr>'317'!OSRRefD20_2x</vt:lpstr>
      <vt:lpstr>'321'!OSRRefD20_2x</vt:lpstr>
      <vt:lpstr>'325'!OSRRefD20_2x</vt:lpstr>
      <vt:lpstr>'326'!OSRRefD20_2x</vt:lpstr>
      <vt:lpstr>'331'!OSRRefD20_2x</vt:lpstr>
      <vt:lpstr>'332'!OSRRefD20_2x</vt:lpstr>
      <vt:lpstr>'333'!OSRRefD20_2x</vt:lpstr>
      <vt:lpstr>'405'!OSRRefD20_2x</vt:lpstr>
      <vt:lpstr>'411'!OSRRefD20_2x</vt:lpstr>
      <vt:lpstr>'412'!OSRRefD20_2x</vt:lpstr>
      <vt:lpstr>'415'!OSRRefD20_2x</vt:lpstr>
      <vt:lpstr>'418'!OSRRefD20_2x</vt:lpstr>
      <vt:lpstr>'423'!OSRRefD20_2x</vt:lpstr>
      <vt:lpstr>'425'!OSRRefD20_2x</vt:lpstr>
      <vt:lpstr>'430'!OSRRefD20_2x</vt:lpstr>
      <vt:lpstr>'433'!OSRRefD20_2x</vt:lpstr>
      <vt:lpstr>'435'!OSRRefD20_2x</vt:lpstr>
      <vt:lpstr>'444'!OSRRefD20_2x</vt:lpstr>
      <vt:lpstr>'450'!OSRRefD20_2x</vt:lpstr>
      <vt:lpstr>'491'!OSRRefD20_2x</vt:lpstr>
      <vt:lpstr>'492'!OSRRefD20_2x</vt:lpstr>
      <vt:lpstr>'501'!OSRRefD20_2x</vt:lpstr>
      <vt:lpstr>'Div 2'!OSRRefD20_2x</vt:lpstr>
      <vt:lpstr>'Div 3'!OSRRefD20_2x</vt:lpstr>
      <vt:lpstr>'Div 4'!OSRRefD20_2x</vt:lpstr>
      <vt:lpstr>'Div 5'!OSRRefD20_2x</vt:lpstr>
      <vt:lpstr>'Div 6'!OSRRefD20_2x</vt:lpstr>
      <vt:lpstr>Summary!OSRRefD20_2x</vt:lpstr>
      <vt:lpstr>'200'!OSRRefD20_3x</vt:lpstr>
      <vt:lpstr>'201'!OSRRefD20_3x</vt:lpstr>
      <vt:lpstr>'202'!OSRRefD20_3x</vt:lpstr>
      <vt:lpstr>'203'!OSRRefD20_3x</vt:lpstr>
      <vt:lpstr>'204'!OSRRefD20_3x</vt:lpstr>
      <vt:lpstr>'205'!OSRRefD20_3x</vt:lpstr>
      <vt:lpstr>'206'!OSRRefD20_3x</vt:lpstr>
      <vt:lpstr>'300'!OSRRefD20_3x</vt:lpstr>
      <vt:lpstr>'300 &amp; 317'!OSRRefD20_3x</vt:lpstr>
      <vt:lpstr>'301'!OSRRefD20_3x</vt:lpstr>
      <vt:lpstr>'307'!OSRRefD20_3x</vt:lpstr>
      <vt:lpstr>'308'!OSRRefD20_3x</vt:lpstr>
      <vt:lpstr>'309'!OSRRefD20_3x</vt:lpstr>
      <vt:lpstr>'310'!OSRRefD20_3x</vt:lpstr>
      <vt:lpstr>'310 &amp; 491'!OSRRefD20_3x</vt:lpstr>
      <vt:lpstr>'311'!OSRRefD20_3x</vt:lpstr>
      <vt:lpstr>'315'!OSRRefD20_3x</vt:lpstr>
      <vt:lpstr>'316'!OSRRefD20_3x</vt:lpstr>
      <vt:lpstr>'317'!OSRRefD20_3x</vt:lpstr>
      <vt:lpstr>'321'!OSRRefD20_3x</vt:lpstr>
      <vt:lpstr>'325'!OSRRefD20_3x</vt:lpstr>
      <vt:lpstr>'326'!OSRRefD20_3x</vt:lpstr>
      <vt:lpstr>'331'!OSRRefD20_3x</vt:lpstr>
      <vt:lpstr>'332'!OSRRefD20_3x</vt:lpstr>
      <vt:lpstr>'333'!OSRRefD20_3x</vt:lpstr>
      <vt:lpstr>'405'!OSRRefD20_3x</vt:lpstr>
      <vt:lpstr>'411'!OSRRefD20_3x</vt:lpstr>
      <vt:lpstr>'412'!OSRRefD20_3x</vt:lpstr>
      <vt:lpstr>'415'!OSRRefD20_3x</vt:lpstr>
      <vt:lpstr>'418'!OSRRefD20_3x</vt:lpstr>
      <vt:lpstr>'423'!OSRRefD20_3x</vt:lpstr>
      <vt:lpstr>'425'!OSRRefD20_3x</vt:lpstr>
      <vt:lpstr>'430'!OSRRefD20_3x</vt:lpstr>
      <vt:lpstr>'433'!OSRRefD20_3x</vt:lpstr>
      <vt:lpstr>'435'!OSRRefD20_3x</vt:lpstr>
      <vt:lpstr>'444'!OSRRefD20_3x</vt:lpstr>
      <vt:lpstr>'450'!OSRRefD20_3x</vt:lpstr>
      <vt:lpstr>'491'!OSRRefD20_3x</vt:lpstr>
      <vt:lpstr>'492'!OSRRefD20_3x</vt:lpstr>
      <vt:lpstr>'501'!OSRRefD20_3x</vt:lpstr>
      <vt:lpstr>'Div 2'!OSRRefD20_3x</vt:lpstr>
      <vt:lpstr>'Div 3'!OSRRefD20_3x</vt:lpstr>
      <vt:lpstr>'Div 4'!OSRRefD20_3x</vt:lpstr>
      <vt:lpstr>'Div 5'!OSRRefD20_3x</vt:lpstr>
      <vt:lpstr>'Div 6'!OSRRefD20_3x</vt:lpstr>
      <vt:lpstr>Summary!OSRRefD20_3x</vt:lpstr>
      <vt:lpstr>'201'!OSRRefD20_4x</vt:lpstr>
      <vt:lpstr>'202'!OSRRefD20_4x</vt:lpstr>
      <vt:lpstr>'203'!OSRRefD20_4x</vt:lpstr>
      <vt:lpstr>'204'!OSRRefD20_4x</vt:lpstr>
      <vt:lpstr>'205'!OSRRefD20_4x</vt:lpstr>
      <vt:lpstr>'206'!OSRRefD20_4x</vt:lpstr>
      <vt:lpstr>'300'!OSRRefD20_4x</vt:lpstr>
      <vt:lpstr>'300 &amp; 317'!OSRRefD20_4x</vt:lpstr>
      <vt:lpstr>'301'!OSRRefD20_4x</vt:lpstr>
      <vt:lpstr>'307'!OSRRefD20_4x</vt:lpstr>
      <vt:lpstr>'308'!OSRRefD20_4x</vt:lpstr>
      <vt:lpstr>'309'!OSRRefD20_4x</vt:lpstr>
      <vt:lpstr>'310'!OSRRefD20_4x</vt:lpstr>
      <vt:lpstr>'310 &amp; 491'!OSRRefD20_4x</vt:lpstr>
      <vt:lpstr>'311'!OSRRefD20_4x</vt:lpstr>
      <vt:lpstr>'315'!OSRRefD20_4x</vt:lpstr>
      <vt:lpstr>'316'!OSRRefD20_4x</vt:lpstr>
      <vt:lpstr>'317'!OSRRefD20_4x</vt:lpstr>
      <vt:lpstr>'321'!OSRRefD20_4x</vt:lpstr>
      <vt:lpstr>'325'!OSRRefD20_4x</vt:lpstr>
      <vt:lpstr>'326'!OSRRefD20_4x</vt:lpstr>
      <vt:lpstr>'331'!OSRRefD20_4x</vt:lpstr>
      <vt:lpstr>'332'!OSRRefD20_4x</vt:lpstr>
      <vt:lpstr>'333'!OSRRefD20_4x</vt:lpstr>
      <vt:lpstr>'405'!OSRRefD20_4x</vt:lpstr>
      <vt:lpstr>'411'!OSRRefD20_4x</vt:lpstr>
      <vt:lpstr>'415'!OSRRefD20_4x</vt:lpstr>
      <vt:lpstr>'418'!OSRRefD20_4x</vt:lpstr>
      <vt:lpstr>'423'!OSRRefD20_4x</vt:lpstr>
      <vt:lpstr>'425'!OSRRefD20_4x</vt:lpstr>
      <vt:lpstr>'430'!OSRRefD20_4x</vt:lpstr>
      <vt:lpstr>'433'!OSRRefD20_4x</vt:lpstr>
      <vt:lpstr>'435'!OSRRefD20_4x</vt:lpstr>
      <vt:lpstr>'444'!OSRRefD20_4x</vt:lpstr>
      <vt:lpstr>'450'!OSRRefD20_4x</vt:lpstr>
      <vt:lpstr>'491'!OSRRefD20_4x</vt:lpstr>
      <vt:lpstr>'492'!OSRRefD20_4x</vt:lpstr>
      <vt:lpstr>'501'!OSRRefD20_4x</vt:lpstr>
      <vt:lpstr>'Div 2'!OSRRefD20_4x</vt:lpstr>
      <vt:lpstr>'Div 3'!OSRRefD20_4x</vt:lpstr>
      <vt:lpstr>'Div 4'!OSRRefD20_4x</vt:lpstr>
      <vt:lpstr>'Div 5'!OSRRefD20_4x</vt:lpstr>
      <vt:lpstr>'Div 6'!OSRRefD20_4x</vt:lpstr>
      <vt:lpstr>Summary!OSRRefD20_4x</vt:lpstr>
      <vt:lpstr>'201'!OSRRefD20_5x</vt:lpstr>
      <vt:lpstr>'202'!OSRRefD20_5x</vt:lpstr>
      <vt:lpstr>'203'!OSRRefD20_5x</vt:lpstr>
      <vt:lpstr>'204'!OSRRefD20_5x</vt:lpstr>
      <vt:lpstr>'205'!OSRRefD20_5x</vt:lpstr>
      <vt:lpstr>'206'!OSRRefD20_5x</vt:lpstr>
      <vt:lpstr>'300'!OSRRefD20_5x</vt:lpstr>
      <vt:lpstr>'300 &amp; 317'!OSRRefD20_5x</vt:lpstr>
      <vt:lpstr>'301'!OSRRefD20_5x</vt:lpstr>
      <vt:lpstr>'307'!OSRRefD20_5x</vt:lpstr>
      <vt:lpstr>'308'!OSRRefD20_5x</vt:lpstr>
      <vt:lpstr>'309'!OSRRefD20_5x</vt:lpstr>
      <vt:lpstr>'310'!OSRRefD20_5x</vt:lpstr>
      <vt:lpstr>'310 &amp; 491'!OSRRefD20_5x</vt:lpstr>
      <vt:lpstr>'311'!OSRRefD20_5x</vt:lpstr>
      <vt:lpstr>'315'!OSRRefD20_5x</vt:lpstr>
      <vt:lpstr>'316'!OSRRefD20_5x</vt:lpstr>
      <vt:lpstr>'317'!OSRRefD20_5x</vt:lpstr>
      <vt:lpstr>'321'!OSRRefD20_5x</vt:lpstr>
      <vt:lpstr>'325'!OSRRefD20_5x</vt:lpstr>
      <vt:lpstr>'326'!OSRRefD20_5x</vt:lpstr>
      <vt:lpstr>'331'!OSRRefD20_5x</vt:lpstr>
      <vt:lpstr>'332'!OSRRefD20_5x</vt:lpstr>
      <vt:lpstr>'333'!OSRRefD20_5x</vt:lpstr>
      <vt:lpstr>'405'!OSRRefD20_5x</vt:lpstr>
      <vt:lpstr>'411'!OSRRefD20_5x</vt:lpstr>
      <vt:lpstr>'415'!OSRRefD20_5x</vt:lpstr>
      <vt:lpstr>'418'!OSRRefD20_5x</vt:lpstr>
      <vt:lpstr>'430'!OSRRefD20_5x</vt:lpstr>
      <vt:lpstr>'433'!OSRRefD20_5x</vt:lpstr>
      <vt:lpstr>'444'!OSRRefD20_5x</vt:lpstr>
      <vt:lpstr>'450'!OSRRefD20_5x</vt:lpstr>
      <vt:lpstr>'491'!OSRRefD20_5x</vt:lpstr>
      <vt:lpstr>'492'!OSRRefD20_5x</vt:lpstr>
      <vt:lpstr>'501'!OSRRefD20_5x</vt:lpstr>
      <vt:lpstr>'Div 2'!OSRRefD20_5x</vt:lpstr>
      <vt:lpstr>'Div 3'!OSRRefD20_5x</vt:lpstr>
      <vt:lpstr>'Div 4'!OSRRefD20_5x</vt:lpstr>
      <vt:lpstr>'Div 5'!OSRRefD20_5x</vt:lpstr>
      <vt:lpstr>'Div 6'!OSRRefD20_5x</vt:lpstr>
      <vt:lpstr>Summary!OSRRefD20_5x</vt:lpstr>
      <vt:lpstr>'201'!OSRRefD20_6x</vt:lpstr>
      <vt:lpstr>'202'!OSRRefD20_6x</vt:lpstr>
      <vt:lpstr>'203'!OSRRefD20_6x</vt:lpstr>
      <vt:lpstr>'204'!OSRRefD20_6x</vt:lpstr>
      <vt:lpstr>'205'!OSRRefD20_6x</vt:lpstr>
      <vt:lpstr>'300'!OSRRefD20_6x</vt:lpstr>
      <vt:lpstr>'300 &amp; 317'!OSRRefD20_6x</vt:lpstr>
      <vt:lpstr>'301'!OSRRefD20_6x</vt:lpstr>
      <vt:lpstr>'307'!OSRRefD20_6x</vt:lpstr>
      <vt:lpstr>'308'!OSRRefD20_6x</vt:lpstr>
      <vt:lpstr>'309'!OSRRefD20_6x</vt:lpstr>
      <vt:lpstr>'310'!OSRRefD20_6x</vt:lpstr>
      <vt:lpstr>'310 &amp; 491'!OSRRefD20_6x</vt:lpstr>
      <vt:lpstr>'311'!OSRRefD20_6x</vt:lpstr>
      <vt:lpstr>'315'!OSRRefD20_6x</vt:lpstr>
      <vt:lpstr>'316'!OSRRefD20_6x</vt:lpstr>
      <vt:lpstr>'317'!OSRRefD20_6x</vt:lpstr>
      <vt:lpstr>'321'!OSRRefD20_6x</vt:lpstr>
      <vt:lpstr>'325'!OSRRefD20_6x</vt:lpstr>
      <vt:lpstr>'326'!OSRRefD20_6x</vt:lpstr>
      <vt:lpstr>'331'!OSRRefD20_6x</vt:lpstr>
      <vt:lpstr>'332'!OSRRefD20_6x</vt:lpstr>
      <vt:lpstr>'333'!OSRRefD20_6x</vt:lpstr>
      <vt:lpstr>'405'!OSRRefD20_6x</vt:lpstr>
      <vt:lpstr>'411'!OSRRefD20_6x</vt:lpstr>
      <vt:lpstr>'415'!OSRRefD20_6x</vt:lpstr>
      <vt:lpstr>'418'!OSRRefD20_6x</vt:lpstr>
      <vt:lpstr>'430'!OSRRefD20_6x</vt:lpstr>
      <vt:lpstr>'433'!OSRRefD20_6x</vt:lpstr>
      <vt:lpstr>'444'!OSRRefD20_6x</vt:lpstr>
      <vt:lpstr>'450'!OSRRefD20_6x</vt:lpstr>
      <vt:lpstr>'491'!OSRRefD20_6x</vt:lpstr>
      <vt:lpstr>'492'!OSRRefD20_6x</vt:lpstr>
      <vt:lpstr>'501'!OSRRefD20_6x</vt:lpstr>
      <vt:lpstr>'Div 2'!OSRRefD20_6x</vt:lpstr>
      <vt:lpstr>'Div 3'!OSRRefD20_6x</vt:lpstr>
      <vt:lpstr>'Div 4'!OSRRefD20_6x</vt:lpstr>
      <vt:lpstr>'Div 5'!OSRRefD20_6x</vt:lpstr>
      <vt:lpstr>'Div 6'!OSRRefD20_6x</vt:lpstr>
      <vt:lpstr>Summary!OSRRefD20_6x</vt:lpstr>
      <vt:lpstr>'201'!OSRRefD20_7x</vt:lpstr>
      <vt:lpstr>'202'!OSRRefD20_7x</vt:lpstr>
      <vt:lpstr>'203'!OSRRefD20_7x</vt:lpstr>
      <vt:lpstr>'204'!OSRRefD20_7x</vt:lpstr>
      <vt:lpstr>'205'!OSRRefD20_7x</vt:lpstr>
      <vt:lpstr>'300'!OSRRefD20_7x</vt:lpstr>
      <vt:lpstr>'300 &amp; 317'!OSRRefD20_7x</vt:lpstr>
      <vt:lpstr>'301'!OSRRefD20_7x</vt:lpstr>
      <vt:lpstr>'307'!OSRRefD20_7x</vt:lpstr>
      <vt:lpstr>'308'!OSRRefD20_7x</vt:lpstr>
      <vt:lpstr>'309'!OSRRefD20_7x</vt:lpstr>
      <vt:lpstr>'310'!OSRRefD20_7x</vt:lpstr>
      <vt:lpstr>'310 &amp; 491'!OSRRefD20_7x</vt:lpstr>
      <vt:lpstr>'311'!OSRRefD20_7x</vt:lpstr>
      <vt:lpstr>'315'!OSRRefD20_7x</vt:lpstr>
      <vt:lpstr>'316'!OSRRefD20_7x</vt:lpstr>
      <vt:lpstr>'317'!OSRRefD20_7x</vt:lpstr>
      <vt:lpstr>'321'!OSRRefD20_7x</vt:lpstr>
      <vt:lpstr>'325'!OSRRefD20_7x</vt:lpstr>
      <vt:lpstr>'326'!OSRRefD20_7x</vt:lpstr>
      <vt:lpstr>'331'!OSRRefD20_7x</vt:lpstr>
      <vt:lpstr>'332'!OSRRefD20_7x</vt:lpstr>
      <vt:lpstr>'333'!OSRRefD20_7x</vt:lpstr>
      <vt:lpstr>'405'!OSRRefD20_7x</vt:lpstr>
      <vt:lpstr>'411'!OSRRefD20_7x</vt:lpstr>
      <vt:lpstr>'415'!OSRRefD20_7x</vt:lpstr>
      <vt:lpstr>'418'!OSRRefD20_7x</vt:lpstr>
      <vt:lpstr>'430'!OSRRefD20_7x</vt:lpstr>
      <vt:lpstr>'433'!OSRRefD20_7x</vt:lpstr>
      <vt:lpstr>'444'!OSRRefD20_7x</vt:lpstr>
      <vt:lpstr>'450'!OSRRefD20_7x</vt:lpstr>
      <vt:lpstr>'491'!OSRRefD20_7x</vt:lpstr>
      <vt:lpstr>'492'!OSRRefD20_7x</vt:lpstr>
      <vt:lpstr>'501'!OSRRefD20_7x</vt:lpstr>
      <vt:lpstr>'Div 2'!OSRRefD20_7x</vt:lpstr>
      <vt:lpstr>'Div 3'!OSRRefD20_7x</vt:lpstr>
      <vt:lpstr>'Div 4'!OSRRefD20_7x</vt:lpstr>
      <vt:lpstr>'Div 5'!OSRRefD20_7x</vt:lpstr>
      <vt:lpstr>'Div 6'!OSRRefD20_7x</vt:lpstr>
      <vt:lpstr>Summary!OSRRefD20_7x</vt:lpstr>
      <vt:lpstr>'201'!OSRRefD20_8x</vt:lpstr>
      <vt:lpstr>'202'!OSRRefD20_8x</vt:lpstr>
      <vt:lpstr>'203'!OSRRefD20_8x</vt:lpstr>
      <vt:lpstr>'204'!OSRRefD20_8x</vt:lpstr>
      <vt:lpstr>'300'!OSRRefD20_8x</vt:lpstr>
      <vt:lpstr>'300 &amp; 317'!OSRRefD20_8x</vt:lpstr>
      <vt:lpstr>'301'!OSRRefD20_8x</vt:lpstr>
      <vt:lpstr>'307'!OSRRefD20_8x</vt:lpstr>
      <vt:lpstr>'308'!OSRRefD20_8x</vt:lpstr>
      <vt:lpstr>'309'!OSRRefD20_8x</vt:lpstr>
      <vt:lpstr>'310'!OSRRefD20_8x</vt:lpstr>
      <vt:lpstr>'310 &amp; 491'!OSRRefD20_8x</vt:lpstr>
      <vt:lpstr>'311'!OSRRefD20_8x</vt:lpstr>
      <vt:lpstr>'315'!OSRRefD20_8x</vt:lpstr>
      <vt:lpstr>'316'!OSRRefD20_8x</vt:lpstr>
      <vt:lpstr>'317'!OSRRefD20_8x</vt:lpstr>
      <vt:lpstr>'321'!OSRRefD20_8x</vt:lpstr>
      <vt:lpstr>'325'!OSRRefD20_8x</vt:lpstr>
      <vt:lpstr>'326'!OSRRefD20_8x</vt:lpstr>
      <vt:lpstr>'331'!OSRRefD20_8x</vt:lpstr>
      <vt:lpstr>'332'!OSRRefD20_8x</vt:lpstr>
      <vt:lpstr>'333'!OSRRefD20_8x</vt:lpstr>
      <vt:lpstr>'405'!OSRRefD20_8x</vt:lpstr>
      <vt:lpstr>'411'!OSRRefD20_8x</vt:lpstr>
      <vt:lpstr>'415'!OSRRefD20_8x</vt:lpstr>
      <vt:lpstr>'418'!OSRRefD20_8x</vt:lpstr>
      <vt:lpstr>'430'!OSRRefD20_8x</vt:lpstr>
      <vt:lpstr>'433'!OSRRefD20_8x</vt:lpstr>
      <vt:lpstr>'444'!OSRRefD20_8x</vt:lpstr>
      <vt:lpstr>'450'!OSRRefD20_8x</vt:lpstr>
      <vt:lpstr>'491'!OSRRefD20_8x</vt:lpstr>
      <vt:lpstr>'492'!OSRRefD20_8x</vt:lpstr>
      <vt:lpstr>'501'!OSRRefD20_8x</vt:lpstr>
      <vt:lpstr>'Div 2'!OSRRefD20_8x</vt:lpstr>
      <vt:lpstr>'Div 3'!OSRRefD20_8x</vt:lpstr>
      <vt:lpstr>'Div 4'!OSRRefD20_8x</vt:lpstr>
      <vt:lpstr>'Div 5'!OSRRefD20_8x</vt:lpstr>
      <vt:lpstr>'Div 6'!OSRRefD20_8x</vt:lpstr>
      <vt:lpstr>Summary!OSRRefD20_8x</vt:lpstr>
      <vt:lpstr>'201'!OSRRefD20_9x</vt:lpstr>
      <vt:lpstr>'202'!OSRRefD20_9x</vt:lpstr>
      <vt:lpstr>'203'!OSRRefD20_9x</vt:lpstr>
      <vt:lpstr>'300'!OSRRefD20_9x</vt:lpstr>
      <vt:lpstr>'300 &amp; 317'!OSRRefD20_9x</vt:lpstr>
      <vt:lpstr>'301'!OSRRefD20_9x</vt:lpstr>
      <vt:lpstr>'307'!OSRRefD20_9x</vt:lpstr>
      <vt:lpstr>'308'!OSRRefD20_9x</vt:lpstr>
      <vt:lpstr>'309'!OSRRefD20_9x</vt:lpstr>
      <vt:lpstr>'310'!OSRRefD20_9x</vt:lpstr>
      <vt:lpstr>'310 &amp; 491'!OSRRefD20_9x</vt:lpstr>
      <vt:lpstr>'311'!OSRRefD20_9x</vt:lpstr>
      <vt:lpstr>'315'!OSRRefD20_9x</vt:lpstr>
      <vt:lpstr>'316'!OSRRefD20_9x</vt:lpstr>
      <vt:lpstr>'317'!OSRRefD20_9x</vt:lpstr>
      <vt:lpstr>'321'!OSRRefD20_9x</vt:lpstr>
      <vt:lpstr>'325'!OSRRefD20_9x</vt:lpstr>
      <vt:lpstr>'326'!OSRRefD20_9x</vt:lpstr>
      <vt:lpstr>'331'!OSRRefD20_9x</vt:lpstr>
      <vt:lpstr>'332'!OSRRefD20_9x</vt:lpstr>
      <vt:lpstr>'333'!OSRRefD20_9x</vt:lpstr>
      <vt:lpstr>'405'!OSRRefD20_9x</vt:lpstr>
      <vt:lpstr>'411'!OSRRefD20_9x</vt:lpstr>
      <vt:lpstr>'415'!OSRRefD20_9x</vt:lpstr>
      <vt:lpstr>'418'!OSRRefD20_9x</vt:lpstr>
      <vt:lpstr>'433'!OSRRefD20_9x</vt:lpstr>
      <vt:lpstr>'444'!OSRRefD20_9x</vt:lpstr>
      <vt:lpstr>'450'!OSRRefD20_9x</vt:lpstr>
      <vt:lpstr>'491'!OSRRefD20_9x</vt:lpstr>
      <vt:lpstr>'492'!OSRRefD20_9x</vt:lpstr>
      <vt:lpstr>'501'!OSRRefD20_9x</vt:lpstr>
      <vt:lpstr>'Div 2'!OSRRefD20_9x</vt:lpstr>
      <vt:lpstr>'Div 3'!OSRRefD20_9x</vt:lpstr>
      <vt:lpstr>'Div 4'!OSRRefD20_9x</vt:lpstr>
      <vt:lpstr>'Div 5'!OSRRefD20_9x</vt:lpstr>
      <vt:lpstr>'Div 6'!OSRRefD20_9x</vt:lpstr>
      <vt:lpstr>Summary!OSRRefD20_9x</vt:lpstr>
      <vt:lpstr>'200'!OSRRefD20x_0</vt:lpstr>
      <vt:lpstr>'201'!OSRRefD20x_0</vt:lpstr>
      <vt:lpstr>'202'!OSRRefD20x_0</vt:lpstr>
      <vt:lpstr>'203'!OSRRefD20x_0</vt:lpstr>
      <vt:lpstr>'204'!OSRRefD20x_0</vt:lpstr>
      <vt:lpstr>'205'!OSRRefD20x_0</vt:lpstr>
      <vt:lpstr>'206'!OSRRefD20x_0</vt:lpstr>
      <vt:lpstr>'300'!OSRRefD20x_0</vt:lpstr>
      <vt:lpstr>'300 &amp; 317'!OSRRefD20x_0</vt:lpstr>
      <vt:lpstr>'301'!OSRRefD20x_0</vt:lpstr>
      <vt:lpstr>'307'!OSRRefD20x_0</vt:lpstr>
      <vt:lpstr>'308'!OSRRefD20x_0</vt:lpstr>
      <vt:lpstr>'309'!OSRRefD20x_0</vt:lpstr>
      <vt:lpstr>'310'!OSRRefD20x_0</vt:lpstr>
      <vt:lpstr>'310 &amp; 491'!OSRRefD20x_0</vt:lpstr>
      <vt:lpstr>'311'!OSRRefD20x_0</vt:lpstr>
      <vt:lpstr>'313'!OSRRefD20x_0</vt:lpstr>
      <vt:lpstr>'315'!OSRRefD20x_0</vt:lpstr>
      <vt:lpstr>'316'!OSRRefD20x_0</vt:lpstr>
      <vt:lpstr>'317'!OSRRefD20x_0</vt:lpstr>
      <vt:lpstr>'321'!OSRRefD20x_0</vt:lpstr>
      <vt:lpstr>'322'!OSRRefD20x_0</vt:lpstr>
      <vt:lpstr>'325'!OSRRefD20x_0</vt:lpstr>
      <vt:lpstr>'326'!OSRRefD20x_0</vt:lpstr>
      <vt:lpstr>'327'!OSRRefD20x_0</vt:lpstr>
      <vt:lpstr>'331'!OSRRefD20x_0</vt:lpstr>
      <vt:lpstr>'332'!OSRRefD20x_0</vt:lpstr>
      <vt:lpstr>'333'!OSRRefD20x_0</vt:lpstr>
      <vt:lpstr>'405'!OSRRefD20x_0</vt:lpstr>
      <vt:lpstr>'406'!OSRRefD20x_0</vt:lpstr>
      <vt:lpstr>'411'!OSRRefD20x_0</vt:lpstr>
      <vt:lpstr>'412'!OSRRefD20x_0</vt:lpstr>
      <vt:lpstr>'413'!OSRRefD20x_0</vt:lpstr>
      <vt:lpstr>'414'!OSRRefD20x_0</vt:lpstr>
      <vt:lpstr>'415'!OSRRefD20x_0</vt:lpstr>
      <vt:lpstr>'418'!OSRRefD20x_0</vt:lpstr>
      <vt:lpstr>'423'!OSRRefD20x_0</vt:lpstr>
      <vt:lpstr>'424'!OSRRefD20x_0</vt:lpstr>
      <vt:lpstr>'425'!OSRRefD20x_0</vt:lpstr>
      <vt:lpstr>'430'!OSRRefD20x_0</vt:lpstr>
      <vt:lpstr>'433'!OSRRefD20x_0</vt:lpstr>
      <vt:lpstr>'435'!OSRRefD20x_0</vt:lpstr>
      <vt:lpstr>'444'!OSRRefD20x_0</vt:lpstr>
      <vt:lpstr>'450'!OSRRefD20x_0</vt:lpstr>
      <vt:lpstr>'491'!OSRRefD20x_0</vt:lpstr>
      <vt:lpstr>'492'!OSRRefD20x_0</vt:lpstr>
      <vt:lpstr>'501'!OSRRefD20x_0</vt:lpstr>
      <vt:lpstr>'Div 2'!OSRRefD20x_0</vt:lpstr>
      <vt:lpstr>'Div 3'!OSRRefD20x_0</vt:lpstr>
      <vt:lpstr>'Div 4'!OSRRefD20x_0</vt:lpstr>
      <vt:lpstr>'Div 5'!OSRRefD20x_0</vt:lpstr>
      <vt:lpstr>'Div 6'!OSRRefD20x_0</vt:lpstr>
      <vt:lpstr>Summary!OSRRefD20x_0</vt:lpstr>
      <vt:lpstr>'200'!OSRRefD20x_1</vt:lpstr>
      <vt:lpstr>'201'!OSRRefD20x_1</vt:lpstr>
      <vt:lpstr>'202'!OSRRefD20x_1</vt:lpstr>
      <vt:lpstr>'203'!OSRRefD20x_1</vt:lpstr>
      <vt:lpstr>'204'!OSRRefD20x_1</vt:lpstr>
      <vt:lpstr>'205'!OSRRefD20x_1</vt:lpstr>
      <vt:lpstr>'206'!OSRRefD20x_1</vt:lpstr>
      <vt:lpstr>'300'!OSRRefD20x_1</vt:lpstr>
      <vt:lpstr>'300 &amp; 317'!OSRRefD20x_1</vt:lpstr>
      <vt:lpstr>'301'!OSRRefD20x_1</vt:lpstr>
      <vt:lpstr>'307'!OSRRefD20x_1</vt:lpstr>
      <vt:lpstr>'308'!OSRRefD20x_1</vt:lpstr>
      <vt:lpstr>'309'!OSRRefD20x_1</vt:lpstr>
      <vt:lpstr>'310'!OSRRefD20x_1</vt:lpstr>
      <vt:lpstr>'310 &amp; 491'!OSRRefD20x_1</vt:lpstr>
      <vt:lpstr>'311'!OSRRefD20x_1</vt:lpstr>
      <vt:lpstr>'313'!OSRRefD20x_1</vt:lpstr>
      <vt:lpstr>'315'!OSRRefD20x_1</vt:lpstr>
      <vt:lpstr>'316'!OSRRefD20x_1</vt:lpstr>
      <vt:lpstr>'317'!OSRRefD20x_1</vt:lpstr>
      <vt:lpstr>'321'!OSRRefD20x_1</vt:lpstr>
      <vt:lpstr>'322'!OSRRefD20x_1</vt:lpstr>
      <vt:lpstr>'325'!OSRRefD20x_1</vt:lpstr>
      <vt:lpstr>'326'!OSRRefD20x_1</vt:lpstr>
      <vt:lpstr>'327'!OSRRefD20x_1</vt:lpstr>
      <vt:lpstr>'331'!OSRRefD20x_1</vt:lpstr>
      <vt:lpstr>'332'!OSRRefD20x_1</vt:lpstr>
      <vt:lpstr>'333'!OSRRefD20x_1</vt:lpstr>
      <vt:lpstr>'405'!OSRRefD20x_1</vt:lpstr>
      <vt:lpstr>'406'!OSRRefD20x_1</vt:lpstr>
      <vt:lpstr>'411'!OSRRefD20x_1</vt:lpstr>
      <vt:lpstr>'412'!OSRRefD20x_1</vt:lpstr>
      <vt:lpstr>'413'!OSRRefD20x_1</vt:lpstr>
      <vt:lpstr>'414'!OSRRefD20x_1</vt:lpstr>
      <vt:lpstr>'415'!OSRRefD20x_1</vt:lpstr>
      <vt:lpstr>'418'!OSRRefD20x_1</vt:lpstr>
      <vt:lpstr>'423'!OSRRefD20x_1</vt:lpstr>
      <vt:lpstr>'424'!OSRRefD20x_1</vt:lpstr>
      <vt:lpstr>'425'!OSRRefD20x_1</vt:lpstr>
      <vt:lpstr>'430'!OSRRefD20x_1</vt:lpstr>
      <vt:lpstr>'433'!OSRRefD20x_1</vt:lpstr>
      <vt:lpstr>'435'!OSRRefD20x_1</vt:lpstr>
      <vt:lpstr>'444'!OSRRefD20x_1</vt:lpstr>
      <vt:lpstr>'450'!OSRRefD20x_1</vt:lpstr>
      <vt:lpstr>'491'!OSRRefD20x_1</vt:lpstr>
      <vt:lpstr>'492'!OSRRefD20x_1</vt:lpstr>
      <vt:lpstr>'501'!OSRRefD20x_1</vt:lpstr>
      <vt:lpstr>'Div 2'!OSRRefD20x_1</vt:lpstr>
      <vt:lpstr>'Div 3'!OSRRefD20x_1</vt:lpstr>
      <vt:lpstr>'Div 4'!OSRRefD20x_1</vt:lpstr>
      <vt:lpstr>'Div 5'!OSRRefD20x_1</vt:lpstr>
      <vt:lpstr>'Div 6'!OSRRefD20x_1</vt:lpstr>
      <vt:lpstr>Summary!OSRRefD20x_1</vt:lpstr>
      <vt:lpstr>'200'!OSRRefD20x_2</vt:lpstr>
      <vt:lpstr>'201'!OSRRefD20x_2</vt:lpstr>
      <vt:lpstr>'202'!OSRRefD20x_2</vt:lpstr>
      <vt:lpstr>'203'!OSRRefD20x_2</vt:lpstr>
      <vt:lpstr>'204'!OSRRefD20x_2</vt:lpstr>
      <vt:lpstr>'205'!OSRRefD20x_2</vt:lpstr>
      <vt:lpstr>'206'!OSRRefD20x_2</vt:lpstr>
      <vt:lpstr>'300'!OSRRefD20x_2</vt:lpstr>
      <vt:lpstr>'300 &amp; 317'!OSRRefD20x_2</vt:lpstr>
      <vt:lpstr>'301'!OSRRefD20x_2</vt:lpstr>
      <vt:lpstr>'307'!OSRRefD20x_2</vt:lpstr>
      <vt:lpstr>'308'!OSRRefD20x_2</vt:lpstr>
      <vt:lpstr>'309'!OSRRefD20x_2</vt:lpstr>
      <vt:lpstr>'310'!OSRRefD20x_2</vt:lpstr>
      <vt:lpstr>'310 &amp; 491'!OSRRefD20x_2</vt:lpstr>
      <vt:lpstr>'311'!OSRRefD20x_2</vt:lpstr>
      <vt:lpstr>'313'!OSRRefD20x_2</vt:lpstr>
      <vt:lpstr>'315'!OSRRefD20x_2</vt:lpstr>
      <vt:lpstr>'316'!OSRRefD20x_2</vt:lpstr>
      <vt:lpstr>'317'!OSRRefD20x_2</vt:lpstr>
      <vt:lpstr>'321'!OSRRefD20x_2</vt:lpstr>
      <vt:lpstr>'322'!OSRRefD20x_2</vt:lpstr>
      <vt:lpstr>'325'!OSRRefD20x_2</vt:lpstr>
      <vt:lpstr>'326'!OSRRefD20x_2</vt:lpstr>
      <vt:lpstr>'327'!OSRRefD20x_2</vt:lpstr>
      <vt:lpstr>'331'!OSRRefD20x_2</vt:lpstr>
      <vt:lpstr>'332'!OSRRefD20x_2</vt:lpstr>
      <vt:lpstr>'333'!OSRRefD20x_2</vt:lpstr>
      <vt:lpstr>'405'!OSRRefD20x_2</vt:lpstr>
      <vt:lpstr>'406'!OSRRefD20x_2</vt:lpstr>
      <vt:lpstr>'411'!OSRRefD20x_2</vt:lpstr>
      <vt:lpstr>'412'!OSRRefD20x_2</vt:lpstr>
      <vt:lpstr>'413'!OSRRefD20x_2</vt:lpstr>
      <vt:lpstr>'414'!OSRRefD20x_2</vt:lpstr>
      <vt:lpstr>'415'!OSRRefD20x_2</vt:lpstr>
      <vt:lpstr>'418'!OSRRefD20x_2</vt:lpstr>
      <vt:lpstr>'423'!OSRRefD20x_2</vt:lpstr>
      <vt:lpstr>'424'!OSRRefD20x_2</vt:lpstr>
      <vt:lpstr>'425'!OSRRefD20x_2</vt:lpstr>
      <vt:lpstr>'430'!OSRRefD20x_2</vt:lpstr>
      <vt:lpstr>'433'!OSRRefD20x_2</vt:lpstr>
      <vt:lpstr>'435'!OSRRefD20x_2</vt:lpstr>
      <vt:lpstr>'444'!OSRRefD20x_2</vt:lpstr>
      <vt:lpstr>'450'!OSRRefD20x_2</vt:lpstr>
      <vt:lpstr>'491'!OSRRefD20x_2</vt:lpstr>
      <vt:lpstr>'492'!OSRRefD20x_2</vt:lpstr>
      <vt:lpstr>'501'!OSRRefD20x_2</vt:lpstr>
      <vt:lpstr>'Div 2'!OSRRefD20x_2</vt:lpstr>
      <vt:lpstr>'Div 3'!OSRRefD20x_2</vt:lpstr>
      <vt:lpstr>'Div 4'!OSRRefD20x_2</vt:lpstr>
      <vt:lpstr>'Div 5'!OSRRefD20x_2</vt:lpstr>
      <vt:lpstr>'Div 6'!OSRRefD20x_2</vt:lpstr>
      <vt:lpstr>Summary!OSRRefD20x_2</vt:lpstr>
      <vt:lpstr>'200'!OSRRefD20x_3</vt:lpstr>
      <vt:lpstr>'201'!OSRRefD20x_3</vt:lpstr>
      <vt:lpstr>'202'!OSRRefD20x_3</vt:lpstr>
      <vt:lpstr>'203'!OSRRefD20x_3</vt:lpstr>
      <vt:lpstr>'204'!OSRRefD20x_3</vt:lpstr>
      <vt:lpstr>'205'!OSRRefD20x_3</vt:lpstr>
      <vt:lpstr>'206'!OSRRefD20x_3</vt:lpstr>
      <vt:lpstr>'300'!OSRRefD20x_3</vt:lpstr>
      <vt:lpstr>'300 &amp; 317'!OSRRefD20x_3</vt:lpstr>
      <vt:lpstr>'301'!OSRRefD20x_3</vt:lpstr>
      <vt:lpstr>'307'!OSRRefD20x_3</vt:lpstr>
      <vt:lpstr>'308'!OSRRefD20x_3</vt:lpstr>
      <vt:lpstr>'309'!OSRRefD20x_3</vt:lpstr>
      <vt:lpstr>'310'!OSRRefD20x_3</vt:lpstr>
      <vt:lpstr>'310 &amp; 491'!OSRRefD20x_3</vt:lpstr>
      <vt:lpstr>'311'!OSRRefD20x_3</vt:lpstr>
      <vt:lpstr>'313'!OSRRefD20x_3</vt:lpstr>
      <vt:lpstr>'315'!OSRRefD20x_3</vt:lpstr>
      <vt:lpstr>'316'!OSRRefD20x_3</vt:lpstr>
      <vt:lpstr>'317'!OSRRefD20x_3</vt:lpstr>
      <vt:lpstr>'321'!OSRRefD20x_3</vt:lpstr>
      <vt:lpstr>'322'!OSRRefD20x_3</vt:lpstr>
      <vt:lpstr>'325'!OSRRefD20x_3</vt:lpstr>
      <vt:lpstr>'326'!OSRRefD20x_3</vt:lpstr>
      <vt:lpstr>'327'!OSRRefD20x_3</vt:lpstr>
      <vt:lpstr>'331'!OSRRefD20x_3</vt:lpstr>
      <vt:lpstr>'332'!OSRRefD20x_3</vt:lpstr>
      <vt:lpstr>'333'!OSRRefD20x_3</vt:lpstr>
      <vt:lpstr>'405'!OSRRefD20x_3</vt:lpstr>
      <vt:lpstr>'406'!OSRRefD20x_3</vt:lpstr>
      <vt:lpstr>'411'!OSRRefD20x_3</vt:lpstr>
      <vt:lpstr>'412'!OSRRefD20x_3</vt:lpstr>
      <vt:lpstr>'413'!OSRRefD20x_3</vt:lpstr>
      <vt:lpstr>'414'!OSRRefD20x_3</vt:lpstr>
      <vt:lpstr>'415'!OSRRefD20x_3</vt:lpstr>
      <vt:lpstr>'418'!OSRRefD20x_3</vt:lpstr>
      <vt:lpstr>'423'!OSRRefD20x_3</vt:lpstr>
      <vt:lpstr>'424'!OSRRefD20x_3</vt:lpstr>
      <vt:lpstr>'425'!OSRRefD20x_3</vt:lpstr>
      <vt:lpstr>'430'!OSRRefD20x_3</vt:lpstr>
      <vt:lpstr>'433'!OSRRefD20x_3</vt:lpstr>
      <vt:lpstr>'435'!OSRRefD20x_3</vt:lpstr>
      <vt:lpstr>'444'!OSRRefD20x_3</vt:lpstr>
      <vt:lpstr>'450'!OSRRefD20x_3</vt:lpstr>
      <vt:lpstr>'491'!OSRRefD20x_3</vt:lpstr>
      <vt:lpstr>'492'!OSRRefD20x_3</vt:lpstr>
      <vt:lpstr>'501'!OSRRefD20x_3</vt:lpstr>
      <vt:lpstr>'Div 2'!OSRRefD20x_3</vt:lpstr>
      <vt:lpstr>'Div 3'!OSRRefD20x_3</vt:lpstr>
      <vt:lpstr>'Div 4'!OSRRefD20x_3</vt:lpstr>
      <vt:lpstr>'Div 5'!OSRRefD20x_3</vt:lpstr>
      <vt:lpstr>'Div 6'!OSRRefD20x_3</vt:lpstr>
      <vt:lpstr>Summary!OSRRefD20x_3</vt:lpstr>
      <vt:lpstr>'200'!OSRRefD20x_4</vt:lpstr>
      <vt:lpstr>'201'!OSRRefD20x_4</vt:lpstr>
      <vt:lpstr>'202'!OSRRefD20x_4</vt:lpstr>
      <vt:lpstr>'203'!OSRRefD20x_4</vt:lpstr>
      <vt:lpstr>'204'!OSRRefD20x_4</vt:lpstr>
      <vt:lpstr>'205'!OSRRefD20x_4</vt:lpstr>
      <vt:lpstr>'206'!OSRRefD20x_4</vt:lpstr>
      <vt:lpstr>'300'!OSRRefD20x_4</vt:lpstr>
      <vt:lpstr>'300 &amp; 317'!OSRRefD20x_4</vt:lpstr>
      <vt:lpstr>'301'!OSRRefD20x_4</vt:lpstr>
      <vt:lpstr>'307'!OSRRefD20x_4</vt:lpstr>
      <vt:lpstr>'308'!OSRRefD20x_4</vt:lpstr>
      <vt:lpstr>'309'!OSRRefD20x_4</vt:lpstr>
      <vt:lpstr>'310'!OSRRefD20x_4</vt:lpstr>
      <vt:lpstr>'310 &amp; 491'!OSRRefD20x_4</vt:lpstr>
      <vt:lpstr>'311'!OSRRefD20x_4</vt:lpstr>
      <vt:lpstr>'313'!OSRRefD20x_4</vt:lpstr>
      <vt:lpstr>'315'!OSRRefD20x_4</vt:lpstr>
      <vt:lpstr>'316'!OSRRefD20x_4</vt:lpstr>
      <vt:lpstr>'317'!OSRRefD20x_4</vt:lpstr>
      <vt:lpstr>'321'!OSRRefD20x_4</vt:lpstr>
      <vt:lpstr>'322'!OSRRefD20x_4</vt:lpstr>
      <vt:lpstr>'325'!OSRRefD20x_4</vt:lpstr>
      <vt:lpstr>'326'!OSRRefD20x_4</vt:lpstr>
      <vt:lpstr>'327'!OSRRefD20x_4</vt:lpstr>
      <vt:lpstr>'331'!OSRRefD20x_4</vt:lpstr>
      <vt:lpstr>'332'!OSRRefD20x_4</vt:lpstr>
      <vt:lpstr>'333'!OSRRefD20x_4</vt:lpstr>
      <vt:lpstr>'405'!OSRRefD20x_4</vt:lpstr>
      <vt:lpstr>'406'!OSRRefD20x_4</vt:lpstr>
      <vt:lpstr>'411'!OSRRefD20x_4</vt:lpstr>
      <vt:lpstr>'412'!OSRRefD20x_4</vt:lpstr>
      <vt:lpstr>'413'!OSRRefD20x_4</vt:lpstr>
      <vt:lpstr>'414'!OSRRefD20x_4</vt:lpstr>
      <vt:lpstr>'415'!OSRRefD20x_4</vt:lpstr>
      <vt:lpstr>'418'!OSRRefD20x_4</vt:lpstr>
      <vt:lpstr>'423'!OSRRefD20x_4</vt:lpstr>
      <vt:lpstr>'424'!OSRRefD20x_4</vt:lpstr>
      <vt:lpstr>'425'!OSRRefD20x_4</vt:lpstr>
      <vt:lpstr>'430'!OSRRefD20x_4</vt:lpstr>
      <vt:lpstr>'433'!OSRRefD20x_4</vt:lpstr>
      <vt:lpstr>'435'!OSRRefD20x_4</vt:lpstr>
      <vt:lpstr>'444'!OSRRefD20x_4</vt:lpstr>
      <vt:lpstr>'450'!OSRRefD20x_4</vt:lpstr>
      <vt:lpstr>'491'!OSRRefD20x_4</vt:lpstr>
      <vt:lpstr>'492'!OSRRefD20x_4</vt:lpstr>
      <vt:lpstr>'501'!OSRRefD20x_4</vt:lpstr>
      <vt:lpstr>'Div 2'!OSRRefD20x_4</vt:lpstr>
      <vt:lpstr>'Div 3'!OSRRefD20x_4</vt:lpstr>
      <vt:lpstr>'Div 4'!OSRRefD20x_4</vt:lpstr>
      <vt:lpstr>'Div 5'!OSRRefD20x_4</vt:lpstr>
      <vt:lpstr>'Div 6'!OSRRefD20x_4</vt:lpstr>
      <vt:lpstr>Summary!OSRRefD20x_4</vt:lpstr>
      <vt:lpstr>'200'!OSRRefD20x_5</vt:lpstr>
      <vt:lpstr>'201'!OSRRefD20x_5</vt:lpstr>
      <vt:lpstr>'202'!OSRRefD20x_5</vt:lpstr>
      <vt:lpstr>'203'!OSRRefD20x_5</vt:lpstr>
      <vt:lpstr>'204'!OSRRefD20x_5</vt:lpstr>
      <vt:lpstr>'205'!OSRRefD20x_5</vt:lpstr>
      <vt:lpstr>'206'!OSRRefD20x_5</vt:lpstr>
      <vt:lpstr>'300'!OSRRefD20x_5</vt:lpstr>
      <vt:lpstr>'300 &amp; 317'!OSRRefD20x_5</vt:lpstr>
      <vt:lpstr>'301'!OSRRefD20x_5</vt:lpstr>
      <vt:lpstr>'307'!OSRRefD20x_5</vt:lpstr>
      <vt:lpstr>'308'!OSRRefD20x_5</vt:lpstr>
      <vt:lpstr>'309'!OSRRefD20x_5</vt:lpstr>
      <vt:lpstr>'310'!OSRRefD20x_5</vt:lpstr>
      <vt:lpstr>'310 &amp; 491'!OSRRefD20x_5</vt:lpstr>
      <vt:lpstr>'311'!OSRRefD20x_5</vt:lpstr>
      <vt:lpstr>'313'!OSRRefD20x_5</vt:lpstr>
      <vt:lpstr>'315'!OSRRefD20x_5</vt:lpstr>
      <vt:lpstr>'316'!OSRRefD20x_5</vt:lpstr>
      <vt:lpstr>'317'!OSRRefD20x_5</vt:lpstr>
      <vt:lpstr>'321'!OSRRefD20x_5</vt:lpstr>
      <vt:lpstr>'322'!OSRRefD20x_5</vt:lpstr>
      <vt:lpstr>'325'!OSRRefD20x_5</vt:lpstr>
      <vt:lpstr>'326'!OSRRefD20x_5</vt:lpstr>
      <vt:lpstr>'327'!OSRRefD20x_5</vt:lpstr>
      <vt:lpstr>'331'!OSRRefD20x_5</vt:lpstr>
      <vt:lpstr>'332'!OSRRefD20x_5</vt:lpstr>
      <vt:lpstr>'333'!OSRRefD20x_5</vt:lpstr>
      <vt:lpstr>'405'!OSRRefD20x_5</vt:lpstr>
      <vt:lpstr>'406'!OSRRefD20x_5</vt:lpstr>
      <vt:lpstr>'411'!OSRRefD20x_5</vt:lpstr>
      <vt:lpstr>'412'!OSRRefD20x_5</vt:lpstr>
      <vt:lpstr>'413'!OSRRefD20x_5</vt:lpstr>
      <vt:lpstr>'414'!OSRRefD20x_5</vt:lpstr>
      <vt:lpstr>'415'!OSRRefD20x_5</vt:lpstr>
      <vt:lpstr>'418'!OSRRefD20x_5</vt:lpstr>
      <vt:lpstr>'423'!OSRRefD20x_5</vt:lpstr>
      <vt:lpstr>'424'!OSRRefD20x_5</vt:lpstr>
      <vt:lpstr>'425'!OSRRefD20x_5</vt:lpstr>
      <vt:lpstr>'430'!OSRRefD20x_5</vt:lpstr>
      <vt:lpstr>'433'!OSRRefD20x_5</vt:lpstr>
      <vt:lpstr>'435'!OSRRefD20x_5</vt:lpstr>
      <vt:lpstr>'444'!OSRRefD20x_5</vt:lpstr>
      <vt:lpstr>'450'!OSRRefD20x_5</vt:lpstr>
      <vt:lpstr>'491'!OSRRefD20x_5</vt:lpstr>
      <vt:lpstr>'492'!OSRRefD20x_5</vt:lpstr>
      <vt:lpstr>'501'!OSRRefD20x_5</vt:lpstr>
      <vt:lpstr>'Div 2'!OSRRefD20x_5</vt:lpstr>
      <vt:lpstr>'Div 3'!OSRRefD20x_5</vt:lpstr>
      <vt:lpstr>'Div 4'!OSRRefD20x_5</vt:lpstr>
      <vt:lpstr>'Div 5'!OSRRefD20x_5</vt:lpstr>
      <vt:lpstr>'Div 6'!OSRRefD20x_5</vt:lpstr>
      <vt:lpstr>Summary!OSRRefD20x_5</vt:lpstr>
      <vt:lpstr>'200'!OSRRefD20x_6</vt:lpstr>
      <vt:lpstr>'201'!OSRRefD20x_6</vt:lpstr>
      <vt:lpstr>'202'!OSRRefD20x_6</vt:lpstr>
      <vt:lpstr>'203'!OSRRefD20x_6</vt:lpstr>
      <vt:lpstr>'204'!OSRRefD20x_6</vt:lpstr>
      <vt:lpstr>'205'!OSRRefD20x_6</vt:lpstr>
      <vt:lpstr>'206'!OSRRefD20x_6</vt:lpstr>
      <vt:lpstr>'300'!OSRRefD20x_6</vt:lpstr>
      <vt:lpstr>'300 &amp; 317'!OSRRefD20x_6</vt:lpstr>
      <vt:lpstr>'301'!OSRRefD20x_6</vt:lpstr>
      <vt:lpstr>'307'!OSRRefD20x_6</vt:lpstr>
      <vt:lpstr>'308'!OSRRefD20x_6</vt:lpstr>
      <vt:lpstr>'309'!OSRRefD20x_6</vt:lpstr>
      <vt:lpstr>'310'!OSRRefD20x_6</vt:lpstr>
      <vt:lpstr>'310 &amp; 491'!OSRRefD20x_6</vt:lpstr>
      <vt:lpstr>'311'!OSRRefD20x_6</vt:lpstr>
      <vt:lpstr>'313'!OSRRefD20x_6</vt:lpstr>
      <vt:lpstr>'315'!OSRRefD20x_6</vt:lpstr>
      <vt:lpstr>'316'!OSRRefD20x_6</vt:lpstr>
      <vt:lpstr>'317'!OSRRefD20x_6</vt:lpstr>
      <vt:lpstr>'321'!OSRRefD20x_6</vt:lpstr>
      <vt:lpstr>'322'!OSRRefD20x_6</vt:lpstr>
      <vt:lpstr>'325'!OSRRefD20x_6</vt:lpstr>
      <vt:lpstr>'326'!OSRRefD20x_6</vt:lpstr>
      <vt:lpstr>'327'!OSRRefD20x_6</vt:lpstr>
      <vt:lpstr>'331'!OSRRefD20x_6</vt:lpstr>
      <vt:lpstr>'332'!OSRRefD20x_6</vt:lpstr>
      <vt:lpstr>'333'!OSRRefD20x_6</vt:lpstr>
      <vt:lpstr>'405'!OSRRefD20x_6</vt:lpstr>
      <vt:lpstr>'406'!OSRRefD20x_6</vt:lpstr>
      <vt:lpstr>'411'!OSRRefD20x_6</vt:lpstr>
      <vt:lpstr>'412'!OSRRefD20x_6</vt:lpstr>
      <vt:lpstr>'413'!OSRRefD20x_6</vt:lpstr>
      <vt:lpstr>'414'!OSRRefD20x_6</vt:lpstr>
      <vt:lpstr>'415'!OSRRefD20x_6</vt:lpstr>
      <vt:lpstr>'418'!OSRRefD20x_6</vt:lpstr>
      <vt:lpstr>'423'!OSRRefD20x_6</vt:lpstr>
      <vt:lpstr>'424'!OSRRefD20x_6</vt:lpstr>
      <vt:lpstr>'425'!OSRRefD20x_6</vt:lpstr>
      <vt:lpstr>'430'!OSRRefD20x_6</vt:lpstr>
      <vt:lpstr>'433'!OSRRefD20x_6</vt:lpstr>
      <vt:lpstr>'435'!OSRRefD20x_6</vt:lpstr>
      <vt:lpstr>'444'!OSRRefD20x_6</vt:lpstr>
      <vt:lpstr>'450'!OSRRefD20x_6</vt:lpstr>
      <vt:lpstr>'491'!OSRRefD20x_6</vt:lpstr>
      <vt:lpstr>'492'!OSRRefD20x_6</vt:lpstr>
      <vt:lpstr>'501'!OSRRefD20x_6</vt:lpstr>
      <vt:lpstr>'Div 2'!OSRRefD20x_6</vt:lpstr>
      <vt:lpstr>'Div 3'!OSRRefD20x_6</vt:lpstr>
      <vt:lpstr>'Div 4'!OSRRefD20x_6</vt:lpstr>
      <vt:lpstr>'Div 5'!OSRRefD20x_6</vt:lpstr>
      <vt:lpstr>'Div 6'!OSRRefD20x_6</vt:lpstr>
      <vt:lpstr>Summary!OSRRefD20x_6</vt:lpstr>
      <vt:lpstr>'200'!OSRRefD20x_7</vt:lpstr>
      <vt:lpstr>'201'!OSRRefD20x_7</vt:lpstr>
      <vt:lpstr>'202'!OSRRefD20x_7</vt:lpstr>
      <vt:lpstr>'203'!OSRRefD20x_7</vt:lpstr>
      <vt:lpstr>'204'!OSRRefD20x_7</vt:lpstr>
      <vt:lpstr>'205'!OSRRefD20x_7</vt:lpstr>
      <vt:lpstr>'206'!OSRRefD20x_7</vt:lpstr>
      <vt:lpstr>'300'!OSRRefD20x_7</vt:lpstr>
      <vt:lpstr>'300 &amp; 317'!OSRRefD20x_7</vt:lpstr>
      <vt:lpstr>'301'!OSRRefD20x_7</vt:lpstr>
      <vt:lpstr>'307'!OSRRefD20x_7</vt:lpstr>
      <vt:lpstr>'308'!OSRRefD20x_7</vt:lpstr>
      <vt:lpstr>'309'!OSRRefD20x_7</vt:lpstr>
      <vt:lpstr>'310'!OSRRefD20x_7</vt:lpstr>
      <vt:lpstr>'310 &amp; 491'!OSRRefD20x_7</vt:lpstr>
      <vt:lpstr>'311'!OSRRefD20x_7</vt:lpstr>
      <vt:lpstr>'313'!OSRRefD20x_7</vt:lpstr>
      <vt:lpstr>'315'!OSRRefD20x_7</vt:lpstr>
      <vt:lpstr>'316'!OSRRefD20x_7</vt:lpstr>
      <vt:lpstr>'317'!OSRRefD20x_7</vt:lpstr>
      <vt:lpstr>'321'!OSRRefD20x_7</vt:lpstr>
      <vt:lpstr>'322'!OSRRefD20x_7</vt:lpstr>
      <vt:lpstr>'325'!OSRRefD20x_7</vt:lpstr>
      <vt:lpstr>'326'!OSRRefD20x_7</vt:lpstr>
      <vt:lpstr>'327'!OSRRefD20x_7</vt:lpstr>
      <vt:lpstr>'331'!OSRRefD20x_7</vt:lpstr>
      <vt:lpstr>'332'!OSRRefD20x_7</vt:lpstr>
      <vt:lpstr>'333'!OSRRefD20x_7</vt:lpstr>
      <vt:lpstr>'405'!OSRRefD20x_7</vt:lpstr>
      <vt:lpstr>'406'!OSRRefD20x_7</vt:lpstr>
      <vt:lpstr>'411'!OSRRefD20x_7</vt:lpstr>
      <vt:lpstr>'412'!OSRRefD20x_7</vt:lpstr>
      <vt:lpstr>'413'!OSRRefD20x_7</vt:lpstr>
      <vt:lpstr>'414'!OSRRefD20x_7</vt:lpstr>
      <vt:lpstr>'415'!OSRRefD20x_7</vt:lpstr>
      <vt:lpstr>'418'!OSRRefD20x_7</vt:lpstr>
      <vt:lpstr>'423'!OSRRefD20x_7</vt:lpstr>
      <vt:lpstr>'424'!OSRRefD20x_7</vt:lpstr>
      <vt:lpstr>'425'!OSRRefD20x_7</vt:lpstr>
      <vt:lpstr>'430'!OSRRefD20x_7</vt:lpstr>
      <vt:lpstr>'433'!OSRRefD20x_7</vt:lpstr>
      <vt:lpstr>'435'!OSRRefD20x_7</vt:lpstr>
      <vt:lpstr>'444'!OSRRefD20x_7</vt:lpstr>
      <vt:lpstr>'450'!OSRRefD20x_7</vt:lpstr>
      <vt:lpstr>'491'!OSRRefD20x_7</vt:lpstr>
      <vt:lpstr>'492'!OSRRefD20x_7</vt:lpstr>
      <vt:lpstr>'501'!OSRRefD20x_7</vt:lpstr>
      <vt:lpstr>'Div 2'!OSRRefD20x_7</vt:lpstr>
      <vt:lpstr>'Div 3'!OSRRefD20x_7</vt:lpstr>
      <vt:lpstr>'Div 4'!OSRRefD20x_7</vt:lpstr>
      <vt:lpstr>'Div 5'!OSRRefD20x_7</vt:lpstr>
      <vt:lpstr>'Div 6'!OSRRefD20x_7</vt:lpstr>
      <vt:lpstr>Summary!OSRRefD20x_7</vt:lpstr>
      <vt:lpstr>'200'!OSRRefD20x_8</vt:lpstr>
      <vt:lpstr>'201'!OSRRefD20x_8</vt:lpstr>
      <vt:lpstr>'202'!OSRRefD20x_8</vt:lpstr>
      <vt:lpstr>'203'!OSRRefD20x_8</vt:lpstr>
      <vt:lpstr>'204'!OSRRefD20x_8</vt:lpstr>
      <vt:lpstr>'205'!OSRRefD20x_8</vt:lpstr>
      <vt:lpstr>'206'!OSRRefD20x_8</vt:lpstr>
      <vt:lpstr>'300'!OSRRefD20x_8</vt:lpstr>
      <vt:lpstr>'300 &amp; 317'!OSRRefD20x_8</vt:lpstr>
      <vt:lpstr>'301'!OSRRefD20x_8</vt:lpstr>
      <vt:lpstr>'307'!OSRRefD20x_8</vt:lpstr>
      <vt:lpstr>'308'!OSRRefD20x_8</vt:lpstr>
      <vt:lpstr>'309'!OSRRefD20x_8</vt:lpstr>
      <vt:lpstr>'310'!OSRRefD20x_8</vt:lpstr>
      <vt:lpstr>'310 &amp; 491'!OSRRefD20x_8</vt:lpstr>
      <vt:lpstr>'311'!OSRRefD20x_8</vt:lpstr>
      <vt:lpstr>'313'!OSRRefD20x_8</vt:lpstr>
      <vt:lpstr>'315'!OSRRefD20x_8</vt:lpstr>
      <vt:lpstr>'316'!OSRRefD20x_8</vt:lpstr>
      <vt:lpstr>'317'!OSRRefD20x_8</vt:lpstr>
      <vt:lpstr>'321'!OSRRefD20x_8</vt:lpstr>
      <vt:lpstr>'322'!OSRRefD20x_8</vt:lpstr>
      <vt:lpstr>'325'!OSRRefD20x_8</vt:lpstr>
      <vt:lpstr>'326'!OSRRefD20x_8</vt:lpstr>
      <vt:lpstr>'327'!OSRRefD20x_8</vt:lpstr>
      <vt:lpstr>'331'!OSRRefD20x_8</vt:lpstr>
      <vt:lpstr>'332'!OSRRefD20x_8</vt:lpstr>
      <vt:lpstr>'333'!OSRRefD20x_8</vt:lpstr>
      <vt:lpstr>'405'!OSRRefD20x_8</vt:lpstr>
      <vt:lpstr>'406'!OSRRefD20x_8</vt:lpstr>
      <vt:lpstr>'411'!OSRRefD20x_8</vt:lpstr>
      <vt:lpstr>'412'!OSRRefD20x_8</vt:lpstr>
      <vt:lpstr>'413'!OSRRefD20x_8</vt:lpstr>
      <vt:lpstr>'414'!OSRRefD20x_8</vt:lpstr>
      <vt:lpstr>'415'!OSRRefD20x_8</vt:lpstr>
      <vt:lpstr>'418'!OSRRefD20x_8</vt:lpstr>
      <vt:lpstr>'423'!OSRRefD20x_8</vt:lpstr>
      <vt:lpstr>'424'!OSRRefD20x_8</vt:lpstr>
      <vt:lpstr>'425'!OSRRefD20x_8</vt:lpstr>
      <vt:lpstr>'430'!OSRRefD20x_8</vt:lpstr>
      <vt:lpstr>'433'!OSRRefD20x_8</vt:lpstr>
      <vt:lpstr>'435'!OSRRefD20x_8</vt:lpstr>
      <vt:lpstr>'444'!OSRRefD20x_8</vt:lpstr>
      <vt:lpstr>'450'!OSRRefD20x_8</vt:lpstr>
      <vt:lpstr>'491'!OSRRefD20x_8</vt:lpstr>
      <vt:lpstr>'492'!OSRRefD20x_8</vt:lpstr>
      <vt:lpstr>'501'!OSRRefD20x_8</vt:lpstr>
      <vt:lpstr>'Div 2'!OSRRefD20x_8</vt:lpstr>
      <vt:lpstr>'Div 3'!OSRRefD20x_8</vt:lpstr>
      <vt:lpstr>'Div 4'!OSRRefD20x_8</vt:lpstr>
      <vt:lpstr>'Div 5'!OSRRefD20x_8</vt:lpstr>
      <vt:lpstr>'Div 6'!OSRRefD20x_8</vt:lpstr>
      <vt:lpstr>Summary!OSRRefD20x_8</vt:lpstr>
      <vt:lpstr>'200'!OSRRefD20x_9</vt:lpstr>
      <vt:lpstr>'201'!OSRRefD20x_9</vt:lpstr>
      <vt:lpstr>'202'!OSRRefD20x_9</vt:lpstr>
      <vt:lpstr>'203'!OSRRefD20x_9</vt:lpstr>
      <vt:lpstr>'204'!OSRRefD20x_9</vt:lpstr>
      <vt:lpstr>'205'!OSRRefD20x_9</vt:lpstr>
      <vt:lpstr>'206'!OSRRefD20x_9</vt:lpstr>
      <vt:lpstr>'300'!OSRRefD20x_9</vt:lpstr>
      <vt:lpstr>'300 &amp; 317'!OSRRefD20x_9</vt:lpstr>
      <vt:lpstr>'301'!OSRRefD20x_9</vt:lpstr>
      <vt:lpstr>'307'!OSRRefD20x_9</vt:lpstr>
      <vt:lpstr>'308'!OSRRefD20x_9</vt:lpstr>
      <vt:lpstr>'309'!OSRRefD20x_9</vt:lpstr>
      <vt:lpstr>'310'!OSRRefD20x_9</vt:lpstr>
      <vt:lpstr>'310 &amp; 491'!OSRRefD20x_9</vt:lpstr>
      <vt:lpstr>'311'!OSRRefD20x_9</vt:lpstr>
      <vt:lpstr>'313'!OSRRefD20x_9</vt:lpstr>
      <vt:lpstr>'315'!OSRRefD20x_9</vt:lpstr>
      <vt:lpstr>'316'!OSRRefD20x_9</vt:lpstr>
      <vt:lpstr>'317'!OSRRefD20x_9</vt:lpstr>
      <vt:lpstr>'321'!OSRRefD20x_9</vt:lpstr>
      <vt:lpstr>'322'!OSRRefD20x_9</vt:lpstr>
      <vt:lpstr>'325'!OSRRefD20x_9</vt:lpstr>
      <vt:lpstr>'326'!OSRRefD20x_9</vt:lpstr>
      <vt:lpstr>'327'!OSRRefD20x_9</vt:lpstr>
      <vt:lpstr>'331'!OSRRefD20x_9</vt:lpstr>
      <vt:lpstr>'332'!OSRRefD20x_9</vt:lpstr>
      <vt:lpstr>'333'!OSRRefD20x_9</vt:lpstr>
      <vt:lpstr>'405'!OSRRefD20x_9</vt:lpstr>
      <vt:lpstr>'406'!OSRRefD20x_9</vt:lpstr>
      <vt:lpstr>'411'!OSRRefD20x_9</vt:lpstr>
      <vt:lpstr>'412'!OSRRefD20x_9</vt:lpstr>
      <vt:lpstr>'413'!OSRRefD20x_9</vt:lpstr>
      <vt:lpstr>'414'!OSRRefD20x_9</vt:lpstr>
      <vt:lpstr>'415'!OSRRefD20x_9</vt:lpstr>
      <vt:lpstr>'418'!OSRRefD20x_9</vt:lpstr>
      <vt:lpstr>'423'!OSRRefD20x_9</vt:lpstr>
      <vt:lpstr>'424'!OSRRefD20x_9</vt:lpstr>
      <vt:lpstr>'425'!OSRRefD20x_9</vt:lpstr>
      <vt:lpstr>'430'!OSRRefD20x_9</vt:lpstr>
      <vt:lpstr>'433'!OSRRefD20x_9</vt:lpstr>
      <vt:lpstr>'435'!OSRRefD20x_9</vt:lpstr>
      <vt:lpstr>'444'!OSRRefD20x_9</vt:lpstr>
      <vt:lpstr>'450'!OSRRefD20x_9</vt:lpstr>
      <vt:lpstr>'491'!OSRRefD20x_9</vt:lpstr>
      <vt:lpstr>'492'!OSRRefD20x_9</vt:lpstr>
      <vt:lpstr>'501'!OSRRefD20x_9</vt:lpstr>
      <vt:lpstr>'Div 2'!OSRRefD20x_9</vt:lpstr>
      <vt:lpstr>'Div 3'!OSRRefD20x_9</vt:lpstr>
      <vt:lpstr>'Div 4'!OSRRefD20x_9</vt:lpstr>
      <vt:lpstr>'Div 5'!OSRRefD20x_9</vt:lpstr>
      <vt:lpstr>'Div 6'!OSRRefD20x_9</vt:lpstr>
      <vt:lpstr>Summary!OSRRefD20x_9</vt:lpstr>
      <vt:lpstr>'200'!OSRRefD21_0_0x</vt:lpstr>
      <vt:lpstr>'201'!OSRRefD21_0_0x</vt:lpstr>
      <vt:lpstr>'202'!OSRRefD21_0_0x</vt:lpstr>
      <vt:lpstr>'203'!OSRRefD21_0_0x</vt:lpstr>
      <vt:lpstr>'204'!OSRRefD21_0_0x</vt:lpstr>
      <vt:lpstr>'205'!OSRRefD21_0_0x</vt:lpstr>
      <vt:lpstr>'206'!OSRRefD21_0_0x</vt:lpstr>
      <vt:lpstr>'300'!OSRRefD21_0_0x</vt:lpstr>
      <vt:lpstr>'300 &amp; 317'!OSRRefD21_0_0x</vt:lpstr>
      <vt:lpstr>'301'!OSRRefD21_0_0x</vt:lpstr>
      <vt:lpstr>'307'!OSRRefD21_0_0x</vt:lpstr>
      <vt:lpstr>'308'!OSRRefD21_0_0x</vt:lpstr>
      <vt:lpstr>'309'!OSRRefD21_0_0x</vt:lpstr>
      <vt:lpstr>'310'!OSRRefD21_0_0x</vt:lpstr>
      <vt:lpstr>'310 &amp; 491'!OSRRefD21_0_0x</vt:lpstr>
      <vt:lpstr>'311'!OSRRefD21_0_0x</vt:lpstr>
      <vt:lpstr>'313'!OSRRefD21_0_0x</vt:lpstr>
      <vt:lpstr>'315'!OSRRefD21_0_0x</vt:lpstr>
      <vt:lpstr>'316'!OSRRefD21_0_0x</vt:lpstr>
      <vt:lpstr>'317'!OSRRefD21_0_0x</vt:lpstr>
      <vt:lpstr>'321'!OSRRefD21_0_0x</vt:lpstr>
      <vt:lpstr>'322'!OSRRefD21_0_0x</vt:lpstr>
      <vt:lpstr>'325'!OSRRefD21_0_0x</vt:lpstr>
      <vt:lpstr>'326'!OSRRefD21_0_0x</vt:lpstr>
      <vt:lpstr>'327'!OSRRefD21_0_0x</vt:lpstr>
      <vt:lpstr>'331'!OSRRefD21_0_0x</vt:lpstr>
      <vt:lpstr>'332'!OSRRefD21_0_0x</vt:lpstr>
      <vt:lpstr>'333'!OSRRefD21_0_0x</vt:lpstr>
      <vt:lpstr>'405'!OSRRefD21_0_0x</vt:lpstr>
      <vt:lpstr>'406'!OSRRefD21_0_0x</vt:lpstr>
      <vt:lpstr>'411'!OSRRefD21_0_0x</vt:lpstr>
      <vt:lpstr>'412'!OSRRefD21_0_0x</vt:lpstr>
      <vt:lpstr>'413'!OSRRefD21_0_0x</vt:lpstr>
      <vt:lpstr>'414'!OSRRefD21_0_0x</vt:lpstr>
      <vt:lpstr>'415'!OSRRefD21_0_0x</vt:lpstr>
      <vt:lpstr>'418'!OSRRefD21_0_0x</vt:lpstr>
      <vt:lpstr>'423'!OSRRefD21_0_0x</vt:lpstr>
      <vt:lpstr>'424'!OSRRefD21_0_0x</vt:lpstr>
      <vt:lpstr>'425'!OSRRefD21_0_0x</vt:lpstr>
      <vt:lpstr>'430'!OSRRefD21_0_0x</vt:lpstr>
      <vt:lpstr>'433'!OSRRefD21_0_0x</vt:lpstr>
      <vt:lpstr>'435'!OSRRefD21_0_0x</vt:lpstr>
      <vt:lpstr>'444'!OSRRefD21_0_0x</vt:lpstr>
      <vt:lpstr>'450'!OSRRefD21_0_0x</vt:lpstr>
      <vt:lpstr>'491'!OSRRefD21_0_0x</vt:lpstr>
      <vt:lpstr>'492'!OSRRefD21_0_0x</vt:lpstr>
      <vt:lpstr>'501'!OSRRefD21_0_0x</vt:lpstr>
      <vt:lpstr>'Div 2'!OSRRefD21_0_0x</vt:lpstr>
      <vt:lpstr>'Div 3'!OSRRefD21_0_0x</vt:lpstr>
      <vt:lpstr>'Div 4'!OSRRefD21_0_0x</vt:lpstr>
      <vt:lpstr>'Div 5'!OSRRefD21_0_0x</vt:lpstr>
      <vt:lpstr>'Div 6'!OSRRefD21_0_0x</vt:lpstr>
      <vt:lpstr>Summary!OSRRefD21_0_0x</vt:lpstr>
      <vt:lpstr>'Div 2'!OSRRefD21_0_10x</vt:lpstr>
      <vt:lpstr>'201'!OSRRefD21_0_1x</vt:lpstr>
      <vt:lpstr>'202'!OSRRefD21_0_1x</vt:lpstr>
      <vt:lpstr>'203'!OSRRefD21_0_1x</vt:lpstr>
      <vt:lpstr>'204'!OSRRefD21_0_1x</vt:lpstr>
      <vt:lpstr>'205'!OSRRefD21_0_1x</vt:lpstr>
      <vt:lpstr>'206'!OSRRefD21_0_1x</vt:lpstr>
      <vt:lpstr>'300'!OSRRefD21_0_1x</vt:lpstr>
      <vt:lpstr>'300 &amp; 317'!OSRRefD21_0_1x</vt:lpstr>
      <vt:lpstr>'301'!OSRRefD21_0_1x</vt:lpstr>
      <vt:lpstr>'307'!OSRRefD21_0_1x</vt:lpstr>
      <vt:lpstr>'308'!OSRRefD21_0_1x</vt:lpstr>
      <vt:lpstr>'309'!OSRRefD21_0_1x</vt:lpstr>
      <vt:lpstr>'310'!OSRRefD21_0_1x</vt:lpstr>
      <vt:lpstr>'310 &amp; 491'!OSRRefD21_0_1x</vt:lpstr>
      <vt:lpstr>'311'!OSRRefD21_0_1x</vt:lpstr>
      <vt:lpstr>'315'!OSRRefD21_0_1x</vt:lpstr>
      <vt:lpstr>'316'!OSRRefD21_0_1x</vt:lpstr>
      <vt:lpstr>'317'!OSRRefD21_0_1x</vt:lpstr>
      <vt:lpstr>'321'!OSRRefD21_0_1x</vt:lpstr>
      <vt:lpstr>'325'!OSRRefD21_0_1x</vt:lpstr>
      <vt:lpstr>'326'!OSRRefD21_0_1x</vt:lpstr>
      <vt:lpstr>'331'!OSRRefD21_0_1x</vt:lpstr>
      <vt:lpstr>'332'!OSRRefD21_0_1x</vt:lpstr>
      <vt:lpstr>'333'!OSRRefD21_0_1x</vt:lpstr>
      <vt:lpstr>'405'!OSRRefD21_0_1x</vt:lpstr>
      <vt:lpstr>'411'!OSRRefD21_0_1x</vt:lpstr>
      <vt:lpstr>'415'!OSRRefD21_0_1x</vt:lpstr>
      <vt:lpstr>'418'!OSRRefD21_0_1x</vt:lpstr>
      <vt:lpstr>'423'!OSRRefD21_0_1x</vt:lpstr>
      <vt:lpstr>'430'!OSRRefD21_0_1x</vt:lpstr>
      <vt:lpstr>'433'!OSRRefD21_0_1x</vt:lpstr>
      <vt:lpstr>'435'!OSRRefD21_0_1x</vt:lpstr>
      <vt:lpstr>'444'!OSRRefD21_0_1x</vt:lpstr>
      <vt:lpstr>'450'!OSRRefD21_0_1x</vt:lpstr>
      <vt:lpstr>'491'!OSRRefD21_0_1x</vt:lpstr>
      <vt:lpstr>'492'!OSRRefD21_0_1x</vt:lpstr>
      <vt:lpstr>'501'!OSRRefD21_0_1x</vt:lpstr>
      <vt:lpstr>'Div 2'!OSRRefD21_0_1x</vt:lpstr>
      <vt:lpstr>'Div 3'!OSRRefD21_0_1x</vt:lpstr>
      <vt:lpstr>'Div 4'!OSRRefD21_0_1x</vt:lpstr>
      <vt:lpstr>'Div 5'!OSRRefD21_0_1x</vt:lpstr>
      <vt:lpstr>'Div 6'!OSRRefD21_0_1x</vt:lpstr>
      <vt:lpstr>Summary!OSRRefD21_0_1x</vt:lpstr>
      <vt:lpstr>'201'!OSRRefD21_0_2x</vt:lpstr>
      <vt:lpstr>'202'!OSRRefD21_0_2x</vt:lpstr>
      <vt:lpstr>'203'!OSRRefD21_0_2x</vt:lpstr>
      <vt:lpstr>'204'!OSRRefD21_0_2x</vt:lpstr>
      <vt:lpstr>'205'!OSRRefD21_0_2x</vt:lpstr>
      <vt:lpstr>'206'!OSRRefD21_0_2x</vt:lpstr>
      <vt:lpstr>'300'!OSRRefD21_0_2x</vt:lpstr>
      <vt:lpstr>'300 &amp; 317'!OSRRefD21_0_2x</vt:lpstr>
      <vt:lpstr>'301'!OSRRefD21_0_2x</vt:lpstr>
      <vt:lpstr>'307'!OSRRefD21_0_2x</vt:lpstr>
      <vt:lpstr>'308'!OSRRefD21_0_2x</vt:lpstr>
      <vt:lpstr>'310'!OSRRefD21_0_2x</vt:lpstr>
      <vt:lpstr>'310 &amp; 491'!OSRRefD21_0_2x</vt:lpstr>
      <vt:lpstr>'311'!OSRRefD21_0_2x</vt:lpstr>
      <vt:lpstr>'315'!OSRRefD21_0_2x</vt:lpstr>
      <vt:lpstr>'316'!OSRRefD21_0_2x</vt:lpstr>
      <vt:lpstr>'317'!OSRRefD21_0_2x</vt:lpstr>
      <vt:lpstr>'321'!OSRRefD21_0_2x</vt:lpstr>
      <vt:lpstr>'325'!OSRRefD21_0_2x</vt:lpstr>
      <vt:lpstr>'326'!OSRRefD21_0_2x</vt:lpstr>
      <vt:lpstr>'331'!OSRRefD21_0_2x</vt:lpstr>
      <vt:lpstr>'332'!OSRRefD21_0_2x</vt:lpstr>
      <vt:lpstr>'333'!OSRRefD21_0_2x</vt:lpstr>
      <vt:lpstr>'405'!OSRRefD21_0_2x</vt:lpstr>
      <vt:lpstr>'411'!OSRRefD21_0_2x</vt:lpstr>
      <vt:lpstr>'415'!OSRRefD21_0_2x</vt:lpstr>
      <vt:lpstr>'418'!OSRRefD21_0_2x</vt:lpstr>
      <vt:lpstr>'423'!OSRRefD21_0_2x</vt:lpstr>
      <vt:lpstr>'430'!OSRRefD21_0_2x</vt:lpstr>
      <vt:lpstr>'433'!OSRRefD21_0_2x</vt:lpstr>
      <vt:lpstr>'444'!OSRRefD21_0_2x</vt:lpstr>
      <vt:lpstr>'450'!OSRRefD21_0_2x</vt:lpstr>
      <vt:lpstr>'491'!OSRRefD21_0_2x</vt:lpstr>
      <vt:lpstr>'492'!OSRRefD21_0_2x</vt:lpstr>
      <vt:lpstr>'501'!OSRRefD21_0_2x</vt:lpstr>
      <vt:lpstr>'Div 2'!OSRRefD21_0_2x</vt:lpstr>
      <vt:lpstr>'Div 3'!OSRRefD21_0_2x</vt:lpstr>
      <vt:lpstr>'Div 4'!OSRRefD21_0_2x</vt:lpstr>
      <vt:lpstr>'Div 5'!OSRRefD21_0_2x</vt:lpstr>
      <vt:lpstr>'Div 6'!OSRRefD21_0_2x</vt:lpstr>
      <vt:lpstr>Summary!OSRRefD21_0_2x</vt:lpstr>
      <vt:lpstr>'201'!OSRRefD21_0_3x</vt:lpstr>
      <vt:lpstr>'202'!OSRRefD21_0_3x</vt:lpstr>
      <vt:lpstr>'203'!OSRRefD21_0_3x</vt:lpstr>
      <vt:lpstr>'204'!OSRRefD21_0_3x</vt:lpstr>
      <vt:lpstr>'205'!OSRRefD21_0_3x</vt:lpstr>
      <vt:lpstr>'206'!OSRRefD21_0_3x</vt:lpstr>
      <vt:lpstr>'300'!OSRRefD21_0_3x</vt:lpstr>
      <vt:lpstr>'300 &amp; 317'!OSRRefD21_0_3x</vt:lpstr>
      <vt:lpstr>'301'!OSRRefD21_0_3x</vt:lpstr>
      <vt:lpstr>'307'!OSRRefD21_0_3x</vt:lpstr>
      <vt:lpstr>'308'!OSRRefD21_0_3x</vt:lpstr>
      <vt:lpstr>'310'!OSRRefD21_0_3x</vt:lpstr>
      <vt:lpstr>'310 &amp; 491'!OSRRefD21_0_3x</vt:lpstr>
      <vt:lpstr>'311'!OSRRefD21_0_3x</vt:lpstr>
      <vt:lpstr>'315'!OSRRefD21_0_3x</vt:lpstr>
      <vt:lpstr>'316'!OSRRefD21_0_3x</vt:lpstr>
      <vt:lpstr>'317'!OSRRefD21_0_3x</vt:lpstr>
      <vt:lpstr>'321'!OSRRefD21_0_3x</vt:lpstr>
      <vt:lpstr>'325'!OSRRefD21_0_3x</vt:lpstr>
      <vt:lpstr>'326'!OSRRefD21_0_3x</vt:lpstr>
      <vt:lpstr>'331'!OSRRefD21_0_3x</vt:lpstr>
      <vt:lpstr>'332'!OSRRefD21_0_3x</vt:lpstr>
      <vt:lpstr>'333'!OSRRefD21_0_3x</vt:lpstr>
      <vt:lpstr>'405'!OSRRefD21_0_3x</vt:lpstr>
      <vt:lpstr>'411'!OSRRefD21_0_3x</vt:lpstr>
      <vt:lpstr>'415'!OSRRefD21_0_3x</vt:lpstr>
      <vt:lpstr>'418'!OSRRefD21_0_3x</vt:lpstr>
      <vt:lpstr>'423'!OSRRefD21_0_3x</vt:lpstr>
      <vt:lpstr>'430'!OSRRefD21_0_3x</vt:lpstr>
      <vt:lpstr>'433'!OSRRefD21_0_3x</vt:lpstr>
      <vt:lpstr>'444'!OSRRefD21_0_3x</vt:lpstr>
      <vt:lpstr>'450'!OSRRefD21_0_3x</vt:lpstr>
      <vt:lpstr>'491'!OSRRefD21_0_3x</vt:lpstr>
      <vt:lpstr>'492'!OSRRefD21_0_3x</vt:lpstr>
      <vt:lpstr>'501'!OSRRefD21_0_3x</vt:lpstr>
      <vt:lpstr>'Div 2'!OSRRefD21_0_3x</vt:lpstr>
      <vt:lpstr>'Div 3'!OSRRefD21_0_3x</vt:lpstr>
      <vt:lpstr>'Div 4'!OSRRefD21_0_3x</vt:lpstr>
      <vt:lpstr>'Div 5'!OSRRefD21_0_3x</vt:lpstr>
      <vt:lpstr>'Div 6'!OSRRefD21_0_3x</vt:lpstr>
      <vt:lpstr>Summary!OSRRefD21_0_3x</vt:lpstr>
      <vt:lpstr>'201'!OSRRefD21_0_4x</vt:lpstr>
      <vt:lpstr>'202'!OSRRefD21_0_4x</vt:lpstr>
      <vt:lpstr>'203'!OSRRefD21_0_4x</vt:lpstr>
      <vt:lpstr>'204'!OSRRefD21_0_4x</vt:lpstr>
      <vt:lpstr>'205'!OSRRefD21_0_4x</vt:lpstr>
      <vt:lpstr>'206'!OSRRefD21_0_4x</vt:lpstr>
      <vt:lpstr>'300'!OSRRefD21_0_4x</vt:lpstr>
      <vt:lpstr>'300 &amp; 317'!OSRRefD21_0_4x</vt:lpstr>
      <vt:lpstr>'301'!OSRRefD21_0_4x</vt:lpstr>
      <vt:lpstr>'307'!OSRRefD21_0_4x</vt:lpstr>
      <vt:lpstr>'308'!OSRRefD21_0_4x</vt:lpstr>
      <vt:lpstr>'310'!OSRRefD21_0_4x</vt:lpstr>
      <vt:lpstr>'310 &amp; 491'!OSRRefD21_0_4x</vt:lpstr>
      <vt:lpstr>'311'!OSRRefD21_0_4x</vt:lpstr>
      <vt:lpstr>'315'!OSRRefD21_0_4x</vt:lpstr>
      <vt:lpstr>'316'!OSRRefD21_0_4x</vt:lpstr>
      <vt:lpstr>'317'!OSRRefD21_0_4x</vt:lpstr>
      <vt:lpstr>'321'!OSRRefD21_0_4x</vt:lpstr>
      <vt:lpstr>'325'!OSRRefD21_0_4x</vt:lpstr>
      <vt:lpstr>'326'!OSRRefD21_0_4x</vt:lpstr>
      <vt:lpstr>'331'!OSRRefD21_0_4x</vt:lpstr>
      <vt:lpstr>'332'!OSRRefD21_0_4x</vt:lpstr>
      <vt:lpstr>'333'!OSRRefD21_0_4x</vt:lpstr>
      <vt:lpstr>'405'!OSRRefD21_0_4x</vt:lpstr>
      <vt:lpstr>'411'!OSRRefD21_0_4x</vt:lpstr>
      <vt:lpstr>'415'!OSRRefD21_0_4x</vt:lpstr>
      <vt:lpstr>'418'!OSRRefD21_0_4x</vt:lpstr>
      <vt:lpstr>'423'!OSRRefD21_0_4x</vt:lpstr>
      <vt:lpstr>'430'!OSRRefD21_0_4x</vt:lpstr>
      <vt:lpstr>'433'!OSRRefD21_0_4x</vt:lpstr>
      <vt:lpstr>'444'!OSRRefD21_0_4x</vt:lpstr>
      <vt:lpstr>'450'!OSRRefD21_0_4x</vt:lpstr>
      <vt:lpstr>'491'!OSRRefD21_0_4x</vt:lpstr>
      <vt:lpstr>'492'!OSRRefD21_0_4x</vt:lpstr>
      <vt:lpstr>'501'!OSRRefD21_0_4x</vt:lpstr>
      <vt:lpstr>'Div 2'!OSRRefD21_0_4x</vt:lpstr>
      <vt:lpstr>'Div 3'!OSRRefD21_0_4x</vt:lpstr>
      <vt:lpstr>'Div 4'!OSRRefD21_0_4x</vt:lpstr>
      <vt:lpstr>'Div 5'!OSRRefD21_0_4x</vt:lpstr>
      <vt:lpstr>'Div 6'!OSRRefD21_0_4x</vt:lpstr>
      <vt:lpstr>Summary!OSRRefD21_0_4x</vt:lpstr>
      <vt:lpstr>'201'!OSRRefD21_0_5x</vt:lpstr>
      <vt:lpstr>'202'!OSRRefD21_0_5x</vt:lpstr>
      <vt:lpstr>'203'!OSRRefD21_0_5x</vt:lpstr>
      <vt:lpstr>'204'!OSRRefD21_0_5x</vt:lpstr>
      <vt:lpstr>'205'!OSRRefD21_0_5x</vt:lpstr>
      <vt:lpstr>'206'!OSRRefD21_0_5x</vt:lpstr>
      <vt:lpstr>'300'!OSRRefD21_0_5x</vt:lpstr>
      <vt:lpstr>'300 &amp; 317'!OSRRefD21_0_5x</vt:lpstr>
      <vt:lpstr>'301'!OSRRefD21_0_5x</vt:lpstr>
      <vt:lpstr>'307'!OSRRefD21_0_5x</vt:lpstr>
      <vt:lpstr>'308'!OSRRefD21_0_5x</vt:lpstr>
      <vt:lpstr>'310'!OSRRefD21_0_5x</vt:lpstr>
      <vt:lpstr>'310 &amp; 491'!OSRRefD21_0_5x</vt:lpstr>
      <vt:lpstr>'311'!OSRRefD21_0_5x</vt:lpstr>
      <vt:lpstr>'315'!OSRRefD21_0_5x</vt:lpstr>
      <vt:lpstr>'316'!OSRRefD21_0_5x</vt:lpstr>
      <vt:lpstr>'317'!OSRRefD21_0_5x</vt:lpstr>
      <vt:lpstr>'321'!OSRRefD21_0_5x</vt:lpstr>
      <vt:lpstr>'325'!OSRRefD21_0_5x</vt:lpstr>
      <vt:lpstr>'326'!OSRRefD21_0_5x</vt:lpstr>
      <vt:lpstr>'331'!OSRRefD21_0_5x</vt:lpstr>
      <vt:lpstr>'332'!OSRRefD21_0_5x</vt:lpstr>
      <vt:lpstr>'333'!OSRRefD21_0_5x</vt:lpstr>
      <vt:lpstr>'405'!OSRRefD21_0_5x</vt:lpstr>
      <vt:lpstr>'411'!OSRRefD21_0_5x</vt:lpstr>
      <vt:lpstr>'415'!OSRRefD21_0_5x</vt:lpstr>
      <vt:lpstr>'418'!OSRRefD21_0_5x</vt:lpstr>
      <vt:lpstr>'423'!OSRRefD21_0_5x</vt:lpstr>
      <vt:lpstr>'430'!OSRRefD21_0_5x</vt:lpstr>
      <vt:lpstr>'433'!OSRRefD21_0_5x</vt:lpstr>
      <vt:lpstr>'444'!OSRRefD21_0_5x</vt:lpstr>
      <vt:lpstr>'450'!OSRRefD21_0_5x</vt:lpstr>
      <vt:lpstr>'491'!OSRRefD21_0_5x</vt:lpstr>
      <vt:lpstr>'492'!OSRRefD21_0_5x</vt:lpstr>
      <vt:lpstr>'501'!OSRRefD21_0_5x</vt:lpstr>
      <vt:lpstr>'Div 2'!OSRRefD21_0_5x</vt:lpstr>
      <vt:lpstr>'Div 3'!OSRRefD21_0_5x</vt:lpstr>
      <vt:lpstr>'Div 4'!OSRRefD21_0_5x</vt:lpstr>
      <vt:lpstr>'Div 5'!OSRRefD21_0_5x</vt:lpstr>
      <vt:lpstr>'Div 6'!OSRRefD21_0_5x</vt:lpstr>
      <vt:lpstr>Summary!OSRRefD21_0_5x</vt:lpstr>
      <vt:lpstr>'201'!OSRRefD21_0_6x</vt:lpstr>
      <vt:lpstr>'202'!OSRRefD21_0_6x</vt:lpstr>
      <vt:lpstr>'203'!OSRRefD21_0_6x</vt:lpstr>
      <vt:lpstr>'204'!OSRRefD21_0_6x</vt:lpstr>
      <vt:lpstr>'205'!OSRRefD21_0_6x</vt:lpstr>
      <vt:lpstr>'206'!OSRRefD21_0_6x</vt:lpstr>
      <vt:lpstr>'300'!OSRRefD21_0_6x</vt:lpstr>
      <vt:lpstr>'300 &amp; 317'!OSRRefD21_0_6x</vt:lpstr>
      <vt:lpstr>'301'!OSRRefD21_0_6x</vt:lpstr>
      <vt:lpstr>'307'!OSRRefD21_0_6x</vt:lpstr>
      <vt:lpstr>'308'!OSRRefD21_0_6x</vt:lpstr>
      <vt:lpstr>'310'!OSRRefD21_0_6x</vt:lpstr>
      <vt:lpstr>'310 &amp; 491'!OSRRefD21_0_6x</vt:lpstr>
      <vt:lpstr>'311'!OSRRefD21_0_6x</vt:lpstr>
      <vt:lpstr>'315'!OSRRefD21_0_6x</vt:lpstr>
      <vt:lpstr>'316'!OSRRefD21_0_6x</vt:lpstr>
      <vt:lpstr>'317'!OSRRefD21_0_6x</vt:lpstr>
      <vt:lpstr>'321'!OSRRefD21_0_6x</vt:lpstr>
      <vt:lpstr>'325'!OSRRefD21_0_6x</vt:lpstr>
      <vt:lpstr>'326'!OSRRefD21_0_6x</vt:lpstr>
      <vt:lpstr>'331'!OSRRefD21_0_6x</vt:lpstr>
      <vt:lpstr>'332'!OSRRefD21_0_6x</vt:lpstr>
      <vt:lpstr>'333'!OSRRefD21_0_6x</vt:lpstr>
      <vt:lpstr>'405'!OSRRefD21_0_6x</vt:lpstr>
      <vt:lpstr>'411'!OSRRefD21_0_6x</vt:lpstr>
      <vt:lpstr>'415'!OSRRefD21_0_6x</vt:lpstr>
      <vt:lpstr>'418'!OSRRefD21_0_6x</vt:lpstr>
      <vt:lpstr>'423'!OSRRefD21_0_6x</vt:lpstr>
      <vt:lpstr>'430'!OSRRefD21_0_6x</vt:lpstr>
      <vt:lpstr>'433'!OSRRefD21_0_6x</vt:lpstr>
      <vt:lpstr>'444'!OSRRefD21_0_6x</vt:lpstr>
      <vt:lpstr>'450'!OSRRefD21_0_6x</vt:lpstr>
      <vt:lpstr>'491'!OSRRefD21_0_6x</vt:lpstr>
      <vt:lpstr>'492'!OSRRefD21_0_6x</vt:lpstr>
      <vt:lpstr>'501'!OSRRefD21_0_6x</vt:lpstr>
      <vt:lpstr>'Div 2'!OSRRefD21_0_6x</vt:lpstr>
      <vt:lpstr>'Div 3'!OSRRefD21_0_6x</vt:lpstr>
      <vt:lpstr>'Div 4'!OSRRefD21_0_6x</vt:lpstr>
      <vt:lpstr>'Div 5'!OSRRefD21_0_6x</vt:lpstr>
      <vt:lpstr>'Div 6'!OSRRefD21_0_6x</vt:lpstr>
      <vt:lpstr>Summary!OSRRefD21_0_6x</vt:lpstr>
      <vt:lpstr>'201'!OSRRefD21_0_7x</vt:lpstr>
      <vt:lpstr>'202'!OSRRefD21_0_7x</vt:lpstr>
      <vt:lpstr>'203'!OSRRefD21_0_7x</vt:lpstr>
      <vt:lpstr>'204'!OSRRefD21_0_7x</vt:lpstr>
      <vt:lpstr>'205'!OSRRefD21_0_7x</vt:lpstr>
      <vt:lpstr>'206'!OSRRefD21_0_7x</vt:lpstr>
      <vt:lpstr>'300'!OSRRefD21_0_7x</vt:lpstr>
      <vt:lpstr>'300 &amp; 317'!OSRRefD21_0_7x</vt:lpstr>
      <vt:lpstr>'301'!OSRRefD21_0_7x</vt:lpstr>
      <vt:lpstr>'307'!OSRRefD21_0_7x</vt:lpstr>
      <vt:lpstr>'308'!OSRRefD21_0_7x</vt:lpstr>
      <vt:lpstr>'310'!OSRRefD21_0_7x</vt:lpstr>
      <vt:lpstr>'310 &amp; 491'!OSRRefD21_0_7x</vt:lpstr>
      <vt:lpstr>'311'!OSRRefD21_0_7x</vt:lpstr>
      <vt:lpstr>'315'!OSRRefD21_0_7x</vt:lpstr>
      <vt:lpstr>'316'!OSRRefD21_0_7x</vt:lpstr>
      <vt:lpstr>'317'!OSRRefD21_0_7x</vt:lpstr>
      <vt:lpstr>'321'!OSRRefD21_0_7x</vt:lpstr>
      <vt:lpstr>'325'!OSRRefD21_0_7x</vt:lpstr>
      <vt:lpstr>'326'!OSRRefD21_0_7x</vt:lpstr>
      <vt:lpstr>'331'!OSRRefD21_0_7x</vt:lpstr>
      <vt:lpstr>'332'!OSRRefD21_0_7x</vt:lpstr>
      <vt:lpstr>'333'!OSRRefD21_0_7x</vt:lpstr>
      <vt:lpstr>'405'!OSRRefD21_0_7x</vt:lpstr>
      <vt:lpstr>'411'!OSRRefD21_0_7x</vt:lpstr>
      <vt:lpstr>'415'!OSRRefD21_0_7x</vt:lpstr>
      <vt:lpstr>'418'!OSRRefD21_0_7x</vt:lpstr>
      <vt:lpstr>'423'!OSRRefD21_0_7x</vt:lpstr>
      <vt:lpstr>'430'!OSRRefD21_0_7x</vt:lpstr>
      <vt:lpstr>'433'!OSRRefD21_0_7x</vt:lpstr>
      <vt:lpstr>'444'!OSRRefD21_0_7x</vt:lpstr>
      <vt:lpstr>'450'!OSRRefD21_0_7x</vt:lpstr>
      <vt:lpstr>'491'!OSRRefD21_0_7x</vt:lpstr>
      <vt:lpstr>'492'!OSRRefD21_0_7x</vt:lpstr>
      <vt:lpstr>'501'!OSRRefD21_0_7x</vt:lpstr>
      <vt:lpstr>'Div 2'!OSRRefD21_0_7x</vt:lpstr>
      <vt:lpstr>'Div 3'!OSRRefD21_0_7x</vt:lpstr>
      <vt:lpstr>'Div 4'!OSRRefD21_0_7x</vt:lpstr>
      <vt:lpstr>'Div 5'!OSRRefD21_0_7x</vt:lpstr>
      <vt:lpstr>'Div 6'!OSRRefD21_0_7x</vt:lpstr>
      <vt:lpstr>Summary!OSRRefD21_0_7x</vt:lpstr>
      <vt:lpstr>'201'!OSRRefD21_0_8x</vt:lpstr>
      <vt:lpstr>'202'!OSRRefD21_0_8x</vt:lpstr>
      <vt:lpstr>'203'!OSRRefD21_0_8x</vt:lpstr>
      <vt:lpstr>'204'!OSRRefD21_0_8x</vt:lpstr>
      <vt:lpstr>'205'!OSRRefD21_0_8x</vt:lpstr>
      <vt:lpstr>'206'!OSRRefD21_0_8x</vt:lpstr>
      <vt:lpstr>'300'!OSRRefD21_0_8x</vt:lpstr>
      <vt:lpstr>'300 &amp; 317'!OSRRefD21_0_8x</vt:lpstr>
      <vt:lpstr>'301'!OSRRefD21_0_8x</vt:lpstr>
      <vt:lpstr>'307'!OSRRefD21_0_8x</vt:lpstr>
      <vt:lpstr>'308'!OSRRefD21_0_8x</vt:lpstr>
      <vt:lpstr>'310'!OSRRefD21_0_8x</vt:lpstr>
      <vt:lpstr>'310 &amp; 491'!OSRRefD21_0_8x</vt:lpstr>
      <vt:lpstr>'311'!OSRRefD21_0_8x</vt:lpstr>
      <vt:lpstr>'315'!OSRRefD21_0_8x</vt:lpstr>
      <vt:lpstr>'316'!OSRRefD21_0_8x</vt:lpstr>
      <vt:lpstr>'317'!OSRRefD21_0_8x</vt:lpstr>
      <vt:lpstr>'321'!OSRRefD21_0_8x</vt:lpstr>
      <vt:lpstr>'325'!OSRRefD21_0_8x</vt:lpstr>
      <vt:lpstr>'326'!OSRRefD21_0_8x</vt:lpstr>
      <vt:lpstr>'331'!OSRRefD21_0_8x</vt:lpstr>
      <vt:lpstr>'332'!OSRRefD21_0_8x</vt:lpstr>
      <vt:lpstr>'333'!OSRRefD21_0_8x</vt:lpstr>
      <vt:lpstr>'405'!OSRRefD21_0_8x</vt:lpstr>
      <vt:lpstr>'411'!OSRRefD21_0_8x</vt:lpstr>
      <vt:lpstr>'415'!OSRRefD21_0_8x</vt:lpstr>
      <vt:lpstr>'418'!OSRRefD21_0_8x</vt:lpstr>
      <vt:lpstr>'430'!OSRRefD21_0_8x</vt:lpstr>
      <vt:lpstr>'433'!OSRRefD21_0_8x</vt:lpstr>
      <vt:lpstr>'444'!OSRRefD21_0_8x</vt:lpstr>
      <vt:lpstr>'450'!OSRRefD21_0_8x</vt:lpstr>
      <vt:lpstr>'491'!OSRRefD21_0_8x</vt:lpstr>
      <vt:lpstr>'492'!OSRRefD21_0_8x</vt:lpstr>
      <vt:lpstr>'501'!OSRRefD21_0_8x</vt:lpstr>
      <vt:lpstr>'Div 2'!OSRRefD21_0_8x</vt:lpstr>
      <vt:lpstr>'Div 3'!OSRRefD21_0_8x</vt:lpstr>
      <vt:lpstr>'Div 4'!OSRRefD21_0_8x</vt:lpstr>
      <vt:lpstr>'Div 5'!OSRRefD21_0_8x</vt:lpstr>
      <vt:lpstr>'Div 6'!OSRRefD21_0_8x</vt:lpstr>
      <vt:lpstr>Summary!OSRRefD21_0_8x</vt:lpstr>
      <vt:lpstr>'203'!OSRRefD21_0_9x</vt:lpstr>
      <vt:lpstr>'300'!OSRRefD21_0_9x</vt:lpstr>
      <vt:lpstr>'300 &amp; 317'!OSRRefD21_0_9x</vt:lpstr>
      <vt:lpstr>'301'!OSRRefD21_0_9x</vt:lpstr>
      <vt:lpstr>'308'!OSRRefD21_0_9x</vt:lpstr>
      <vt:lpstr>'310'!OSRRefD21_0_9x</vt:lpstr>
      <vt:lpstr>'310 &amp; 491'!OSRRefD21_0_9x</vt:lpstr>
      <vt:lpstr>'311'!OSRRefD21_0_9x</vt:lpstr>
      <vt:lpstr>'317'!OSRRefD21_0_9x</vt:lpstr>
      <vt:lpstr>'321'!OSRRefD21_0_9x</vt:lpstr>
      <vt:lpstr>'415'!OSRRefD21_0_9x</vt:lpstr>
      <vt:lpstr>'433'!OSRRefD21_0_9x</vt:lpstr>
      <vt:lpstr>'444'!OSRRefD21_0_9x</vt:lpstr>
      <vt:lpstr>'450'!OSRRefD21_0_9x</vt:lpstr>
      <vt:lpstr>'491'!OSRRefD21_0_9x</vt:lpstr>
      <vt:lpstr>'492'!OSRRefD21_0_9x</vt:lpstr>
      <vt:lpstr>'501'!OSRRefD21_0_9x</vt:lpstr>
      <vt:lpstr>'Div 2'!OSRRefD21_0_9x</vt:lpstr>
      <vt:lpstr>'Div 3'!OSRRefD21_0_9x</vt:lpstr>
      <vt:lpstr>'Div 4'!OSRRefD21_0_9x</vt:lpstr>
      <vt:lpstr>'Div 5'!OSRRefD21_0_9x</vt:lpstr>
      <vt:lpstr>'Div 6'!OSRRefD21_0_9x</vt:lpstr>
      <vt:lpstr>Summary!OSRRefD21_0_9x</vt:lpstr>
      <vt:lpstr>'200'!OSRRefD21_0x_0</vt:lpstr>
      <vt:lpstr>'201'!OSRRefD21_0x_0</vt:lpstr>
      <vt:lpstr>'202'!OSRRefD21_0x_0</vt:lpstr>
      <vt:lpstr>'203'!OSRRefD21_0x_0</vt:lpstr>
      <vt:lpstr>'204'!OSRRefD21_0x_0</vt:lpstr>
      <vt:lpstr>'205'!OSRRefD21_0x_0</vt:lpstr>
      <vt:lpstr>'206'!OSRRefD21_0x_0</vt:lpstr>
      <vt:lpstr>'300'!OSRRefD21_0x_0</vt:lpstr>
      <vt:lpstr>'300 &amp; 317'!OSRRefD21_0x_0</vt:lpstr>
      <vt:lpstr>'301'!OSRRefD21_0x_0</vt:lpstr>
      <vt:lpstr>'307'!OSRRefD21_0x_0</vt:lpstr>
      <vt:lpstr>'308'!OSRRefD21_0x_0</vt:lpstr>
      <vt:lpstr>'309'!OSRRefD21_0x_0</vt:lpstr>
      <vt:lpstr>'310'!OSRRefD21_0x_0</vt:lpstr>
      <vt:lpstr>'310 &amp; 491'!OSRRefD21_0x_0</vt:lpstr>
      <vt:lpstr>'311'!OSRRefD21_0x_0</vt:lpstr>
      <vt:lpstr>'313'!OSRRefD21_0x_0</vt:lpstr>
      <vt:lpstr>'315'!OSRRefD21_0x_0</vt:lpstr>
      <vt:lpstr>'316'!OSRRefD21_0x_0</vt:lpstr>
      <vt:lpstr>'317'!OSRRefD21_0x_0</vt:lpstr>
      <vt:lpstr>'321'!OSRRefD21_0x_0</vt:lpstr>
      <vt:lpstr>'322'!OSRRefD21_0x_0</vt:lpstr>
      <vt:lpstr>'325'!OSRRefD21_0x_0</vt:lpstr>
      <vt:lpstr>'326'!OSRRefD21_0x_0</vt:lpstr>
      <vt:lpstr>'327'!OSRRefD21_0x_0</vt:lpstr>
      <vt:lpstr>'331'!OSRRefD21_0x_0</vt:lpstr>
      <vt:lpstr>'332'!OSRRefD21_0x_0</vt:lpstr>
      <vt:lpstr>'333'!OSRRefD21_0x_0</vt:lpstr>
      <vt:lpstr>'405'!OSRRefD21_0x_0</vt:lpstr>
      <vt:lpstr>'406'!OSRRefD21_0x_0</vt:lpstr>
      <vt:lpstr>'411'!OSRRefD21_0x_0</vt:lpstr>
      <vt:lpstr>'412'!OSRRefD21_0x_0</vt:lpstr>
      <vt:lpstr>'413'!OSRRefD21_0x_0</vt:lpstr>
      <vt:lpstr>'414'!OSRRefD21_0x_0</vt:lpstr>
      <vt:lpstr>'415'!OSRRefD21_0x_0</vt:lpstr>
      <vt:lpstr>'418'!OSRRefD21_0x_0</vt:lpstr>
      <vt:lpstr>'423'!OSRRefD21_0x_0</vt:lpstr>
      <vt:lpstr>'424'!OSRRefD21_0x_0</vt:lpstr>
      <vt:lpstr>'425'!OSRRefD21_0x_0</vt:lpstr>
      <vt:lpstr>'430'!OSRRefD21_0x_0</vt:lpstr>
      <vt:lpstr>'433'!OSRRefD21_0x_0</vt:lpstr>
      <vt:lpstr>'435'!OSRRefD21_0x_0</vt:lpstr>
      <vt:lpstr>'444'!OSRRefD21_0x_0</vt:lpstr>
      <vt:lpstr>'450'!OSRRefD21_0x_0</vt:lpstr>
      <vt:lpstr>'491'!OSRRefD21_0x_0</vt:lpstr>
      <vt:lpstr>'492'!OSRRefD21_0x_0</vt:lpstr>
      <vt:lpstr>'501'!OSRRefD21_0x_0</vt:lpstr>
      <vt:lpstr>'Div 2'!OSRRefD21_0x_0</vt:lpstr>
      <vt:lpstr>'Div 3'!OSRRefD21_0x_0</vt:lpstr>
      <vt:lpstr>'Div 4'!OSRRefD21_0x_0</vt:lpstr>
      <vt:lpstr>'Div 5'!OSRRefD21_0x_0</vt:lpstr>
      <vt:lpstr>'Div 6'!OSRRefD21_0x_0</vt:lpstr>
      <vt:lpstr>Summary!OSRRefD21_0x_0</vt:lpstr>
      <vt:lpstr>'200'!OSRRefD21_0x_1</vt:lpstr>
      <vt:lpstr>'201'!OSRRefD21_0x_1</vt:lpstr>
      <vt:lpstr>'202'!OSRRefD21_0x_1</vt:lpstr>
      <vt:lpstr>'203'!OSRRefD21_0x_1</vt:lpstr>
      <vt:lpstr>'204'!OSRRefD21_0x_1</vt:lpstr>
      <vt:lpstr>'205'!OSRRefD21_0x_1</vt:lpstr>
      <vt:lpstr>'206'!OSRRefD21_0x_1</vt:lpstr>
      <vt:lpstr>'300'!OSRRefD21_0x_1</vt:lpstr>
      <vt:lpstr>'300 &amp; 317'!OSRRefD21_0x_1</vt:lpstr>
      <vt:lpstr>'301'!OSRRefD21_0x_1</vt:lpstr>
      <vt:lpstr>'307'!OSRRefD21_0x_1</vt:lpstr>
      <vt:lpstr>'308'!OSRRefD21_0x_1</vt:lpstr>
      <vt:lpstr>'309'!OSRRefD21_0x_1</vt:lpstr>
      <vt:lpstr>'310'!OSRRefD21_0x_1</vt:lpstr>
      <vt:lpstr>'310 &amp; 491'!OSRRefD21_0x_1</vt:lpstr>
      <vt:lpstr>'311'!OSRRefD21_0x_1</vt:lpstr>
      <vt:lpstr>'313'!OSRRefD21_0x_1</vt:lpstr>
      <vt:lpstr>'315'!OSRRefD21_0x_1</vt:lpstr>
      <vt:lpstr>'316'!OSRRefD21_0x_1</vt:lpstr>
      <vt:lpstr>'317'!OSRRefD21_0x_1</vt:lpstr>
      <vt:lpstr>'321'!OSRRefD21_0x_1</vt:lpstr>
      <vt:lpstr>'322'!OSRRefD21_0x_1</vt:lpstr>
      <vt:lpstr>'325'!OSRRefD21_0x_1</vt:lpstr>
      <vt:lpstr>'326'!OSRRefD21_0x_1</vt:lpstr>
      <vt:lpstr>'327'!OSRRefD21_0x_1</vt:lpstr>
      <vt:lpstr>'331'!OSRRefD21_0x_1</vt:lpstr>
      <vt:lpstr>'332'!OSRRefD21_0x_1</vt:lpstr>
      <vt:lpstr>'333'!OSRRefD21_0x_1</vt:lpstr>
      <vt:lpstr>'405'!OSRRefD21_0x_1</vt:lpstr>
      <vt:lpstr>'406'!OSRRefD21_0x_1</vt:lpstr>
      <vt:lpstr>'411'!OSRRefD21_0x_1</vt:lpstr>
      <vt:lpstr>'412'!OSRRefD21_0x_1</vt:lpstr>
      <vt:lpstr>'413'!OSRRefD21_0x_1</vt:lpstr>
      <vt:lpstr>'414'!OSRRefD21_0x_1</vt:lpstr>
      <vt:lpstr>'415'!OSRRefD21_0x_1</vt:lpstr>
      <vt:lpstr>'418'!OSRRefD21_0x_1</vt:lpstr>
      <vt:lpstr>'423'!OSRRefD21_0x_1</vt:lpstr>
      <vt:lpstr>'424'!OSRRefD21_0x_1</vt:lpstr>
      <vt:lpstr>'425'!OSRRefD21_0x_1</vt:lpstr>
      <vt:lpstr>'430'!OSRRefD21_0x_1</vt:lpstr>
      <vt:lpstr>'433'!OSRRefD21_0x_1</vt:lpstr>
      <vt:lpstr>'435'!OSRRefD21_0x_1</vt:lpstr>
      <vt:lpstr>'444'!OSRRefD21_0x_1</vt:lpstr>
      <vt:lpstr>'450'!OSRRefD21_0x_1</vt:lpstr>
      <vt:lpstr>'491'!OSRRefD21_0x_1</vt:lpstr>
      <vt:lpstr>'492'!OSRRefD21_0x_1</vt:lpstr>
      <vt:lpstr>'501'!OSRRefD21_0x_1</vt:lpstr>
      <vt:lpstr>'Div 2'!OSRRefD21_0x_1</vt:lpstr>
      <vt:lpstr>'Div 3'!OSRRefD21_0x_1</vt:lpstr>
      <vt:lpstr>'Div 4'!OSRRefD21_0x_1</vt:lpstr>
      <vt:lpstr>'Div 5'!OSRRefD21_0x_1</vt:lpstr>
      <vt:lpstr>'Div 6'!OSRRefD21_0x_1</vt:lpstr>
      <vt:lpstr>Summary!OSRRefD21_0x_1</vt:lpstr>
      <vt:lpstr>'200'!OSRRefD21_0x_2</vt:lpstr>
      <vt:lpstr>'201'!OSRRefD21_0x_2</vt:lpstr>
      <vt:lpstr>'202'!OSRRefD21_0x_2</vt:lpstr>
      <vt:lpstr>'203'!OSRRefD21_0x_2</vt:lpstr>
      <vt:lpstr>'204'!OSRRefD21_0x_2</vt:lpstr>
      <vt:lpstr>'205'!OSRRefD21_0x_2</vt:lpstr>
      <vt:lpstr>'206'!OSRRefD21_0x_2</vt:lpstr>
      <vt:lpstr>'300'!OSRRefD21_0x_2</vt:lpstr>
      <vt:lpstr>'300 &amp; 317'!OSRRefD21_0x_2</vt:lpstr>
      <vt:lpstr>'301'!OSRRefD21_0x_2</vt:lpstr>
      <vt:lpstr>'307'!OSRRefD21_0x_2</vt:lpstr>
      <vt:lpstr>'308'!OSRRefD21_0x_2</vt:lpstr>
      <vt:lpstr>'309'!OSRRefD21_0x_2</vt:lpstr>
      <vt:lpstr>'310'!OSRRefD21_0x_2</vt:lpstr>
      <vt:lpstr>'310 &amp; 491'!OSRRefD21_0x_2</vt:lpstr>
      <vt:lpstr>'311'!OSRRefD21_0x_2</vt:lpstr>
      <vt:lpstr>'313'!OSRRefD21_0x_2</vt:lpstr>
      <vt:lpstr>'315'!OSRRefD21_0x_2</vt:lpstr>
      <vt:lpstr>'316'!OSRRefD21_0x_2</vt:lpstr>
      <vt:lpstr>'317'!OSRRefD21_0x_2</vt:lpstr>
      <vt:lpstr>'321'!OSRRefD21_0x_2</vt:lpstr>
      <vt:lpstr>'322'!OSRRefD21_0x_2</vt:lpstr>
      <vt:lpstr>'325'!OSRRefD21_0x_2</vt:lpstr>
      <vt:lpstr>'326'!OSRRefD21_0x_2</vt:lpstr>
      <vt:lpstr>'327'!OSRRefD21_0x_2</vt:lpstr>
      <vt:lpstr>'331'!OSRRefD21_0x_2</vt:lpstr>
      <vt:lpstr>'332'!OSRRefD21_0x_2</vt:lpstr>
      <vt:lpstr>'333'!OSRRefD21_0x_2</vt:lpstr>
      <vt:lpstr>'405'!OSRRefD21_0x_2</vt:lpstr>
      <vt:lpstr>'406'!OSRRefD21_0x_2</vt:lpstr>
      <vt:lpstr>'411'!OSRRefD21_0x_2</vt:lpstr>
      <vt:lpstr>'412'!OSRRefD21_0x_2</vt:lpstr>
      <vt:lpstr>'413'!OSRRefD21_0x_2</vt:lpstr>
      <vt:lpstr>'414'!OSRRefD21_0x_2</vt:lpstr>
      <vt:lpstr>'415'!OSRRefD21_0x_2</vt:lpstr>
      <vt:lpstr>'418'!OSRRefD21_0x_2</vt:lpstr>
      <vt:lpstr>'423'!OSRRefD21_0x_2</vt:lpstr>
      <vt:lpstr>'424'!OSRRefD21_0x_2</vt:lpstr>
      <vt:lpstr>'425'!OSRRefD21_0x_2</vt:lpstr>
      <vt:lpstr>'430'!OSRRefD21_0x_2</vt:lpstr>
      <vt:lpstr>'433'!OSRRefD21_0x_2</vt:lpstr>
      <vt:lpstr>'435'!OSRRefD21_0x_2</vt:lpstr>
      <vt:lpstr>'444'!OSRRefD21_0x_2</vt:lpstr>
      <vt:lpstr>'450'!OSRRefD21_0x_2</vt:lpstr>
      <vt:lpstr>'491'!OSRRefD21_0x_2</vt:lpstr>
      <vt:lpstr>'492'!OSRRefD21_0x_2</vt:lpstr>
      <vt:lpstr>'501'!OSRRefD21_0x_2</vt:lpstr>
      <vt:lpstr>'Div 2'!OSRRefD21_0x_2</vt:lpstr>
      <vt:lpstr>'Div 3'!OSRRefD21_0x_2</vt:lpstr>
      <vt:lpstr>'Div 4'!OSRRefD21_0x_2</vt:lpstr>
      <vt:lpstr>'Div 5'!OSRRefD21_0x_2</vt:lpstr>
      <vt:lpstr>'Div 6'!OSRRefD21_0x_2</vt:lpstr>
      <vt:lpstr>Summary!OSRRefD21_0x_2</vt:lpstr>
      <vt:lpstr>'200'!OSRRefD21_0x_3</vt:lpstr>
      <vt:lpstr>'201'!OSRRefD21_0x_3</vt:lpstr>
      <vt:lpstr>'202'!OSRRefD21_0x_3</vt:lpstr>
      <vt:lpstr>'203'!OSRRefD21_0x_3</vt:lpstr>
      <vt:lpstr>'204'!OSRRefD21_0x_3</vt:lpstr>
      <vt:lpstr>'205'!OSRRefD21_0x_3</vt:lpstr>
      <vt:lpstr>'206'!OSRRefD21_0x_3</vt:lpstr>
      <vt:lpstr>'300'!OSRRefD21_0x_3</vt:lpstr>
      <vt:lpstr>'300 &amp; 317'!OSRRefD21_0x_3</vt:lpstr>
      <vt:lpstr>'301'!OSRRefD21_0x_3</vt:lpstr>
      <vt:lpstr>'307'!OSRRefD21_0x_3</vt:lpstr>
      <vt:lpstr>'308'!OSRRefD21_0x_3</vt:lpstr>
      <vt:lpstr>'309'!OSRRefD21_0x_3</vt:lpstr>
      <vt:lpstr>'310'!OSRRefD21_0x_3</vt:lpstr>
      <vt:lpstr>'310 &amp; 491'!OSRRefD21_0x_3</vt:lpstr>
      <vt:lpstr>'311'!OSRRefD21_0x_3</vt:lpstr>
      <vt:lpstr>'313'!OSRRefD21_0x_3</vt:lpstr>
      <vt:lpstr>'315'!OSRRefD21_0x_3</vt:lpstr>
      <vt:lpstr>'316'!OSRRefD21_0x_3</vt:lpstr>
      <vt:lpstr>'317'!OSRRefD21_0x_3</vt:lpstr>
      <vt:lpstr>'321'!OSRRefD21_0x_3</vt:lpstr>
      <vt:lpstr>'322'!OSRRefD21_0x_3</vt:lpstr>
      <vt:lpstr>'325'!OSRRefD21_0x_3</vt:lpstr>
      <vt:lpstr>'326'!OSRRefD21_0x_3</vt:lpstr>
      <vt:lpstr>'327'!OSRRefD21_0x_3</vt:lpstr>
      <vt:lpstr>'331'!OSRRefD21_0x_3</vt:lpstr>
      <vt:lpstr>'332'!OSRRefD21_0x_3</vt:lpstr>
      <vt:lpstr>'333'!OSRRefD21_0x_3</vt:lpstr>
      <vt:lpstr>'405'!OSRRefD21_0x_3</vt:lpstr>
      <vt:lpstr>'406'!OSRRefD21_0x_3</vt:lpstr>
      <vt:lpstr>'411'!OSRRefD21_0x_3</vt:lpstr>
      <vt:lpstr>'412'!OSRRefD21_0x_3</vt:lpstr>
      <vt:lpstr>'413'!OSRRefD21_0x_3</vt:lpstr>
      <vt:lpstr>'414'!OSRRefD21_0x_3</vt:lpstr>
      <vt:lpstr>'415'!OSRRefD21_0x_3</vt:lpstr>
      <vt:lpstr>'418'!OSRRefD21_0x_3</vt:lpstr>
      <vt:lpstr>'423'!OSRRefD21_0x_3</vt:lpstr>
      <vt:lpstr>'424'!OSRRefD21_0x_3</vt:lpstr>
      <vt:lpstr>'425'!OSRRefD21_0x_3</vt:lpstr>
      <vt:lpstr>'430'!OSRRefD21_0x_3</vt:lpstr>
      <vt:lpstr>'433'!OSRRefD21_0x_3</vt:lpstr>
      <vt:lpstr>'435'!OSRRefD21_0x_3</vt:lpstr>
      <vt:lpstr>'444'!OSRRefD21_0x_3</vt:lpstr>
      <vt:lpstr>'450'!OSRRefD21_0x_3</vt:lpstr>
      <vt:lpstr>'491'!OSRRefD21_0x_3</vt:lpstr>
      <vt:lpstr>'492'!OSRRefD21_0x_3</vt:lpstr>
      <vt:lpstr>'501'!OSRRefD21_0x_3</vt:lpstr>
      <vt:lpstr>'Div 2'!OSRRefD21_0x_3</vt:lpstr>
      <vt:lpstr>'Div 3'!OSRRefD21_0x_3</vt:lpstr>
      <vt:lpstr>'Div 4'!OSRRefD21_0x_3</vt:lpstr>
      <vt:lpstr>'Div 5'!OSRRefD21_0x_3</vt:lpstr>
      <vt:lpstr>'Div 6'!OSRRefD21_0x_3</vt:lpstr>
      <vt:lpstr>Summary!OSRRefD21_0x_3</vt:lpstr>
      <vt:lpstr>'200'!OSRRefD21_0x_4</vt:lpstr>
      <vt:lpstr>'201'!OSRRefD21_0x_4</vt:lpstr>
      <vt:lpstr>'202'!OSRRefD21_0x_4</vt:lpstr>
      <vt:lpstr>'203'!OSRRefD21_0x_4</vt:lpstr>
      <vt:lpstr>'204'!OSRRefD21_0x_4</vt:lpstr>
      <vt:lpstr>'205'!OSRRefD21_0x_4</vt:lpstr>
      <vt:lpstr>'206'!OSRRefD21_0x_4</vt:lpstr>
      <vt:lpstr>'300'!OSRRefD21_0x_4</vt:lpstr>
      <vt:lpstr>'300 &amp; 317'!OSRRefD21_0x_4</vt:lpstr>
      <vt:lpstr>'301'!OSRRefD21_0x_4</vt:lpstr>
      <vt:lpstr>'307'!OSRRefD21_0x_4</vt:lpstr>
      <vt:lpstr>'308'!OSRRefD21_0x_4</vt:lpstr>
      <vt:lpstr>'309'!OSRRefD21_0x_4</vt:lpstr>
      <vt:lpstr>'310'!OSRRefD21_0x_4</vt:lpstr>
      <vt:lpstr>'310 &amp; 491'!OSRRefD21_0x_4</vt:lpstr>
      <vt:lpstr>'311'!OSRRefD21_0x_4</vt:lpstr>
      <vt:lpstr>'313'!OSRRefD21_0x_4</vt:lpstr>
      <vt:lpstr>'315'!OSRRefD21_0x_4</vt:lpstr>
      <vt:lpstr>'316'!OSRRefD21_0x_4</vt:lpstr>
      <vt:lpstr>'317'!OSRRefD21_0x_4</vt:lpstr>
      <vt:lpstr>'321'!OSRRefD21_0x_4</vt:lpstr>
      <vt:lpstr>'322'!OSRRefD21_0x_4</vt:lpstr>
      <vt:lpstr>'325'!OSRRefD21_0x_4</vt:lpstr>
      <vt:lpstr>'326'!OSRRefD21_0x_4</vt:lpstr>
      <vt:lpstr>'327'!OSRRefD21_0x_4</vt:lpstr>
      <vt:lpstr>'331'!OSRRefD21_0x_4</vt:lpstr>
      <vt:lpstr>'332'!OSRRefD21_0x_4</vt:lpstr>
      <vt:lpstr>'333'!OSRRefD21_0x_4</vt:lpstr>
      <vt:lpstr>'405'!OSRRefD21_0x_4</vt:lpstr>
      <vt:lpstr>'406'!OSRRefD21_0x_4</vt:lpstr>
      <vt:lpstr>'411'!OSRRefD21_0x_4</vt:lpstr>
      <vt:lpstr>'412'!OSRRefD21_0x_4</vt:lpstr>
      <vt:lpstr>'413'!OSRRefD21_0x_4</vt:lpstr>
      <vt:lpstr>'414'!OSRRefD21_0x_4</vt:lpstr>
      <vt:lpstr>'415'!OSRRefD21_0x_4</vt:lpstr>
      <vt:lpstr>'418'!OSRRefD21_0x_4</vt:lpstr>
      <vt:lpstr>'423'!OSRRefD21_0x_4</vt:lpstr>
      <vt:lpstr>'424'!OSRRefD21_0x_4</vt:lpstr>
      <vt:lpstr>'425'!OSRRefD21_0x_4</vt:lpstr>
      <vt:lpstr>'430'!OSRRefD21_0x_4</vt:lpstr>
      <vt:lpstr>'433'!OSRRefD21_0x_4</vt:lpstr>
      <vt:lpstr>'435'!OSRRefD21_0x_4</vt:lpstr>
      <vt:lpstr>'444'!OSRRefD21_0x_4</vt:lpstr>
      <vt:lpstr>'450'!OSRRefD21_0x_4</vt:lpstr>
      <vt:lpstr>'491'!OSRRefD21_0x_4</vt:lpstr>
      <vt:lpstr>'492'!OSRRefD21_0x_4</vt:lpstr>
      <vt:lpstr>'501'!OSRRefD21_0x_4</vt:lpstr>
      <vt:lpstr>'Div 2'!OSRRefD21_0x_4</vt:lpstr>
      <vt:lpstr>'Div 3'!OSRRefD21_0x_4</vt:lpstr>
      <vt:lpstr>'Div 4'!OSRRefD21_0x_4</vt:lpstr>
      <vt:lpstr>'Div 5'!OSRRefD21_0x_4</vt:lpstr>
      <vt:lpstr>'Div 6'!OSRRefD21_0x_4</vt:lpstr>
      <vt:lpstr>Summary!OSRRefD21_0x_4</vt:lpstr>
      <vt:lpstr>'200'!OSRRefD21_0x_5</vt:lpstr>
      <vt:lpstr>'201'!OSRRefD21_0x_5</vt:lpstr>
      <vt:lpstr>'202'!OSRRefD21_0x_5</vt:lpstr>
      <vt:lpstr>'203'!OSRRefD21_0x_5</vt:lpstr>
      <vt:lpstr>'204'!OSRRefD21_0x_5</vt:lpstr>
      <vt:lpstr>'205'!OSRRefD21_0x_5</vt:lpstr>
      <vt:lpstr>'206'!OSRRefD21_0x_5</vt:lpstr>
      <vt:lpstr>'300'!OSRRefD21_0x_5</vt:lpstr>
      <vt:lpstr>'300 &amp; 317'!OSRRefD21_0x_5</vt:lpstr>
      <vt:lpstr>'301'!OSRRefD21_0x_5</vt:lpstr>
      <vt:lpstr>'307'!OSRRefD21_0x_5</vt:lpstr>
      <vt:lpstr>'308'!OSRRefD21_0x_5</vt:lpstr>
      <vt:lpstr>'309'!OSRRefD21_0x_5</vt:lpstr>
      <vt:lpstr>'310'!OSRRefD21_0x_5</vt:lpstr>
      <vt:lpstr>'310 &amp; 491'!OSRRefD21_0x_5</vt:lpstr>
      <vt:lpstr>'311'!OSRRefD21_0x_5</vt:lpstr>
      <vt:lpstr>'313'!OSRRefD21_0x_5</vt:lpstr>
      <vt:lpstr>'315'!OSRRefD21_0x_5</vt:lpstr>
      <vt:lpstr>'316'!OSRRefD21_0x_5</vt:lpstr>
      <vt:lpstr>'317'!OSRRefD21_0x_5</vt:lpstr>
      <vt:lpstr>'321'!OSRRefD21_0x_5</vt:lpstr>
      <vt:lpstr>'322'!OSRRefD21_0x_5</vt:lpstr>
      <vt:lpstr>'325'!OSRRefD21_0x_5</vt:lpstr>
      <vt:lpstr>'326'!OSRRefD21_0x_5</vt:lpstr>
      <vt:lpstr>'327'!OSRRefD21_0x_5</vt:lpstr>
      <vt:lpstr>'331'!OSRRefD21_0x_5</vt:lpstr>
      <vt:lpstr>'332'!OSRRefD21_0x_5</vt:lpstr>
      <vt:lpstr>'333'!OSRRefD21_0x_5</vt:lpstr>
      <vt:lpstr>'405'!OSRRefD21_0x_5</vt:lpstr>
      <vt:lpstr>'406'!OSRRefD21_0x_5</vt:lpstr>
      <vt:lpstr>'411'!OSRRefD21_0x_5</vt:lpstr>
      <vt:lpstr>'412'!OSRRefD21_0x_5</vt:lpstr>
      <vt:lpstr>'413'!OSRRefD21_0x_5</vt:lpstr>
      <vt:lpstr>'414'!OSRRefD21_0x_5</vt:lpstr>
      <vt:lpstr>'415'!OSRRefD21_0x_5</vt:lpstr>
      <vt:lpstr>'418'!OSRRefD21_0x_5</vt:lpstr>
      <vt:lpstr>'423'!OSRRefD21_0x_5</vt:lpstr>
      <vt:lpstr>'424'!OSRRefD21_0x_5</vt:lpstr>
      <vt:lpstr>'425'!OSRRefD21_0x_5</vt:lpstr>
      <vt:lpstr>'430'!OSRRefD21_0x_5</vt:lpstr>
      <vt:lpstr>'433'!OSRRefD21_0x_5</vt:lpstr>
      <vt:lpstr>'435'!OSRRefD21_0x_5</vt:lpstr>
      <vt:lpstr>'444'!OSRRefD21_0x_5</vt:lpstr>
      <vt:lpstr>'450'!OSRRefD21_0x_5</vt:lpstr>
      <vt:lpstr>'491'!OSRRefD21_0x_5</vt:lpstr>
      <vt:lpstr>'492'!OSRRefD21_0x_5</vt:lpstr>
      <vt:lpstr>'501'!OSRRefD21_0x_5</vt:lpstr>
      <vt:lpstr>'Div 2'!OSRRefD21_0x_5</vt:lpstr>
      <vt:lpstr>'Div 3'!OSRRefD21_0x_5</vt:lpstr>
      <vt:lpstr>'Div 4'!OSRRefD21_0x_5</vt:lpstr>
      <vt:lpstr>'Div 5'!OSRRefD21_0x_5</vt:lpstr>
      <vt:lpstr>'Div 6'!OSRRefD21_0x_5</vt:lpstr>
      <vt:lpstr>Summary!OSRRefD21_0x_5</vt:lpstr>
      <vt:lpstr>'200'!OSRRefD21_0x_6</vt:lpstr>
      <vt:lpstr>'201'!OSRRefD21_0x_6</vt:lpstr>
      <vt:lpstr>'202'!OSRRefD21_0x_6</vt:lpstr>
      <vt:lpstr>'203'!OSRRefD21_0x_6</vt:lpstr>
      <vt:lpstr>'204'!OSRRefD21_0x_6</vt:lpstr>
      <vt:lpstr>'205'!OSRRefD21_0x_6</vt:lpstr>
      <vt:lpstr>'206'!OSRRefD21_0x_6</vt:lpstr>
      <vt:lpstr>'300'!OSRRefD21_0x_6</vt:lpstr>
      <vt:lpstr>'300 &amp; 317'!OSRRefD21_0x_6</vt:lpstr>
      <vt:lpstr>'301'!OSRRefD21_0x_6</vt:lpstr>
      <vt:lpstr>'307'!OSRRefD21_0x_6</vt:lpstr>
      <vt:lpstr>'308'!OSRRefD21_0x_6</vt:lpstr>
      <vt:lpstr>'309'!OSRRefD21_0x_6</vt:lpstr>
      <vt:lpstr>'310'!OSRRefD21_0x_6</vt:lpstr>
      <vt:lpstr>'310 &amp; 491'!OSRRefD21_0x_6</vt:lpstr>
      <vt:lpstr>'311'!OSRRefD21_0x_6</vt:lpstr>
      <vt:lpstr>'313'!OSRRefD21_0x_6</vt:lpstr>
      <vt:lpstr>'315'!OSRRefD21_0x_6</vt:lpstr>
      <vt:lpstr>'316'!OSRRefD21_0x_6</vt:lpstr>
      <vt:lpstr>'317'!OSRRefD21_0x_6</vt:lpstr>
      <vt:lpstr>'321'!OSRRefD21_0x_6</vt:lpstr>
      <vt:lpstr>'322'!OSRRefD21_0x_6</vt:lpstr>
      <vt:lpstr>'325'!OSRRefD21_0x_6</vt:lpstr>
      <vt:lpstr>'326'!OSRRefD21_0x_6</vt:lpstr>
      <vt:lpstr>'327'!OSRRefD21_0x_6</vt:lpstr>
      <vt:lpstr>'331'!OSRRefD21_0x_6</vt:lpstr>
      <vt:lpstr>'332'!OSRRefD21_0x_6</vt:lpstr>
      <vt:lpstr>'333'!OSRRefD21_0x_6</vt:lpstr>
      <vt:lpstr>'405'!OSRRefD21_0x_6</vt:lpstr>
      <vt:lpstr>'406'!OSRRefD21_0x_6</vt:lpstr>
      <vt:lpstr>'411'!OSRRefD21_0x_6</vt:lpstr>
      <vt:lpstr>'412'!OSRRefD21_0x_6</vt:lpstr>
      <vt:lpstr>'413'!OSRRefD21_0x_6</vt:lpstr>
      <vt:lpstr>'414'!OSRRefD21_0x_6</vt:lpstr>
      <vt:lpstr>'415'!OSRRefD21_0x_6</vt:lpstr>
      <vt:lpstr>'418'!OSRRefD21_0x_6</vt:lpstr>
      <vt:lpstr>'423'!OSRRefD21_0x_6</vt:lpstr>
      <vt:lpstr>'424'!OSRRefD21_0x_6</vt:lpstr>
      <vt:lpstr>'425'!OSRRefD21_0x_6</vt:lpstr>
      <vt:lpstr>'430'!OSRRefD21_0x_6</vt:lpstr>
      <vt:lpstr>'433'!OSRRefD21_0x_6</vt:lpstr>
      <vt:lpstr>'435'!OSRRefD21_0x_6</vt:lpstr>
      <vt:lpstr>'444'!OSRRefD21_0x_6</vt:lpstr>
      <vt:lpstr>'450'!OSRRefD21_0x_6</vt:lpstr>
      <vt:lpstr>'491'!OSRRefD21_0x_6</vt:lpstr>
      <vt:lpstr>'492'!OSRRefD21_0x_6</vt:lpstr>
      <vt:lpstr>'501'!OSRRefD21_0x_6</vt:lpstr>
      <vt:lpstr>'Div 2'!OSRRefD21_0x_6</vt:lpstr>
      <vt:lpstr>'Div 3'!OSRRefD21_0x_6</vt:lpstr>
      <vt:lpstr>'Div 4'!OSRRefD21_0x_6</vt:lpstr>
      <vt:lpstr>'Div 5'!OSRRefD21_0x_6</vt:lpstr>
      <vt:lpstr>'Div 6'!OSRRefD21_0x_6</vt:lpstr>
      <vt:lpstr>Summary!OSRRefD21_0x_6</vt:lpstr>
      <vt:lpstr>'200'!OSRRefD21_0x_7</vt:lpstr>
      <vt:lpstr>'201'!OSRRefD21_0x_7</vt:lpstr>
      <vt:lpstr>'202'!OSRRefD21_0x_7</vt:lpstr>
      <vt:lpstr>'203'!OSRRefD21_0x_7</vt:lpstr>
      <vt:lpstr>'204'!OSRRefD21_0x_7</vt:lpstr>
      <vt:lpstr>'205'!OSRRefD21_0x_7</vt:lpstr>
      <vt:lpstr>'206'!OSRRefD21_0x_7</vt:lpstr>
      <vt:lpstr>'300'!OSRRefD21_0x_7</vt:lpstr>
      <vt:lpstr>'300 &amp; 317'!OSRRefD21_0x_7</vt:lpstr>
      <vt:lpstr>'301'!OSRRefD21_0x_7</vt:lpstr>
      <vt:lpstr>'307'!OSRRefD21_0x_7</vt:lpstr>
      <vt:lpstr>'308'!OSRRefD21_0x_7</vt:lpstr>
      <vt:lpstr>'309'!OSRRefD21_0x_7</vt:lpstr>
      <vt:lpstr>'310'!OSRRefD21_0x_7</vt:lpstr>
      <vt:lpstr>'310 &amp; 491'!OSRRefD21_0x_7</vt:lpstr>
      <vt:lpstr>'311'!OSRRefD21_0x_7</vt:lpstr>
      <vt:lpstr>'313'!OSRRefD21_0x_7</vt:lpstr>
      <vt:lpstr>'315'!OSRRefD21_0x_7</vt:lpstr>
      <vt:lpstr>'316'!OSRRefD21_0x_7</vt:lpstr>
      <vt:lpstr>'317'!OSRRefD21_0x_7</vt:lpstr>
      <vt:lpstr>'321'!OSRRefD21_0x_7</vt:lpstr>
      <vt:lpstr>'322'!OSRRefD21_0x_7</vt:lpstr>
      <vt:lpstr>'325'!OSRRefD21_0x_7</vt:lpstr>
      <vt:lpstr>'326'!OSRRefD21_0x_7</vt:lpstr>
      <vt:lpstr>'327'!OSRRefD21_0x_7</vt:lpstr>
      <vt:lpstr>'331'!OSRRefD21_0x_7</vt:lpstr>
      <vt:lpstr>'332'!OSRRefD21_0x_7</vt:lpstr>
      <vt:lpstr>'333'!OSRRefD21_0x_7</vt:lpstr>
      <vt:lpstr>'405'!OSRRefD21_0x_7</vt:lpstr>
      <vt:lpstr>'406'!OSRRefD21_0x_7</vt:lpstr>
      <vt:lpstr>'411'!OSRRefD21_0x_7</vt:lpstr>
      <vt:lpstr>'412'!OSRRefD21_0x_7</vt:lpstr>
      <vt:lpstr>'413'!OSRRefD21_0x_7</vt:lpstr>
      <vt:lpstr>'414'!OSRRefD21_0x_7</vt:lpstr>
      <vt:lpstr>'415'!OSRRefD21_0x_7</vt:lpstr>
      <vt:lpstr>'418'!OSRRefD21_0x_7</vt:lpstr>
      <vt:lpstr>'423'!OSRRefD21_0x_7</vt:lpstr>
      <vt:lpstr>'424'!OSRRefD21_0x_7</vt:lpstr>
      <vt:lpstr>'425'!OSRRefD21_0x_7</vt:lpstr>
      <vt:lpstr>'430'!OSRRefD21_0x_7</vt:lpstr>
      <vt:lpstr>'433'!OSRRefD21_0x_7</vt:lpstr>
      <vt:lpstr>'435'!OSRRefD21_0x_7</vt:lpstr>
      <vt:lpstr>'444'!OSRRefD21_0x_7</vt:lpstr>
      <vt:lpstr>'450'!OSRRefD21_0x_7</vt:lpstr>
      <vt:lpstr>'491'!OSRRefD21_0x_7</vt:lpstr>
      <vt:lpstr>'492'!OSRRefD21_0x_7</vt:lpstr>
      <vt:lpstr>'501'!OSRRefD21_0x_7</vt:lpstr>
      <vt:lpstr>'Div 2'!OSRRefD21_0x_7</vt:lpstr>
      <vt:lpstr>'Div 3'!OSRRefD21_0x_7</vt:lpstr>
      <vt:lpstr>'Div 4'!OSRRefD21_0x_7</vt:lpstr>
      <vt:lpstr>'Div 5'!OSRRefD21_0x_7</vt:lpstr>
      <vt:lpstr>'Div 6'!OSRRefD21_0x_7</vt:lpstr>
      <vt:lpstr>Summary!OSRRefD21_0x_7</vt:lpstr>
      <vt:lpstr>'200'!OSRRefD21_0x_8</vt:lpstr>
      <vt:lpstr>'201'!OSRRefD21_0x_8</vt:lpstr>
      <vt:lpstr>'202'!OSRRefD21_0x_8</vt:lpstr>
      <vt:lpstr>'203'!OSRRefD21_0x_8</vt:lpstr>
      <vt:lpstr>'204'!OSRRefD21_0x_8</vt:lpstr>
      <vt:lpstr>'205'!OSRRefD21_0x_8</vt:lpstr>
      <vt:lpstr>'206'!OSRRefD21_0x_8</vt:lpstr>
      <vt:lpstr>'300'!OSRRefD21_0x_8</vt:lpstr>
      <vt:lpstr>'300 &amp; 317'!OSRRefD21_0x_8</vt:lpstr>
      <vt:lpstr>'301'!OSRRefD21_0x_8</vt:lpstr>
      <vt:lpstr>'307'!OSRRefD21_0x_8</vt:lpstr>
      <vt:lpstr>'308'!OSRRefD21_0x_8</vt:lpstr>
      <vt:lpstr>'309'!OSRRefD21_0x_8</vt:lpstr>
      <vt:lpstr>'310'!OSRRefD21_0x_8</vt:lpstr>
      <vt:lpstr>'310 &amp; 491'!OSRRefD21_0x_8</vt:lpstr>
      <vt:lpstr>'311'!OSRRefD21_0x_8</vt:lpstr>
      <vt:lpstr>'313'!OSRRefD21_0x_8</vt:lpstr>
      <vt:lpstr>'315'!OSRRefD21_0x_8</vt:lpstr>
      <vt:lpstr>'316'!OSRRefD21_0x_8</vt:lpstr>
      <vt:lpstr>'317'!OSRRefD21_0x_8</vt:lpstr>
      <vt:lpstr>'321'!OSRRefD21_0x_8</vt:lpstr>
      <vt:lpstr>'322'!OSRRefD21_0x_8</vt:lpstr>
      <vt:lpstr>'325'!OSRRefD21_0x_8</vt:lpstr>
      <vt:lpstr>'326'!OSRRefD21_0x_8</vt:lpstr>
      <vt:lpstr>'327'!OSRRefD21_0x_8</vt:lpstr>
      <vt:lpstr>'331'!OSRRefD21_0x_8</vt:lpstr>
      <vt:lpstr>'332'!OSRRefD21_0x_8</vt:lpstr>
      <vt:lpstr>'333'!OSRRefD21_0x_8</vt:lpstr>
      <vt:lpstr>'405'!OSRRefD21_0x_8</vt:lpstr>
      <vt:lpstr>'406'!OSRRefD21_0x_8</vt:lpstr>
      <vt:lpstr>'411'!OSRRefD21_0x_8</vt:lpstr>
      <vt:lpstr>'412'!OSRRefD21_0x_8</vt:lpstr>
      <vt:lpstr>'413'!OSRRefD21_0x_8</vt:lpstr>
      <vt:lpstr>'414'!OSRRefD21_0x_8</vt:lpstr>
      <vt:lpstr>'415'!OSRRefD21_0x_8</vt:lpstr>
      <vt:lpstr>'418'!OSRRefD21_0x_8</vt:lpstr>
      <vt:lpstr>'423'!OSRRefD21_0x_8</vt:lpstr>
      <vt:lpstr>'424'!OSRRefD21_0x_8</vt:lpstr>
      <vt:lpstr>'425'!OSRRefD21_0x_8</vt:lpstr>
      <vt:lpstr>'430'!OSRRefD21_0x_8</vt:lpstr>
      <vt:lpstr>'433'!OSRRefD21_0x_8</vt:lpstr>
      <vt:lpstr>'435'!OSRRefD21_0x_8</vt:lpstr>
      <vt:lpstr>'444'!OSRRefD21_0x_8</vt:lpstr>
      <vt:lpstr>'450'!OSRRefD21_0x_8</vt:lpstr>
      <vt:lpstr>'491'!OSRRefD21_0x_8</vt:lpstr>
      <vt:lpstr>'492'!OSRRefD21_0x_8</vt:lpstr>
      <vt:lpstr>'501'!OSRRefD21_0x_8</vt:lpstr>
      <vt:lpstr>'Div 2'!OSRRefD21_0x_8</vt:lpstr>
      <vt:lpstr>'Div 3'!OSRRefD21_0x_8</vt:lpstr>
      <vt:lpstr>'Div 4'!OSRRefD21_0x_8</vt:lpstr>
      <vt:lpstr>'Div 5'!OSRRefD21_0x_8</vt:lpstr>
      <vt:lpstr>'Div 6'!OSRRefD21_0x_8</vt:lpstr>
      <vt:lpstr>Summary!OSRRefD21_0x_8</vt:lpstr>
      <vt:lpstr>'200'!OSRRefD21_0x_9</vt:lpstr>
      <vt:lpstr>'201'!OSRRefD21_0x_9</vt:lpstr>
      <vt:lpstr>'202'!OSRRefD21_0x_9</vt:lpstr>
      <vt:lpstr>'203'!OSRRefD21_0x_9</vt:lpstr>
      <vt:lpstr>'204'!OSRRefD21_0x_9</vt:lpstr>
      <vt:lpstr>'205'!OSRRefD21_0x_9</vt:lpstr>
      <vt:lpstr>'206'!OSRRefD21_0x_9</vt:lpstr>
      <vt:lpstr>'300'!OSRRefD21_0x_9</vt:lpstr>
      <vt:lpstr>'300 &amp; 317'!OSRRefD21_0x_9</vt:lpstr>
      <vt:lpstr>'301'!OSRRefD21_0x_9</vt:lpstr>
      <vt:lpstr>'307'!OSRRefD21_0x_9</vt:lpstr>
      <vt:lpstr>'308'!OSRRefD21_0x_9</vt:lpstr>
      <vt:lpstr>'309'!OSRRefD21_0x_9</vt:lpstr>
      <vt:lpstr>'310'!OSRRefD21_0x_9</vt:lpstr>
      <vt:lpstr>'310 &amp; 491'!OSRRefD21_0x_9</vt:lpstr>
      <vt:lpstr>'311'!OSRRefD21_0x_9</vt:lpstr>
      <vt:lpstr>'313'!OSRRefD21_0x_9</vt:lpstr>
      <vt:lpstr>'315'!OSRRefD21_0x_9</vt:lpstr>
      <vt:lpstr>'316'!OSRRefD21_0x_9</vt:lpstr>
      <vt:lpstr>'317'!OSRRefD21_0x_9</vt:lpstr>
      <vt:lpstr>'321'!OSRRefD21_0x_9</vt:lpstr>
      <vt:lpstr>'322'!OSRRefD21_0x_9</vt:lpstr>
      <vt:lpstr>'325'!OSRRefD21_0x_9</vt:lpstr>
      <vt:lpstr>'326'!OSRRefD21_0x_9</vt:lpstr>
      <vt:lpstr>'327'!OSRRefD21_0x_9</vt:lpstr>
      <vt:lpstr>'331'!OSRRefD21_0x_9</vt:lpstr>
      <vt:lpstr>'332'!OSRRefD21_0x_9</vt:lpstr>
      <vt:lpstr>'333'!OSRRefD21_0x_9</vt:lpstr>
      <vt:lpstr>'405'!OSRRefD21_0x_9</vt:lpstr>
      <vt:lpstr>'406'!OSRRefD21_0x_9</vt:lpstr>
      <vt:lpstr>'411'!OSRRefD21_0x_9</vt:lpstr>
      <vt:lpstr>'412'!OSRRefD21_0x_9</vt:lpstr>
      <vt:lpstr>'413'!OSRRefD21_0x_9</vt:lpstr>
      <vt:lpstr>'414'!OSRRefD21_0x_9</vt:lpstr>
      <vt:lpstr>'415'!OSRRefD21_0x_9</vt:lpstr>
      <vt:lpstr>'418'!OSRRefD21_0x_9</vt:lpstr>
      <vt:lpstr>'423'!OSRRefD21_0x_9</vt:lpstr>
      <vt:lpstr>'424'!OSRRefD21_0x_9</vt:lpstr>
      <vt:lpstr>'425'!OSRRefD21_0x_9</vt:lpstr>
      <vt:lpstr>'430'!OSRRefD21_0x_9</vt:lpstr>
      <vt:lpstr>'433'!OSRRefD21_0x_9</vt:lpstr>
      <vt:lpstr>'435'!OSRRefD21_0x_9</vt:lpstr>
      <vt:lpstr>'444'!OSRRefD21_0x_9</vt:lpstr>
      <vt:lpstr>'450'!OSRRefD21_0x_9</vt:lpstr>
      <vt:lpstr>'491'!OSRRefD21_0x_9</vt:lpstr>
      <vt:lpstr>'492'!OSRRefD21_0x_9</vt:lpstr>
      <vt:lpstr>'501'!OSRRefD21_0x_9</vt:lpstr>
      <vt:lpstr>'Div 2'!OSRRefD21_0x_9</vt:lpstr>
      <vt:lpstr>'Div 3'!OSRRefD21_0x_9</vt:lpstr>
      <vt:lpstr>'Div 4'!OSRRefD21_0x_9</vt:lpstr>
      <vt:lpstr>'Div 5'!OSRRefD21_0x_9</vt:lpstr>
      <vt:lpstr>'Div 6'!OSRRefD21_0x_9</vt:lpstr>
      <vt:lpstr>Summary!OSRRefD21_0x_9</vt:lpstr>
      <vt:lpstr>'200'!OSRRefD21_1_0x</vt:lpstr>
      <vt:lpstr>'201'!OSRRefD21_1_0x</vt:lpstr>
      <vt:lpstr>'202'!OSRRefD21_1_0x</vt:lpstr>
      <vt:lpstr>'203'!OSRRefD21_1_0x</vt:lpstr>
      <vt:lpstr>'204'!OSRRefD21_1_0x</vt:lpstr>
      <vt:lpstr>'205'!OSRRefD21_1_0x</vt:lpstr>
      <vt:lpstr>'206'!OSRRefD21_1_0x</vt:lpstr>
      <vt:lpstr>'300'!OSRRefD21_1_0x</vt:lpstr>
      <vt:lpstr>'300 &amp; 317'!OSRRefD21_1_0x</vt:lpstr>
      <vt:lpstr>'301'!OSRRefD21_1_0x</vt:lpstr>
      <vt:lpstr>'307'!OSRRefD21_1_0x</vt:lpstr>
      <vt:lpstr>'308'!OSRRefD21_1_0x</vt:lpstr>
      <vt:lpstr>'309'!OSRRefD21_1_0x</vt:lpstr>
      <vt:lpstr>'310'!OSRRefD21_1_0x</vt:lpstr>
      <vt:lpstr>'310 &amp; 491'!OSRRefD21_1_0x</vt:lpstr>
      <vt:lpstr>'311'!OSRRefD21_1_0x</vt:lpstr>
      <vt:lpstr>'313'!OSRRefD21_1_0x</vt:lpstr>
      <vt:lpstr>'315'!OSRRefD21_1_0x</vt:lpstr>
      <vt:lpstr>'316'!OSRRefD21_1_0x</vt:lpstr>
      <vt:lpstr>'317'!OSRRefD21_1_0x</vt:lpstr>
      <vt:lpstr>'321'!OSRRefD21_1_0x</vt:lpstr>
      <vt:lpstr>'325'!OSRRefD21_1_0x</vt:lpstr>
      <vt:lpstr>'326'!OSRRefD21_1_0x</vt:lpstr>
      <vt:lpstr>'327'!OSRRefD21_1_0x</vt:lpstr>
      <vt:lpstr>'331'!OSRRefD21_1_0x</vt:lpstr>
      <vt:lpstr>'332'!OSRRefD21_1_0x</vt:lpstr>
      <vt:lpstr>'333'!OSRRefD21_1_0x</vt:lpstr>
      <vt:lpstr>'405'!OSRRefD21_1_0x</vt:lpstr>
      <vt:lpstr>'411'!OSRRefD21_1_0x</vt:lpstr>
      <vt:lpstr>'412'!OSRRefD21_1_0x</vt:lpstr>
      <vt:lpstr>'413'!OSRRefD21_1_0x</vt:lpstr>
      <vt:lpstr>'414'!OSRRefD21_1_0x</vt:lpstr>
      <vt:lpstr>'415'!OSRRefD21_1_0x</vt:lpstr>
      <vt:lpstr>'418'!OSRRefD21_1_0x</vt:lpstr>
      <vt:lpstr>'423'!OSRRefD21_1_0x</vt:lpstr>
      <vt:lpstr>'424'!OSRRefD21_1_0x</vt:lpstr>
      <vt:lpstr>'425'!OSRRefD21_1_0x</vt:lpstr>
      <vt:lpstr>'430'!OSRRefD21_1_0x</vt:lpstr>
      <vt:lpstr>'433'!OSRRefD21_1_0x</vt:lpstr>
      <vt:lpstr>'435'!OSRRefD21_1_0x</vt:lpstr>
      <vt:lpstr>'444'!OSRRefD21_1_0x</vt:lpstr>
      <vt:lpstr>'450'!OSRRefD21_1_0x</vt:lpstr>
      <vt:lpstr>'491'!OSRRefD21_1_0x</vt:lpstr>
      <vt:lpstr>'492'!OSRRefD21_1_0x</vt:lpstr>
      <vt:lpstr>'501'!OSRRefD21_1_0x</vt:lpstr>
      <vt:lpstr>'Div 2'!OSRRefD21_1_0x</vt:lpstr>
      <vt:lpstr>'Div 3'!OSRRefD21_1_0x</vt:lpstr>
      <vt:lpstr>'Div 4'!OSRRefD21_1_0x</vt:lpstr>
      <vt:lpstr>'Div 5'!OSRRefD21_1_0x</vt:lpstr>
      <vt:lpstr>'Div 6'!OSRRefD21_1_0x</vt:lpstr>
      <vt:lpstr>Summary!OSRRefD21_1_0x</vt:lpstr>
      <vt:lpstr>'201'!OSRRefD21_1_1x</vt:lpstr>
      <vt:lpstr>'202'!OSRRefD21_1_1x</vt:lpstr>
      <vt:lpstr>'203'!OSRRefD21_1_1x</vt:lpstr>
      <vt:lpstr>'204'!OSRRefD21_1_1x</vt:lpstr>
      <vt:lpstr>'205'!OSRRefD21_1_1x</vt:lpstr>
      <vt:lpstr>'206'!OSRRefD21_1_1x</vt:lpstr>
      <vt:lpstr>'300'!OSRRefD21_1_1x</vt:lpstr>
      <vt:lpstr>'300 &amp; 317'!OSRRefD21_1_1x</vt:lpstr>
      <vt:lpstr>'301'!OSRRefD21_1_1x</vt:lpstr>
      <vt:lpstr>'307'!OSRRefD21_1_1x</vt:lpstr>
      <vt:lpstr>'308'!OSRRefD21_1_1x</vt:lpstr>
      <vt:lpstr>'309'!OSRRefD21_1_1x</vt:lpstr>
      <vt:lpstr>'310'!OSRRefD21_1_1x</vt:lpstr>
      <vt:lpstr>'310 &amp; 491'!OSRRefD21_1_1x</vt:lpstr>
      <vt:lpstr>'311'!OSRRefD21_1_1x</vt:lpstr>
      <vt:lpstr>'315'!OSRRefD21_1_1x</vt:lpstr>
      <vt:lpstr>'316'!OSRRefD21_1_1x</vt:lpstr>
      <vt:lpstr>'317'!OSRRefD21_1_1x</vt:lpstr>
      <vt:lpstr>'321'!OSRRefD21_1_1x</vt:lpstr>
      <vt:lpstr>'325'!OSRRefD21_1_1x</vt:lpstr>
      <vt:lpstr>'326'!OSRRefD21_1_1x</vt:lpstr>
      <vt:lpstr>'331'!OSRRefD21_1_1x</vt:lpstr>
      <vt:lpstr>'332'!OSRRefD21_1_1x</vt:lpstr>
      <vt:lpstr>'333'!OSRRefD21_1_1x</vt:lpstr>
      <vt:lpstr>'405'!OSRRefD21_1_1x</vt:lpstr>
      <vt:lpstr>'411'!OSRRefD21_1_1x</vt:lpstr>
      <vt:lpstr>'415'!OSRRefD21_1_1x</vt:lpstr>
      <vt:lpstr>'418'!OSRRefD21_1_1x</vt:lpstr>
      <vt:lpstr>'423'!OSRRefD21_1_1x</vt:lpstr>
      <vt:lpstr>'430'!OSRRefD21_1_1x</vt:lpstr>
      <vt:lpstr>'433'!OSRRefD21_1_1x</vt:lpstr>
      <vt:lpstr>'444'!OSRRefD21_1_1x</vt:lpstr>
      <vt:lpstr>'450'!OSRRefD21_1_1x</vt:lpstr>
      <vt:lpstr>'491'!OSRRefD21_1_1x</vt:lpstr>
      <vt:lpstr>'492'!OSRRefD21_1_1x</vt:lpstr>
      <vt:lpstr>'501'!OSRRefD21_1_1x</vt:lpstr>
      <vt:lpstr>'Div 2'!OSRRefD21_1_1x</vt:lpstr>
      <vt:lpstr>'Div 3'!OSRRefD21_1_1x</vt:lpstr>
      <vt:lpstr>'Div 4'!OSRRefD21_1_1x</vt:lpstr>
      <vt:lpstr>'Div 5'!OSRRefD21_1_1x</vt:lpstr>
      <vt:lpstr>'Div 6'!OSRRefD21_1_1x</vt:lpstr>
      <vt:lpstr>Summary!OSRRefD21_1_1x</vt:lpstr>
      <vt:lpstr>'201'!OSRRefD21_1_2x</vt:lpstr>
      <vt:lpstr>'202'!OSRRefD21_1_2x</vt:lpstr>
      <vt:lpstr>'203'!OSRRefD21_1_2x</vt:lpstr>
      <vt:lpstr>'204'!OSRRefD21_1_2x</vt:lpstr>
      <vt:lpstr>'205'!OSRRefD21_1_2x</vt:lpstr>
      <vt:lpstr>'206'!OSRRefD21_1_2x</vt:lpstr>
      <vt:lpstr>'300'!OSRRefD21_1_2x</vt:lpstr>
      <vt:lpstr>'300 &amp; 317'!OSRRefD21_1_2x</vt:lpstr>
      <vt:lpstr>'301'!OSRRefD21_1_2x</vt:lpstr>
      <vt:lpstr>'307'!OSRRefD21_1_2x</vt:lpstr>
      <vt:lpstr>'308'!OSRRefD21_1_2x</vt:lpstr>
      <vt:lpstr>'310'!OSRRefD21_1_2x</vt:lpstr>
      <vt:lpstr>'310 &amp; 491'!OSRRefD21_1_2x</vt:lpstr>
      <vt:lpstr>'311'!OSRRefD21_1_2x</vt:lpstr>
      <vt:lpstr>'315'!OSRRefD21_1_2x</vt:lpstr>
      <vt:lpstr>'316'!OSRRefD21_1_2x</vt:lpstr>
      <vt:lpstr>'317'!OSRRefD21_1_2x</vt:lpstr>
      <vt:lpstr>'321'!OSRRefD21_1_2x</vt:lpstr>
      <vt:lpstr>'325'!OSRRefD21_1_2x</vt:lpstr>
      <vt:lpstr>'326'!OSRRefD21_1_2x</vt:lpstr>
      <vt:lpstr>'331'!OSRRefD21_1_2x</vt:lpstr>
      <vt:lpstr>'332'!OSRRefD21_1_2x</vt:lpstr>
      <vt:lpstr>'333'!OSRRefD21_1_2x</vt:lpstr>
      <vt:lpstr>'405'!OSRRefD21_1_2x</vt:lpstr>
      <vt:lpstr>'411'!OSRRefD21_1_2x</vt:lpstr>
      <vt:lpstr>'415'!OSRRefD21_1_2x</vt:lpstr>
      <vt:lpstr>'418'!OSRRefD21_1_2x</vt:lpstr>
      <vt:lpstr>'423'!OSRRefD21_1_2x</vt:lpstr>
      <vt:lpstr>'430'!OSRRefD21_1_2x</vt:lpstr>
      <vt:lpstr>'433'!OSRRefD21_1_2x</vt:lpstr>
      <vt:lpstr>'444'!OSRRefD21_1_2x</vt:lpstr>
      <vt:lpstr>'450'!OSRRefD21_1_2x</vt:lpstr>
      <vt:lpstr>'491'!OSRRefD21_1_2x</vt:lpstr>
      <vt:lpstr>'492'!OSRRefD21_1_2x</vt:lpstr>
      <vt:lpstr>'501'!OSRRefD21_1_2x</vt:lpstr>
      <vt:lpstr>'Div 2'!OSRRefD21_1_2x</vt:lpstr>
      <vt:lpstr>'Div 3'!OSRRefD21_1_2x</vt:lpstr>
      <vt:lpstr>'Div 4'!OSRRefD21_1_2x</vt:lpstr>
      <vt:lpstr>'Div 5'!OSRRefD21_1_2x</vt:lpstr>
      <vt:lpstr>'Div 6'!OSRRefD21_1_2x</vt:lpstr>
      <vt:lpstr>Summary!OSRRefD21_1_2x</vt:lpstr>
      <vt:lpstr>'201'!OSRRefD21_1_3x</vt:lpstr>
      <vt:lpstr>'202'!OSRRefD21_1_3x</vt:lpstr>
      <vt:lpstr>'203'!OSRRefD21_1_3x</vt:lpstr>
      <vt:lpstr>'204'!OSRRefD21_1_3x</vt:lpstr>
      <vt:lpstr>'205'!OSRRefD21_1_3x</vt:lpstr>
      <vt:lpstr>'206'!OSRRefD21_1_3x</vt:lpstr>
      <vt:lpstr>'300'!OSRRefD21_1_3x</vt:lpstr>
      <vt:lpstr>'300 &amp; 317'!OSRRefD21_1_3x</vt:lpstr>
      <vt:lpstr>'301'!OSRRefD21_1_3x</vt:lpstr>
      <vt:lpstr>'307'!OSRRefD21_1_3x</vt:lpstr>
      <vt:lpstr>'308'!OSRRefD21_1_3x</vt:lpstr>
      <vt:lpstr>'310'!OSRRefD21_1_3x</vt:lpstr>
      <vt:lpstr>'310 &amp; 491'!OSRRefD21_1_3x</vt:lpstr>
      <vt:lpstr>'311'!OSRRefD21_1_3x</vt:lpstr>
      <vt:lpstr>'315'!OSRRefD21_1_3x</vt:lpstr>
      <vt:lpstr>'316'!OSRRefD21_1_3x</vt:lpstr>
      <vt:lpstr>'317'!OSRRefD21_1_3x</vt:lpstr>
      <vt:lpstr>'321'!OSRRefD21_1_3x</vt:lpstr>
      <vt:lpstr>'325'!OSRRefD21_1_3x</vt:lpstr>
      <vt:lpstr>'326'!OSRRefD21_1_3x</vt:lpstr>
      <vt:lpstr>'331'!OSRRefD21_1_3x</vt:lpstr>
      <vt:lpstr>'332'!OSRRefD21_1_3x</vt:lpstr>
      <vt:lpstr>'333'!OSRRefD21_1_3x</vt:lpstr>
      <vt:lpstr>'405'!OSRRefD21_1_3x</vt:lpstr>
      <vt:lpstr>'411'!OSRRefD21_1_3x</vt:lpstr>
      <vt:lpstr>'415'!OSRRefD21_1_3x</vt:lpstr>
      <vt:lpstr>'418'!OSRRefD21_1_3x</vt:lpstr>
      <vt:lpstr>'423'!OSRRefD21_1_3x</vt:lpstr>
      <vt:lpstr>'430'!OSRRefD21_1_3x</vt:lpstr>
      <vt:lpstr>'433'!OSRRefD21_1_3x</vt:lpstr>
      <vt:lpstr>'444'!OSRRefD21_1_3x</vt:lpstr>
      <vt:lpstr>'450'!OSRRefD21_1_3x</vt:lpstr>
      <vt:lpstr>'491'!OSRRefD21_1_3x</vt:lpstr>
      <vt:lpstr>'492'!OSRRefD21_1_3x</vt:lpstr>
      <vt:lpstr>'501'!OSRRefD21_1_3x</vt:lpstr>
      <vt:lpstr>'Div 2'!OSRRefD21_1_3x</vt:lpstr>
      <vt:lpstr>'Div 3'!OSRRefD21_1_3x</vt:lpstr>
      <vt:lpstr>'Div 4'!OSRRefD21_1_3x</vt:lpstr>
      <vt:lpstr>'Div 5'!OSRRefD21_1_3x</vt:lpstr>
      <vt:lpstr>'Div 6'!OSRRefD21_1_3x</vt:lpstr>
      <vt:lpstr>Summary!OSRRefD21_1_3x</vt:lpstr>
      <vt:lpstr>'201'!OSRRefD21_1_4x</vt:lpstr>
      <vt:lpstr>'202'!OSRRefD21_1_4x</vt:lpstr>
      <vt:lpstr>'203'!OSRRefD21_1_4x</vt:lpstr>
      <vt:lpstr>'204'!OSRRefD21_1_4x</vt:lpstr>
      <vt:lpstr>'205'!OSRRefD21_1_4x</vt:lpstr>
      <vt:lpstr>'206'!OSRRefD21_1_4x</vt:lpstr>
      <vt:lpstr>'300'!OSRRefD21_1_4x</vt:lpstr>
      <vt:lpstr>'300 &amp; 317'!OSRRefD21_1_4x</vt:lpstr>
      <vt:lpstr>'301'!OSRRefD21_1_4x</vt:lpstr>
      <vt:lpstr>'307'!OSRRefD21_1_4x</vt:lpstr>
      <vt:lpstr>'308'!OSRRefD21_1_4x</vt:lpstr>
      <vt:lpstr>'310'!OSRRefD21_1_4x</vt:lpstr>
      <vt:lpstr>'310 &amp; 491'!OSRRefD21_1_4x</vt:lpstr>
      <vt:lpstr>'311'!OSRRefD21_1_4x</vt:lpstr>
      <vt:lpstr>'315'!OSRRefD21_1_4x</vt:lpstr>
      <vt:lpstr>'316'!OSRRefD21_1_4x</vt:lpstr>
      <vt:lpstr>'317'!OSRRefD21_1_4x</vt:lpstr>
      <vt:lpstr>'321'!OSRRefD21_1_4x</vt:lpstr>
      <vt:lpstr>'325'!OSRRefD21_1_4x</vt:lpstr>
      <vt:lpstr>'326'!OSRRefD21_1_4x</vt:lpstr>
      <vt:lpstr>'331'!OSRRefD21_1_4x</vt:lpstr>
      <vt:lpstr>'332'!OSRRefD21_1_4x</vt:lpstr>
      <vt:lpstr>'333'!OSRRefD21_1_4x</vt:lpstr>
      <vt:lpstr>'405'!OSRRefD21_1_4x</vt:lpstr>
      <vt:lpstr>'411'!OSRRefD21_1_4x</vt:lpstr>
      <vt:lpstr>'415'!OSRRefD21_1_4x</vt:lpstr>
      <vt:lpstr>'418'!OSRRefD21_1_4x</vt:lpstr>
      <vt:lpstr>'423'!OSRRefD21_1_4x</vt:lpstr>
      <vt:lpstr>'430'!OSRRefD21_1_4x</vt:lpstr>
      <vt:lpstr>'433'!OSRRefD21_1_4x</vt:lpstr>
      <vt:lpstr>'444'!OSRRefD21_1_4x</vt:lpstr>
      <vt:lpstr>'450'!OSRRefD21_1_4x</vt:lpstr>
      <vt:lpstr>'491'!OSRRefD21_1_4x</vt:lpstr>
      <vt:lpstr>'492'!OSRRefD21_1_4x</vt:lpstr>
      <vt:lpstr>'501'!OSRRefD21_1_4x</vt:lpstr>
      <vt:lpstr>'Div 2'!OSRRefD21_1_4x</vt:lpstr>
      <vt:lpstr>'Div 3'!OSRRefD21_1_4x</vt:lpstr>
      <vt:lpstr>'Div 4'!OSRRefD21_1_4x</vt:lpstr>
      <vt:lpstr>'Div 5'!OSRRefD21_1_4x</vt:lpstr>
      <vt:lpstr>'Div 6'!OSRRefD21_1_4x</vt:lpstr>
      <vt:lpstr>Summary!OSRRefD21_1_4x</vt:lpstr>
      <vt:lpstr>'201'!OSRRefD21_1_5x</vt:lpstr>
      <vt:lpstr>'202'!OSRRefD21_1_5x</vt:lpstr>
      <vt:lpstr>'203'!OSRRefD21_1_5x</vt:lpstr>
      <vt:lpstr>'204'!OSRRefD21_1_5x</vt:lpstr>
      <vt:lpstr>'205'!OSRRefD21_1_5x</vt:lpstr>
      <vt:lpstr>'206'!OSRRefD21_1_5x</vt:lpstr>
      <vt:lpstr>'300'!OSRRefD21_1_5x</vt:lpstr>
      <vt:lpstr>'300 &amp; 317'!OSRRefD21_1_5x</vt:lpstr>
      <vt:lpstr>'301'!OSRRefD21_1_5x</vt:lpstr>
      <vt:lpstr>'307'!OSRRefD21_1_5x</vt:lpstr>
      <vt:lpstr>'308'!OSRRefD21_1_5x</vt:lpstr>
      <vt:lpstr>'310'!OSRRefD21_1_5x</vt:lpstr>
      <vt:lpstr>'310 &amp; 491'!OSRRefD21_1_5x</vt:lpstr>
      <vt:lpstr>'311'!OSRRefD21_1_5x</vt:lpstr>
      <vt:lpstr>'315'!OSRRefD21_1_5x</vt:lpstr>
      <vt:lpstr>'316'!OSRRefD21_1_5x</vt:lpstr>
      <vt:lpstr>'317'!OSRRefD21_1_5x</vt:lpstr>
      <vt:lpstr>'321'!OSRRefD21_1_5x</vt:lpstr>
      <vt:lpstr>'325'!OSRRefD21_1_5x</vt:lpstr>
      <vt:lpstr>'326'!OSRRefD21_1_5x</vt:lpstr>
      <vt:lpstr>'331'!OSRRefD21_1_5x</vt:lpstr>
      <vt:lpstr>'332'!OSRRefD21_1_5x</vt:lpstr>
      <vt:lpstr>'333'!OSRRefD21_1_5x</vt:lpstr>
      <vt:lpstr>'405'!OSRRefD21_1_5x</vt:lpstr>
      <vt:lpstr>'411'!OSRRefD21_1_5x</vt:lpstr>
      <vt:lpstr>'415'!OSRRefD21_1_5x</vt:lpstr>
      <vt:lpstr>'418'!OSRRefD21_1_5x</vt:lpstr>
      <vt:lpstr>'423'!OSRRefD21_1_5x</vt:lpstr>
      <vt:lpstr>'430'!OSRRefD21_1_5x</vt:lpstr>
      <vt:lpstr>'433'!OSRRefD21_1_5x</vt:lpstr>
      <vt:lpstr>'444'!OSRRefD21_1_5x</vt:lpstr>
      <vt:lpstr>'450'!OSRRefD21_1_5x</vt:lpstr>
      <vt:lpstr>'491'!OSRRefD21_1_5x</vt:lpstr>
      <vt:lpstr>'492'!OSRRefD21_1_5x</vt:lpstr>
      <vt:lpstr>'501'!OSRRefD21_1_5x</vt:lpstr>
      <vt:lpstr>'Div 2'!OSRRefD21_1_5x</vt:lpstr>
      <vt:lpstr>'Div 3'!OSRRefD21_1_5x</vt:lpstr>
      <vt:lpstr>'Div 4'!OSRRefD21_1_5x</vt:lpstr>
      <vt:lpstr>'Div 5'!OSRRefD21_1_5x</vt:lpstr>
      <vt:lpstr>'Div 6'!OSRRefD21_1_5x</vt:lpstr>
      <vt:lpstr>Summary!OSRRefD21_1_5x</vt:lpstr>
      <vt:lpstr>'201'!OSRRefD21_1_6x</vt:lpstr>
      <vt:lpstr>'202'!OSRRefD21_1_6x</vt:lpstr>
      <vt:lpstr>'203'!OSRRefD21_1_6x</vt:lpstr>
      <vt:lpstr>'204'!OSRRefD21_1_6x</vt:lpstr>
      <vt:lpstr>'205'!OSRRefD21_1_6x</vt:lpstr>
      <vt:lpstr>'206'!OSRRefD21_1_6x</vt:lpstr>
      <vt:lpstr>'300'!OSRRefD21_1_6x</vt:lpstr>
      <vt:lpstr>'300 &amp; 317'!OSRRefD21_1_6x</vt:lpstr>
      <vt:lpstr>'301'!OSRRefD21_1_6x</vt:lpstr>
      <vt:lpstr>'307'!OSRRefD21_1_6x</vt:lpstr>
      <vt:lpstr>'308'!OSRRefD21_1_6x</vt:lpstr>
      <vt:lpstr>'310'!OSRRefD21_1_6x</vt:lpstr>
      <vt:lpstr>'310 &amp; 491'!OSRRefD21_1_6x</vt:lpstr>
      <vt:lpstr>'311'!OSRRefD21_1_6x</vt:lpstr>
      <vt:lpstr>'315'!OSRRefD21_1_6x</vt:lpstr>
      <vt:lpstr>'316'!OSRRefD21_1_6x</vt:lpstr>
      <vt:lpstr>'317'!OSRRefD21_1_6x</vt:lpstr>
      <vt:lpstr>'321'!OSRRefD21_1_6x</vt:lpstr>
      <vt:lpstr>'325'!OSRRefD21_1_6x</vt:lpstr>
      <vt:lpstr>'326'!OSRRefD21_1_6x</vt:lpstr>
      <vt:lpstr>'331'!OSRRefD21_1_6x</vt:lpstr>
      <vt:lpstr>'332'!OSRRefD21_1_6x</vt:lpstr>
      <vt:lpstr>'333'!OSRRefD21_1_6x</vt:lpstr>
      <vt:lpstr>'405'!OSRRefD21_1_6x</vt:lpstr>
      <vt:lpstr>'411'!OSRRefD21_1_6x</vt:lpstr>
      <vt:lpstr>'415'!OSRRefD21_1_6x</vt:lpstr>
      <vt:lpstr>'418'!OSRRefD21_1_6x</vt:lpstr>
      <vt:lpstr>'423'!OSRRefD21_1_6x</vt:lpstr>
      <vt:lpstr>'430'!OSRRefD21_1_6x</vt:lpstr>
      <vt:lpstr>'433'!OSRRefD21_1_6x</vt:lpstr>
      <vt:lpstr>'444'!OSRRefD21_1_6x</vt:lpstr>
      <vt:lpstr>'450'!OSRRefD21_1_6x</vt:lpstr>
      <vt:lpstr>'491'!OSRRefD21_1_6x</vt:lpstr>
      <vt:lpstr>'492'!OSRRefD21_1_6x</vt:lpstr>
      <vt:lpstr>'501'!OSRRefD21_1_6x</vt:lpstr>
      <vt:lpstr>'Div 2'!OSRRefD21_1_6x</vt:lpstr>
      <vt:lpstr>'Div 3'!OSRRefD21_1_6x</vt:lpstr>
      <vt:lpstr>'Div 4'!OSRRefD21_1_6x</vt:lpstr>
      <vt:lpstr>'Div 5'!OSRRefD21_1_6x</vt:lpstr>
      <vt:lpstr>'Div 6'!OSRRefD21_1_6x</vt:lpstr>
      <vt:lpstr>Summary!OSRRefD21_1_6x</vt:lpstr>
      <vt:lpstr>'201'!OSRRefD21_1_7x</vt:lpstr>
      <vt:lpstr>'202'!OSRRefD21_1_7x</vt:lpstr>
      <vt:lpstr>'203'!OSRRefD21_1_7x</vt:lpstr>
      <vt:lpstr>'204'!OSRRefD21_1_7x</vt:lpstr>
      <vt:lpstr>'205'!OSRRefD21_1_7x</vt:lpstr>
      <vt:lpstr>'206'!OSRRefD21_1_7x</vt:lpstr>
      <vt:lpstr>'300'!OSRRefD21_1_7x</vt:lpstr>
      <vt:lpstr>'300 &amp; 317'!OSRRefD21_1_7x</vt:lpstr>
      <vt:lpstr>'301'!OSRRefD21_1_7x</vt:lpstr>
      <vt:lpstr>'307'!OSRRefD21_1_7x</vt:lpstr>
      <vt:lpstr>'308'!OSRRefD21_1_7x</vt:lpstr>
      <vt:lpstr>'310'!OSRRefD21_1_7x</vt:lpstr>
      <vt:lpstr>'310 &amp; 491'!OSRRefD21_1_7x</vt:lpstr>
      <vt:lpstr>'311'!OSRRefD21_1_7x</vt:lpstr>
      <vt:lpstr>'315'!OSRRefD21_1_7x</vt:lpstr>
      <vt:lpstr>'316'!OSRRefD21_1_7x</vt:lpstr>
      <vt:lpstr>'317'!OSRRefD21_1_7x</vt:lpstr>
      <vt:lpstr>'321'!OSRRefD21_1_7x</vt:lpstr>
      <vt:lpstr>'325'!OSRRefD21_1_7x</vt:lpstr>
      <vt:lpstr>'326'!OSRRefD21_1_7x</vt:lpstr>
      <vt:lpstr>'331'!OSRRefD21_1_7x</vt:lpstr>
      <vt:lpstr>'332'!OSRRefD21_1_7x</vt:lpstr>
      <vt:lpstr>'333'!OSRRefD21_1_7x</vt:lpstr>
      <vt:lpstr>'405'!OSRRefD21_1_7x</vt:lpstr>
      <vt:lpstr>'411'!OSRRefD21_1_7x</vt:lpstr>
      <vt:lpstr>'415'!OSRRefD21_1_7x</vt:lpstr>
      <vt:lpstr>'418'!OSRRefD21_1_7x</vt:lpstr>
      <vt:lpstr>'423'!OSRRefD21_1_7x</vt:lpstr>
      <vt:lpstr>'430'!OSRRefD21_1_7x</vt:lpstr>
      <vt:lpstr>'433'!OSRRefD21_1_7x</vt:lpstr>
      <vt:lpstr>'444'!OSRRefD21_1_7x</vt:lpstr>
      <vt:lpstr>'450'!OSRRefD21_1_7x</vt:lpstr>
      <vt:lpstr>'491'!OSRRefD21_1_7x</vt:lpstr>
      <vt:lpstr>'492'!OSRRefD21_1_7x</vt:lpstr>
      <vt:lpstr>'501'!OSRRefD21_1_7x</vt:lpstr>
      <vt:lpstr>'Div 2'!OSRRefD21_1_7x</vt:lpstr>
      <vt:lpstr>'Div 3'!OSRRefD21_1_7x</vt:lpstr>
      <vt:lpstr>'Div 4'!OSRRefD21_1_7x</vt:lpstr>
      <vt:lpstr>'Div 5'!OSRRefD21_1_7x</vt:lpstr>
      <vt:lpstr>'Div 6'!OSRRefD21_1_7x</vt:lpstr>
      <vt:lpstr>Summary!OSRRefD21_1_7x</vt:lpstr>
      <vt:lpstr>'201'!OSRRefD21_1_8x</vt:lpstr>
      <vt:lpstr>'202'!OSRRefD21_1_8x</vt:lpstr>
      <vt:lpstr>'203'!OSRRefD21_1_8x</vt:lpstr>
      <vt:lpstr>'204'!OSRRefD21_1_8x</vt:lpstr>
      <vt:lpstr>'205'!OSRRefD21_1_8x</vt:lpstr>
      <vt:lpstr>'206'!OSRRefD21_1_8x</vt:lpstr>
      <vt:lpstr>'300'!OSRRefD21_1_8x</vt:lpstr>
      <vt:lpstr>'300 &amp; 317'!OSRRefD21_1_8x</vt:lpstr>
      <vt:lpstr>'301'!OSRRefD21_1_8x</vt:lpstr>
      <vt:lpstr>'307'!OSRRefD21_1_8x</vt:lpstr>
      <vt:lpstr>'308'!OSRRefD21_1_8x</vt:lpstr>
      <vt:lpstr>'310'!OSRRefD21_1_8x</vt:lpstr>
      <vt:lpstr>'310 &amp; 491'!OSRRefD21_1_8x</vt:lpstr>
      <vt:lpstr>'311'!OSRRefD21_1_8x</vt:lpstr>
      <vt:lpstr>'315'!OSRRefD21_1_8x</vt:lpstr>
      <vt:lpstr>'316'!OSRRefD21_1_8x</vt:lpstr>
      <vt:lpstr>'317'!OSRRefD21_1_8x</vt:lpstr>
      <vt:lpstr>'321'!OSRRefD21_1_8x</vt:lpstr>
      <vt:lpstr>'325'!OSRRefD21_1_8x</vt:lpstr>
      <vt:lpstr>'326'!OSRRefD21_1_8x</vt:lpstr>
      <vt:lpstr>'331'!OSRRefD21_1_8x</vt:lpstr>
      <vt:lpstr>'332'!OSRRefD21_1_8x</vt:lpstr>
      <vt:lpstr>'333'!OSRRefD21_1_8x</vt:lpstr>
      <vt:lpstr>'405'!OSRRefD21_1_8x</vt:lpstr>
      <vt:lpstr>'411'!OSRRefD21_1_8x</vt:lpstr>
      <vt:lpstr>'415'!OSRRefD21_1_8x</vt:lpstr>
      <vt:lpstr>'418'!OSRRefD21_1_8x</vt:lpstr>
      <vt:lpstr>'423'!OSRRefD21_1_8x</vt:lpstr>
      <vt:lpstr>'430'!OSRRefD21_1_8x</vt:lpstr>
      <vt:lpstr>'433'!OSRRefD21_1_8x</vt:lpstr>
      <vt:lpstr>'444'!OSRRefD21_1_8x</vt:lpstr>
      <vt:lpstr>'450'!OSRRefD21_1_8x</vt:lpstr>
      <vt:lpstr>'491'!OSRRefD21_1_8x</vt:lpstr>
      <vt:lpstr>'492'!OSRRefD21_1_8x</vt:lpstr>
      <vt:lpstr>'501'!OSRRefD21_1_8x</vt:lpstr>
      <vt:lpstr>'Div 2'!OSRRefD21_1_8x</vt:lpstr>
      <vt:lpstr>'Div 3'!OSRRefD21_1_8x</vt:lpstr>
      <vt:lpstr>'Div 4'!OSRRefD21_1_8x</vt:lpstr>
      <vt:lpstr>'Div 5'!OSRRefD21_1_8x</vt:lpstr>
      <vt:lpstr>'Div 6'!OSRRefD21_1_8x</vt:lpstr>
      <vt:lpstr>Summary!OSRRefD21_1_8x</vt:lpstr>
      <vt:lpstr>'201'!OSRRefD21_1_9x</vt:lpstr>
      <vt:lpstr>'202'!OSRRefD21_1_9x</vt:lpstr>
      <vt:lpstr>'203'!OSRRefD21_1_9x</vt:lpstr>
      <vt:lpstr>'204'!OSRRefD21_1_9x</vt:lpstr>
      <vt:lpstr>'205'!OSRRefD21_1_9x</vt:lpstr>
      <vt:lpstr>'206'!OSRRefD21_1_9x</vt:lpstr>
      <vt:lpstr>'300'!OSRRefD21_1_9x</vt:lpstr>
      <vt:lpstr>'300 &amp; 317'!OSRRefD21_1_9x</vt:lpstr>
      <vt:lpstr>'301'!OSRRefD21_1_9x</vt:lpstr>
      <vt:lpstr>'307'!OSRRefD21_1_9x</vt:lpstr>
      <vt:lpstr>'308'!OSRRefD21_1_9x</vt:lpstr>
      <vt:lpstr>'310'!OSRRefD21_1_9x</vt:lpstr>
      <vt:lpstr>'310 &amp; 491'!OSRRefD21_1_9x</vt:lpstr>
      <vt:lpstr>'311'!OSRRefD21_1_9x</vt:lpstr>
      <vt:lpstr>'315'!OSRRefD21_1_9x</vt:lpstr>
      <vt:lpstr>'316'!OSRRefD21_1_9x</vt:lpstr>
      <vt:lpstr>'317'!OSRRefD21_1_9x</vt:lpstr>
      <vt:lpstr>'321'!OSRRefD21_1_9x</vt:lpstr>
      <vt:lpstr>'325'!OSRRefD21_1_9x</vt:lpstr>
      <vt:lpstr>'326'!OSRRefD21_1_9x</vt:lpstr>
      <vt:lpstr>'331'!OSRRefD21_1_9x</vt:lpstr>
      <vt:lpstr>'332'!OSRRefD21_1_9x</vt:lpstr>
      <vt:lpstr>'333'!OSRRefD21_1_9x</vt:lpstr>
      <vt:lpstr>'405'!OSRRefD21_1_9x</vt:lpstr>
      <vt:lpstr>'411'!OSRRefD21_1_9x</vt:lpstr>
      <vt:lpstr>'415'!OSRRefD21_1_9x</vt:lpstr>
      <vt:lpstr>'418'!OSRRefD21_1_9x</vt:lpstr>
      <vt:lpstr>'423'!OSRRefD21_1_9x</vt:lpstr>
      <vt:lpstr>'430'!OSRRefD21_1_9x</vt:lpstr>
      <vt:lpstr>'433'!OSRRefD21_1_9x</vt:lpstr>
      <vt:lpstr>'444'!OSRRefD21_1_9x</vt:lpstr>
      <vt:lpstr>'450'!OSRRefD21_1_9x</vt:lpstr>
      <vt:lpstr>'491'!OSRRefD21_1_9x</vt:lpstr>
      <vt:lpstr>'492'!OSRRefD21_1_9x</vt:lpstr>
      <vt:lpstr>'501'!OSRRefD21_1_9x</vt:lpstr>
      <vt:lpstr>'Div 2'!OSRRefD21_1_9x</vt:lpstr>
      <vt:lpstr>'Div 3'!OSRRefD21_1_9x</vt:lpstr>
      <vt:lpstr>'Div 4'!OSRRefD21_1_9x</vt:lpstr>
      <vt:lpstr>'Div 5'!OSRRefD21_1_9x</vt:lpstr>
      <vt:lpstr>'Div 6'!OSRRefD21_1_9x</vt:lpstr>
      <vt:lpstr>Summary!OSRRefD21_1_9x</vt:lpstr>
      <vt:lpstr>'201'!OSRRefD21_10_0x</vt:lpstr>
      <vt:lpstr>'202'!OSRRefD21_10_0x</vt:lpstr>
      <vt:lpstr>'203'!OSRRefD21_10_0x</vt:lpstr>
      <vt:lpstr>'300'!OSRRefD21_10_0x</vt:lpstr>
      <vt:lpstr>'300 &amp; 317'!OSRRefD21_10_0x</vt:lpstr>
      <vt:lpstr>'301'!OSRRefD21_10_0x</vt:lpstr>
      <vt:lpstr>'307'!OSRRefD21_10_0x</vt:lpstr>
      <vt:lpstr>'308'!OSRRefD21_10_0x</vt:lpstr>
      <vt:lpstr>'309'!OSRRefD21_10_0x</vt:lpstr>
      <vt:lpstr>'310'!OSRRefD21_10_0x</vt:lpstr>
      <vt:lpstr>'310 &amp; 491'!OSRRefD21_10_0x</vt:lpstr>
      <vt:lpstr>'311'!OSRRefD21_10_0x</vt:lpstr>
      <vt:lpstr>'315'!OSRRefD21_10_0x</vt:lpstr>
      <vt:lpstr>'316'!OSRRefD21_10_0x</vt:lpstr>
      <vt:lpstr>'317'!OSRRefD21_10_0x</vt:lpstr>
      <vt:lpstr>'321'!OSRRefD21_10_0x</vt:lpstr>
      <vt:lpstr>'325'!OSRRefD21_10_0x</vt:lpstr>
      <vt:lpstr>'326'!OSRRefD21_10_0x</vt:lpstr>
      <vt:lpstr>'331'!OSRRefD21_10_0x</vt:lpstr>
      <vt:lpstr>'332'!OSRRefD21_10_0x</vt:lpstr>
      <vt:lpstr>'333'!OSRRefD21_10_0x</vt:lpstr>
      <vt:lpstr>'405'!OSRRefD21_10_0x</vt:lpstr>
      <vt:lpstr>'411'!OSRRefD21_10_0x</vt:lpstr>
      <vt:lpstr>'415'!OSRRefD21_10_0x</vt:lpstr>
      <vt:lpstr>'418'!OSRRefD21_10_0x</vt:lpstr>
      <vt:lpstr>'433'!OSRRefD21_10_0x</vt:lpstr>
      <vt:lpstr>'444'!OSRRefD21_10_0x</vt:lpstr>
      <vt:lpstr>'450'!OSRRefD21_10_0x</vt:lpstr>
      <vt:lpstr>'491'!OSRRefD21_10_0x</vt:lpstr>
      <vt:lpstr>'492'!OSRRefD21_10_0x</vt:lpstr>
      <vt:lpstr>'501'!OSRRefD21_10_0x</vt:lpstr>
      <vt:lpstr>'Div 2'!OSRRefD21_10_0x</vt:lpstr>
      <vt:lpstr>'Div 3'!OSRRefD21_10_0x</vt:lpstr>
      <vt:lpstr>'Div 4'!OSRRefD21_10_0x</vt:lpstr>
      <vt:lpstr>'Div 5'!OSRRefD21_10_0x</vt:lpstr>
      <vt:lpstr>'Div 6'!OSRRefD21_10_0x</vt:lpstr>
      <vt:lpstr>Summary!OSRRefD21_10_0x</vt:lpstr>
      <vt:lpstr>'201'!OSRRefD21_10_1x</vt:lpstr>
      <vt:lpstr>'203'!OSRRefD21_10_1x</vt:lpstr>
      <vt:lpstr>'300'!OSRRefD21_10_1x</vt:lpstr>
      <vt:lpstr>'300 &amp; 317'!OSRRefD21_10_1x</vt:lpstr>
      <vt:lpstr>'307'!OSRRefD21_10_1x</vt:lpstr>
      <vt:lpstr>'308'!OSRRefD21_10_1x</vt:lpstr>
      <vt:lpstr>'309'!OSRRefD21_10_1x</vt:lpstr>
      <vt:lpstr>'311'!OSRRefD21_10_1x</vt:lpstr>
      <vt:lpstr>'316'!OSRRefD21_10_1x</vt:lpstr>
      <vt:lpstr>'321'!OSRRefD21_10_1x</vt:lpstr>
      <vt:lpstr>'332'!OSRRefD21_10_1x</vt:lpstr>
      <vt:lpstr>'405'!OSRRefD21_10_1x</vt:lpstr>
      <vt:lpstr>'Div 3'!OSRRefD21_10_1x</vt:lpstr>
      <vt:lpstr>Summary!OSRRefD21_10_1x</vt:lpstr>
      <vt:lpstr>'316'!OSRRefD21_10_2x</vt:lpstr>
      <vt:lpstr>'321'!OSRRefD21_10_2x</vt:lpstr>
      <vt:lpstr>'332'!OSRRefD21_10_2x</vt:lpstr>
      <vt:lpstr>'405'!OSRRefD21_10_2x</vt:lpstr>
      <vt:lpstr>'316'!OSRRefD21_10_3x</vt:lpstr>
      <vt:lpstr>'321'!OSRRefD21_10_3x</vt:lpstr>
      <vt:lpstr>'332'!OSRRefD21_10_3x</vt:lpstr>
      <vt:lpstr>'316'!OSRRefD21_10_4x</vt:lpstr>
      <vt:lpstr>'332'!OSRRefD21_10_4x</vt:lpstr>
      <vt:lpstr>'201'!OSRRefD21_10x_0</vt:lpstr>
      <vt:lpstr>'202'!OSRRefD21_10x_0</vt:lpstr>
      <vt:lpstr>'203'!OSRRefD21_10x_0</vt:lpstr>
      <vt:lpstr>'300'!OSRRefD21_10x_0</vt:lpstr>
      <vt:lpstr>'300 &amp; 317'!OSRRefD21_10x_0</vt:lpstr>
      <vt:lpstr>'301'!OSRRefD21_10x_0</vt:lpstr>
      <vt:lpstr>'307'!OSRRefD21_10x_0</vt:lpstr>
      <vt:lpstr>'308'!OSRRefD21_10x_0</vt:lpstr>
      <vt:lpstr>'309'!OSRRefD21_10x_0</vt:lpstr>
      <vt:lpstr>'310'!OSRRefD21_10x_0</vt:lpstr>
      <vt:lpstr>'310 &amp; 491'!OSRRefD21_10x_0</vt:lpstr>
      <vt:lpstr>'311'!OSRRefD21_10x_0</vt:lpstr>
      <vt:lpstr>'315'!OSRRefD21_10x_0</vt:lpstr>
      <vt:lpstr>'316'!OSRRefD21_10x_0</vt:lpstr>
      <vt:lpstr>'317'!OSRRefD21_10x_0</vt:lpstr>
      <vt:lpstr>'321'!OSRRefD21_10x_0</vt:lpstr>
      <vt:lpstr>'325'!OSRRefD21_10x_0</vt:lpstr>
      <vt:lpstr>'326'!OSRRefD21_10x_0</vt:lpstr>
      <vt:lpstr>'331'!OSRRefD21_10x_0</vt:lpstr>
      <vt:lpstr>'332'!OSRRefD21_10x_0</vt:lpstr>
      <vt:lpstr>'333'!OSRRefD21_10x_0</vt:lpstr>
      <vt:lpstr>'405'!OSRRefD21_10x_0</vt:lpstr>
      <vt:lpstr>'411'!OSRRefD21_10x_0</vt:lpstr>
      <vt:lpstr>'415'!OSRRefD21_10x_0</vt:lpstr>
      <vt:lpstr>'418'!OSRRefD21_10x_0</vt:lpstr>
      <vt:lpstr>'433'!OSRRefD21_10x_0</vt:lpstr>
      <vt:lpstr>'444'!OSRRefD21_10x_0</vt:lpstr>
      <vt:lpstr>'450'!OSRRefD21_10x_0</vt:lpstr>
      <vt:lpstr>'491'!OSRRefD21_10x_0</vt:lpstr>
      <vt:lpstr>'492'!OSRRefD21_10x_0</vt:lpstr>
      <vt:lpstr>'501'!OSRRefD21_10x_0</vt:lpstr>
      <vt:lpstr>'Div 2'!OSRRefD21_10x_0</vt:lpstr>
      <vt:lpstr>'Div 3'!OSRRefD21_10x_0</vt:lpstr>
      <vt:lpstr>'Div 4'!OSRRefD21_10x_0</vt:lpstr>
      <vt:lpstr>'Div 5'!OSRRefD21_10x_0</vt:lpstr>
      <vt:lpstr>'Div 6'!OSRRefD21_10x_0</vt:lpstr>
      <vt:lpstr>Summary!OSRRefD21_10x_0</vt:lpstr>
      <vt:lpstr>'201'!OSRRefD21_10x_1</vt:lpstr>
      <vt:lpstr>'202'!OSRRefD21_10x_1</vt:lpstr>
      <vt:lpstr>'203'!OSRRefD21_10x_1</vt:lpstr>
      <vt:lpstr>'300'!OSRRefD21_10x_1</vt:lpstr>
      <vt:lpstr>'300 &amp; 317'!OSRRefD21_10x_1</vt:lpstr>
      <vt:lpstr>'301'!OSRRefD21_10x_1</vt:lpstr>
      <vt:lpstr>'307'!OSRRefD21_10x_1</vt:lpstr>
      <vt:lpstr>'308'!OSRRefD21_10x_1</vt:lpstr>
      <vt:lpstr>'309'!OSRRefD21_10x_1</vt:lpstr>
      <vt:lpstr>'310'!OSRRefD21_10x_1</vt:lpstr>
      <vt:lpstr>'310 &amp; 491'!OSRRefD21_10x_1</vt:lpstr>
      <vt:lpstr>'311'!OSRRefD21_10x_1</vt:lpstr>
      <vt:lpstr>'315'!OSRRefD21_10x_1</vt:lpstr>
      <vt:lpstr>'316'!OSRRefD21_10x_1</vt:lpstr>
      <vt:lpstr>'317'!OSRRefD21_10x_1</vt:lpstr>
      <vt:lpstr>'321'!OSRRefD21_10x_1</vt:lpstr>
      <vt:lpstr>'325'!OSRRefD21_10x_1</vt:lpstr>
      <vt:lpstr>'326'!OSRRefD21_10x_1</vt:lpstr>
      <vt:lpstr>'331'!OSRRefD21_10x_1</vt:lpstr>
      <vt:lpstr>'332'!OSRRefD21_10x_1</vt:lpstr>
      <vt:lpstr>'333'!OSRRefD21_10x_1</vt:lpstr>
      <vt:lpstr>'405'!OSRRefD21_10x_1</vt:lpstr>
      <vt:lpstr>'411'!OSRRefD21_10x_1</vt:lpstr>
      <vt:lpstr>'415'!OSRRefD21_10x_1</vt:lpstr>
      <vt:lpstr>'418'!OSRRefD21_10x_1</vt:lpstr>
      <vt:lpstr>'433'!OSRRefD21_10x_1</vt:lpstr>
      <vt:lpstr>'444'!OSRRefD21_10x_1</vt:lpstr>
      <vt:lpstr>'450'!OSRRefD21_10x_1</vt:lpstr>
      <vt:lpstr>'491'!OSRRefD21_10x_1</vt:lpstr>
      <vt:lpstr>'492'!OSRRefD21_10x_1</vt:lpstr>
      <vt:lpstr>'501'!OSRRefD21_10x_1</vt:lpstr>
      <vt:lpstr>'Div 2'!OSRRefD21_10x_1</vt:lpstr>
      <vt:lpstr>'Div 3'!OSRRefD21_10x_1</vt:lpstr>
      <vt:lpstr>'Div 4'!OSRRefD21_10x_1</vt:lpstr>
      <vt:lpstr>'Div 5'!OSRRefD21_10x_1</vt:lpstr>
      <vt:lpstr>'Div 6'!OSRRefD21_10x_1</vt:lpstr>
      <vt:lpstr>Summary!OSRRefD21_10x_1</vt:lpstr>
      <vt:lpstr>'201'!OSRRefD21_10x_2</vt:lpstr>
      <vt:lpstr>'202'!OSRRefD21_10x_2</vt:lpstr>
      <vt:lpstr>'203'!OSRRefD21_10x_2</vt:lpstr>
      <vt:lpstr>'300'!OSRRefD21_10x_2</vt:lpstr>
      <vt:lpstr>'300 &amp; 317'!OSRRefD21_10x_2</vt:lpstr>
      <vt:lpstr>'301'!OSRRefD21_10x_2</vt:lpstr>
      <vt:lpstr>'307'!OSRRefD21_10x_2</vt:lpstr>
      <vt:lpstr>'308'!OSRRefD21_10x_2</vt:lpstr>
      <vt:lpstr>'309'!OSRRefD21_10x_2</vt:lpstr>
      <vt:lpstr>'310'!OSRRefD21_10x_2</vt:lpstr>
      <vt:lpstr>'310 &amp; 491'!OSRRefD21_10x_2</vt:lpstr>
      <vt:lpstr>'311'!OSRRefD21_10x_2</vt:lpstr>
      <vt:lpstr>'315'!OSRRefD21_10x_2</vt:lpstr>
      <vt:lpstr>'316'!OSRRefD21_10x_2</vt:lpstr>
      <vt:lpstr>'317'!OSRRefD21_10x_2</vt:lpstr>
      <vt:lpstr>'321'!OSRRefD21_10x_2</vt:lpstr>
      <vt:lpstr>'325'!OSRRefD21_10x_2</vt:lpstr>
      <vt:lpstr>'326'!OSRRefD21_10x_2</vt:lpstr>
      <vt:lpstr>'331'!OSRRefD21_10x_2</vt:lpstr>
      <vt:lpstr>'332'!OSRRefD21_10x_2</vt:lpstr>
      <vt:lpstr>'333'!OSRRefD21_10x_2</vt:lpstr>
      <vt:lpstr>'405'!OSRRefD21_10x_2</vt:lpstr>
      <vt:lpstr>'411'!OSRRefD21_10x_2</vt:lpstr>
      <vt:lpstr>'415'!OSRRefD21_10x_2</vt:lpstr>
      <vt:lpstr>'418'!OSRRefD21_10x_2</vt:lpstr>
      <vt:lpstr>'433'!OSRRefD21_10x_2</vt:lpstr>
      <vt:lpstr>'444'!OSRRefD21_10x_2</vt:lpstr>
      <vt:lpstr>'450'!OSRRefD21_10x_2</vt:lpstr>
      <vt:lpstr>'491'!OSRRefD21_10x_2</vt:lpstr>
      <vt:lpstr>'492'!OSRRefD21_10x_2</vt:lpstr>
      <vt:lpstr>'501'!OSRRefD21_10x_2</vt:lpstr>
      <vt:lpstr>'Div 2'!OSRRefD21_10x_2</vt:lpstr>
      <vt:lpstr>'Div 3'!OSRRefD21_10x_2</vt:lpstr>
      <vt:lpstr>'Div 4'!OSRRefD21_10x_2</vt:lpstr>
      <vt:lpstr>'Div 5'!OSRRefD21_10x_2</vt:lpstr>
      <vt:lpstr>'Div 6'!OSRRefD21_10x_2</vt:lpstr>
      <vt:lpstr>Summary!OSRRefD21_10x_2</vt:lpstr>
      <vt:lpstr>'201'!OSRRefD21_10x_3</vt:lpstr>
      <vt:lpstr>'202'!OSRRefD21_10x_3</vt:lpstr>
      <vt:lpstr>'203'!OSRRefD21_10x_3</vt:lpstr>
      <vt:lpstr>'300'!OSRRefD21_10x_3</vt:lpstr>
      <vt:lpstr>'300 &amp; 317'!OSRRefD21_10x_3</vt:lpstr>
      <vt:lpstr>'301'!OSRRefD21_10x_3</vt:lpstr>
      <vt:lpstr>'307'!OSRRefD21_10x_3</vt:lpstr>
      <vt:lpstr>'308'!OSRRefD21_10x_3</vt:lpstr>
      <vt:lpstr>'309'!OSRRefD21_10x_3</vt:lpstr>
      <vt:lpstr>'310'!OSRRefD21_10x_3</vt:lpstr>
      <vt:lpstr>'310 &amp; 491'!OSRRefD21_10x_3</vt:lpstr>
      <vt:lpstr>'311'!OSRRefD21_10x_3</vt:lpstr>
      <vt:lpstr>'315'!OSRRefD21_10x_3</vt:lpstr>
      <vt:lpstr>'316'!OSRRefD21_10x_3</vt:lpstr>
      <vt:lpstr>'317'!OSRRefD21_10x_3</vt:lpstr>
      <vt:lpstr>'321'!OSRRefD21_10x_3</vt:lpstr>
      <vt:lpstr>'325'!OSRRefD21_10x_3</vt:lpstr>
      <vt:lpstr>'326'!OSRRefD21_10x_3</vt:lpstr>
      <vt:lpstr>'331'!OSRRefD21_10x_3</vt:lpstr>
      <vt:lpstr>'332'!OSRRefD21_10x_3</vt:lpstr>
      <vt:lpstr>'333'!OSRRefD21_10x_3</vt:lpstr>
      <vt:lpstr>'405'!OSRRefD21_10x_3</vt:lpstr>
      <vt:lpstr>'411'!OSRRefD21_10x_3</vt:lpstr>
      <vt:lpstr>'415'!OSRRefD21_10x_3</vt:lpstr>
      <vt:lpstr>'418'!OSRRefD21_10x_3</vt:lpstr>
      <vt:lpstr>'433'!OSRRefD21_10x_3</vt:lpstr>
      <vt:lpstr>'444'!OSRRefD21_10x_3</vt:lpstr>
      <vt:lpstr>'450'!OSRRefD21_10x_3</vt:lpstr>
      <vt:lpstr>'491'!OSRRefD21_10x_3</vt:lpstr>
      <vt:lpstr>'492'!OSRRefD21_10x_3</vt:lpstr>
      <vt:lpstr>'501'!OSRRefD21_10x_3</vt:lpstr>
      <vt:lpstr>'Div 2'!OSRRefD21_10x_3</vt:lpstr>
      <vt:lpstr>'Div 3'!OSRRefD21_10x_3</vt:lpstr>
      <vt:lpstr>'Div 4'!OSRRefD21_10x_3</vt:lpstr>
      <vt:lpstr>'Div 5'!OSRRefD21_10x_3</vt:lpstr>
      <vt:lpstr>'Div 6'!OSRRefD21_10x_3</vt:lpstr>
      <vt:lpstr>Summary!OSRRefD21_10x_3</vt:lpstr>
      <vt:lpstr>'201'!OSRRefD21_10x_4</vt:lpstr>
      <vt:lpstr>'202'!OSRRefD21_10x_4</vt:lpstr>
      <vt:lpstr>'203'!OSRRefD21_10x_4</vt:lpstr>
      <vt:lpstr>'300'!OSRRefD21_10x_4</vt:lpstr>
      <vt:lpstr>'300 &amp; 317'!OSRRefD21_10x_4</vt:lpstr>
      <vt:lpstr>'301'!OSRRefD21_10x_4</vt:lpstr>
      <vt:lpstr>'307'!OSRRefD21_10x_4</vt:lpstr>
      <vt:lpstr>'308'!OSRRefD21_10x_4</vt:lpstr>
      <vt:lpstr>'309'!OSRRefD21_10x_4</vt:lpstr>
      <vt:lpstr>'310'!OSRRefD21_10x_4</vt:lpstr>
      <vt:lpstr>'310 &amp; 491'!OSRRefD21_10x_4</vt:lpstr>
      <vt:lpstr>'311'!OSRRefD21_10x_4</vt:lpstr>
      <vt:lpstr>'315'!OSRRefD21_10x_4</vt:lpstr>
      <vt:lpstr>'316'!OSRRefD21_10x_4</vt:lpstr>
      <vt:lpstr>'317'!OSRRefD21_10x_4</vt:lpstr>
      <vt:lpstr>'321'!OSRRefD21_10x_4</vt:lpstr>
      <vt:lpstr>'325'!OSRRefD21_10x_4</vt:lpstr>
      <vt:lpstr>'326'!OSRRefD21_10x_4</vt:lpstr>
      <vt:lpstr>'331'!OSRRefD21_10x_4</vt:lpstr>
      <vt:lpstr>'332'!OSRRefD21_10x_4</vt:lpstr>
      <vt:lpstr>'333'!OSRRefD21_10x_4</vt:lpstr>
      <vt:lpstr>'405'!OSRRefD21_10x_4</vt:lpstr>
      <vt:lpstr>'411'!OSRRefD21_10x_4</vt:lpstr>
      <vt:lpstr>'415'!OSRRefD21_10x_4</vt:lpstr>
      <vt:lpstr>'418'!OSRRefD21_10x_4</vt:lpstr>
      <vt:lpstr>'433'!OSRRefD21_10x_4</vt:lpstr>
      <vt:lpstr>'444'!OSRRefD21_10x_4</vt:lpstr>
      <vt:lpstr>'450'!OSRRefD21_10x_4</vt:lpstr>
      <vt:lpstr>'491'!OSRRefD21_10x_4</vt:lpstr>
      <vt:lpstr>'492'!OSRRefD21_10x_4</vt:lpstr>
      <vt:lpstr>'501'!OSRRefD21_10x_4</vt:lpstr>
      <vt:lpstr>'Div 2'!OSRRefD21_10x_4</vt:lpstr>
      <vt:lpstr>'Div 3'!OSRRefD21_10x_4</vt:lpstr>
      <vt:lpstr>'Div 4'!OSRRefD21_10x_4</vt:lpstr>
      <vt:lpstr>'Div 5'!OSRRefD21_10x_4</vt:lpstr>
      <vt:lpstr>'Div 6'!OSRRefD21_10x_4</vt:lpstr>
      <vt:lpstr>Summary!OSRRefD21_10x_4</vt:lpstr>
      <vt:lpstr>'201'!OSRRefD21_10x_5</vt:lpstr>
      <vt:lpstr>'202'!OSRRefD21_10x_5</vt:lpstr>
      <vt:lpstr>'203'!OSRRefD21_10x_5</vt:lpstr>
      <vt:lpstr>'300'!OSRRefD21_10x_5</vt:lpstr>
      <vt:lpstr>'300 &amp; 317'!OSRRefD21_10x_5</vt:lpstr>
      <vt:lpstr>'301'!OSRRefD21_10x_5</vt:lpstr>
      <vt:lpstr>'307'!OSRRefD21_10x_5</vt:lpstr>
      <vt:lpstr>'308'!OSRRefD21_10x_5</vt:lpstr>
      <vt:lpstr>'309'!OSRRefD21_10x_5</vt:lpstr>
      <vt:lpstr>'310'!OSRRefD21_10x_5</vt:lpstr>
      <vt:lpstr>'310 &amp; 491'!OSRRefD21_10x_5</vt:lpstr>
      <vt:lpstr>'311'!OSRRefD21_10x_5</vt:lpstr>
      <vt:lpstr>'315'!OSRRefD21_10x_5</vt:lpstr>
      <vt:lpstr>'316'!OSRRefD21_10x_5</vt:lpstr>
      <vt:lpstr>'317'!OSRRefD21_10x_5</vt:lpstr>
      <vt:lpstr>'321'!OSRRefD21_10x_5</vt:lpstr>
      <vt:lpstr>'325'!OSRRefD21_10x_5</vt:lpstr>
      <vt:lpstr>'326'!OSRRefD21_10x_5</vt:lpstr>
      <vt:lpstr>'331'!OSRRefD21_10x_5</vt:lpstr>
      <vt:lpstr>'332'!OSRRefD21_10x_5</vt:lpstr>
      <vt:lpstr>'333'!OSRRefD21_10x_5</vt:lpstr>
      <vt:lpstr>'405'!OSRRefD21_10x_5</vt:lpstr>
      <vt:lpstr>'411'!OSRRefD21_10x_5</vt:lpstr>
      <vt:lpstr>'415'!OSRRefD21_10x_5</vt:lpstr>
      <vt:lpstr>'418'!OSRRefD21_10x_5</vt:lpstr>
      <vt:lpstr>'433'!OSRRefD21_10x_5</vt:lpstr>
      <vt:lpstr>'444'!OSRRefD21_10x_5</vt:lpstr>
      <vt:lpstr>'450'!OSRRefD21_10x_5</vt:lpstr>
      <vt:lpstr>'491'!OSRRefD21_10x_5</vt:lpstr>
      <vt:lpstr>'492'!OSRRefD21_10x_5</vt:lpstr>
      <vt:lpstr>'501'!OSRRefD21_10x_5</vt:lpstr>
      <vt:lpstr>'Div 2'!OSRRefD21_10x_5</vt:lpstr>
      <vt:lpstr>'Div 3'!OSRRefD21_10x_5</vt:lpstr>
      <vt:lpstr>'Div 4'!OSRRefD21_10x_5</vt:lpstr>
      <vt:lpstr>'Div 5'!OSRRefD21_10x_5</vt:lpstr>
      <vt:lpstr>'Div 6'!OSRRefD21_10x_5</vt:lpstr>
      <vt:lpstr>Summary!OSRRefD21_10x_5</vt:lpstr>
      <vt:lpstr>'201'!OSRRefD21_10x_6</vt:lpstr>
      <vt:lpstr>'202'!OSRRefD21_10x_6</vt:lpstr>
      <vt:lpstr>'203'!OSRRefD21_10x_6</vt:lpstr>
      <vt:lpstr>'300'!OSRRefD21_10x_6</vt:lpstr>
      <vt:lpstr>'300 &amp; 317'!OSRRefD21_10x_6</vt:lpstr>
      <vt:lpstr>'301'!OSRRefD21_10x_6</vt:lpstr>
      <vt:lpstr>'307'!OSRRefD21_10x_6</vt:lpstr>
      <vt:lpstr>'308'!OSRRefD21_10x_6</vt:lpstr>
      <vt:lpstr>'309'!OSRRefD21_10x_6</vt:lpstr>
      <vt:lpstr>'310'!OSRRefD21_10x_6</vt:lpstr>
      <vt:lpstr>'310 &amp; 491'!OSRRefD21_10x_6</vt:lpstr>
      <vt:lpstr>'311'!OSRRefD21_10x_6</vt:lpstr>
      <vt:lpstr>'315'!OSRRefD21_10x_6</vt:lpstr>
      <vt:lpstr>'316'!OSRRefD21_10x_6</vt:lpstr>
      <vt:lpstr>'317'!OSRRefD21_10x_6</vt:lpstr>
      <vt:lpstr>'321'!OSRRefD21_10x_6</vt:lpstr>
      <vt:lpstr>'325'!OSRRefD21_10x_6</vt:lpstr>
      <vt:lpstr>'326'!OSRRefD21_10x_6</vt:lpstr>
      <vt:lpstr>'331'!OSRRefD21_10x_6</vt:lpstr>
      <vt:lpstr>'332'!OSRRefD21_10x_6</vt:lpstr>
      <vt:lpstr>'333'!OSRRefD21_10x_6</vt:lpstr>
      <vt:lpstr>'405'!OSRRefD21_10x_6</vt:lpstr>
      <vt:lpstr>'411'!OSRRefD21_10x_6</vt:lpstr>
      <vt:lpstr>'415'!OSRRefD21_10x_6</vt:lpstr>
      <vt:lpstr>'418'!OSRRefD21_10x_6</vt:lpstr>
      <vt:lpstr>'433'!OSRRefD21_10x_6</vt:lpstr>
      <vt:lpstr>'444'!OSRRefD21_10x_6</vt:lpstr>
      <vt:lpstr>'450'!OSRRefD21_10x_6</vt:lpstr>
      <vt:lpstr>'491'!OSRRefD21_10x_6</vt:lpstr>
      <vt:lpstr>'492'!OSRRefD21_10x_6</vt:lpstr>
      <vt:lpstr>'501'!OSRRefD21_10x_6</vt:lpstr>
      <vt:lpstr>'Div 2'!OSRRefD21_10x_6</vt:lpstr>
      <vt:lpstr>'Div 3'!OSRRefD21_10x_6</vt:lpstr>
      <vt:lpstr>'Div 4'!OSRRefD21_10x_6</vt:lpstr>
      <vt:lpstr>'Div 5'!OSRRefD21_10x_6</vt:lpstr>
      <vt:lpstr>'Div 6'!OSRRefD21_10x_6</vt:lpstr>
      <vt:lpstr>Summary!OSRRefD21_10x_6</vt:lpstr>
      <vt:lpstr>'201'!OSRRefD21_10x_7</vt:lpstr>
      <vt:lpstr>'202'!OSRRefD21_10x_7</vt:lpstr>
      <vt:lpstr>'203'!OSRRefD21_10x_7</vt:lpstr>
      <vt:lpstr>'300'!OSRRefD21_10x_7</vt:lpstr>
      <vt:lpstr>'300 &amp; 317'!OSRRefD21_10x_7</vt:lpstr>
      <vt:lpstr>'301'!OSRRefD21_10x_7</vt:lpstr>
      <vt:lpstr>'307'!OSRRefD21_10x_7</vt:lpstr>
      <vt:lpstr>'308'!OSRRefD21_10x_7</vt:lpstr>
      <vt:lpstr>'309'!OSRRefD21_10x_7</vt:lpstr>
      <vt:lpstr>'310'!OSRRefD21_10x_7</vt:lpstr>
      <vt:lpstr>'310 &amp; 491'!OSRRefD21_10x_7</vt:lpstr>
      <vt:lpstr>'311'!OSRRefD21_10x_7</vt:lpstr>
      <vt:lpstr>'315'!OSRRefD21_10x_7</vt:lpstr>
      <vt:lpstr>'316'!OSRRefD21_10x_7</vt:lpstr>
      <vt:lpstr>'317'!OSRRefD21_10x_7</vt:lpstr>
      <vt:lpstr>'321'!OSRRefD21_10x_7</vt:lpstr>
      <vt:lpstr>'325'!OSRRefD21_10x_7</vt:lpstr>
      <vt:lpstr>'326'!OSRRefD21_10x_7</vt:lpstr>
      <vt:lpstr>'331'!OSRRefD21_10x_7</vt:lpstr>
      <vt:lpstr>'332'!OSRRefD21_10x_7</vt:lpstr>
      <vt:lpstr>'333'!OSRRefD21_10x_7</vt:lpstr>
      <vt:lpstr>'405'!OSRRefD21_10x_7</vt:lpstr>
      <vt:lpstr>'411'!OSRRefD21_10x_7</vt:lpstr>
      <vt:lpstr>'415'!OSRRefD21_10x_7</vt:lpstr>
      <vt:lpstr>'418'!OSRRefD21_10x_7</vt:lpstr>
      <vt:lpstr>'433'!OSRRefD21_10x_7</vt:lpstr>
      <vt:lpstr>'444'!OSRRefD21_10x_7</vt:lpstr>
      <vt:lpstr>'450'!OSRRefD21_10x_7</vt:lpstr>
      <vt:lpstr>'491'!OSRRefD21_10x_7</vt:lpstr>
      <vt:lpstr>'492'!OSRRefD21_10x_7</vt:lpstr>
      <vt:lpstr>'501'!OSRRefD21_10x_7</vt:lpstr>
      <vt:lpstr>'Div 2'!OSRRefD21_10x_7</vt:lpstr>
      <vt:lpstr>'Div 3'!OSRRefD21_10x_7</vt:lpstr>
      <vt:lpstr>'Div 4'!OSRRefD21_10x_7</vt:lpstr>
      <vt:lpstr>'Div 5'!OSRRefD21_10x_7</vt:lpstr>
      <vt:lpstr>'Div 6'!OSRRefD21_10x_7</vt:lpstr>
      <vt:lpstr>Summary!OSRRefD21_10x_7</vt:lpstr>
      <vt:lpstr>'201'!OSRRefD21_10x_8</vt:lpstr>
      <vt:lpstr>'202'!OSRRefD21_10x_8</vt:lpstr>
      <vt:lpstr>'203'!OSRRefD21_10x_8</vt:lpstr>
      <vt:lpstr>'300'!OSRRefD21_10x_8</vt:lpstr>
      <vt:lpstr>'300 &amp; 317'!OSRRefD21_10x_8</vt:lpstr>
      <vt:lpstr>'301'!OSRRefD21_10x_8</vt:lpstr>
      <vt:lpstr>'307'!OSRRefD21_10x_8</vt:lpstr>
      <vt:lpstr>'308'!OSRRefD21_10x_8</vt:lpstr>
      <vt:lpstr>'309'!OSRRefD21_10x_8</vt:lpstr>
      <vt:lpstr>'310'!OSRRefD21_10x_8</vt:lpstr>
      <vt:lpstr>'310 &amp; 491'!OSRRefD21_10x_8</vt:lpstr>
      <vt:lpstr>'311'!OSRRefD21_10x_8</vt:lpstr>
      <vt:lpstr>'315'!OSRRefD21_10x_8</vt:lpstr>
      <vt:lpstr>'316'!OSRRefD21_10x_8</vt:lpstr>
      <vt:lpstr>'317'!OSRRefD21_10x_8</vt:lpstr>
      <vt:lpstr>'321'!OSRRefD21_10x_8</vt:lpstr>
      <vt:lpstr>'325'!OSRRefD21_10x_8</vt:lpstr>
      <vt:lpstr>'326'!OSRRefD21_10x_8</vt:lpstr>
      <vt:lpstr>'331'!OSRRefD21_10x_8</vt:lpstr>
      <vt:lpstr>'332'!OSRRefD21_10x_8</vt:lpstr>
      <vt:lpstr>'333'!OSRRefD21_10x_8</vt:lpstr>
      <vt:lpstr>'405'!OSRRefD21_10x_8</vt:lpstr>
      <vt:lpstr>'411'!OSRRefD21_10x_8</vt:lpstr>
      <vt:lpstr>'415'!OSRRefD21_10x_8</vt:lpstr>
      <vt:lpstr>'418'!OSRRefD21_10x_8</vt:lpstr>
      <vt:lpstr>'433'!OSRRefD21_10x_8</vt:lpstr>
      <vt:lpstr>'444'!OSRRefD21_10x_8</vt:lpstr>
      <vt:lpstr>'450'!OSRRefD21_10x_8</vt:lpstr>
      <vt:lpstr>'491'!OSRRefD21_10x_8</vt:lpstr>
      <vt:lpstr>'492'!OSRRefD21_10x_8</vt:lpstr>
      <vt:lpstr>'501'!OSRRefD21_10x_8</vt:lpstr>
      <vt:lpstr>'Div 2'!OSRRefD21_10x_8</vt:lpstr>
      <vt:lpstr>'Div 3'!OSRRefD21_10x_8</vt:lpstr>
      <vt:lpstr>'Div 4'!OSRRefD21_10x_8</vt:lpstr>
      <vt:lpstr>'Div 5'!OSRRefD21_10x_8</vt:lpstr>
      <vt:lpstr>'Div 6'!OSRRefD21_10x_8</vt:lpstr>
      <vt:lpstr>Summary!OSRRefD21_10x_8</vt:lpstr>
      <vt:lpstr>'201'!OSRRefD21_10x_9</vt:lpstr>
      <vt:lpstr>'202'!OSRRefD21_10x_9</vt:lpstr>
      <vt:lpstr>'203'!OSRRefD21_10x_9</vt:lpstr>
      <vt:lpstr>'300'!OSRRefD21_10x_9</vt:lpstr>
      <vt:lpstr>'300 &amp; 317'!OSRRefD21_10x_9</vt:lpstr>
      <vt:lpstr>'301'!OSRRefD21_10x_9</vt:lpstr>
      <vt:lpstr>'307'!OSRRefD21_10x_9</vt:lpstr>
      <vt:lpstr>'308'!OSRRefD21_10x_9</vt:lpstr>
      <vt:lpstr>'309'!OSRRefD21_10x_9</vt:lpstr>
      <vt:lpstr>'310'!OSRRefD21_10x_9</vt:lpstr>
      <vt:lpstr>'310 &amp; 491'!OSRRefD21_10x_9</vt:lpstr>
      <vt:lpstr>'311'!OSRRefD21_10x_9</vt:lpstr>
      <vt:lpstr>'315'!OSRRefD21_10x_9</vt:lpstr>
      <vt:lpstr>'316'!OSRRefD21_10x_9</vt:lpstr>
      <vt:lpstr>'317'!OSRRefD21_10x_9</vt:lpstr>
      <vt:lpstr>'321'!OSRRefD21_10x_9</vt:lpstr>
      <vt:lpstr>'325'!OSRRefD21_10x_9</vt:lpstr>
      <vt:lpstr>'326'!OSRRefD21_10x_9</vt:lpstr>
      <vt:lpstr>'331'!OSRRefD21_10x_9</vt:lpstr>
      <vt:lpstr>'332'!OSRRefD21_10x_9</vt:lpstr>
      <vt:lpstr>'333'!OSRRefD21_10x_9</vt:lpstr>
      <vt:lpstr>'405'!OSRRefD21_10x_9</vt:lpstr>
      <vt:lpstr>'411'!OSRRefD21_10x_9</vt:lpstr>
      <vt:lpstr>'415'!OSRRefD21_10x_9</vt:lpstr>
      <vt:lpstr>'418'!OSRRefD21_10x_9</vt:lpstr>
      <vt:lpstr>'433'!OSRRefD21_10x_9</vt:lpstr>
      <vt:lpstr>'444'!OSRRefD21_10x_9</vt:lpstr>
      <vt:lpstr>'450'!OSRRefD21_10x_9</vt:lpstr>
      <vt:lpstr>'491'!OSRRefD21_10x_9</vt:lpstr>
      <vt:lpstr>'492'!OSRRefD21_10x_9</vt:lpstr>
      <vt:lpstr>'501'!OSRRefD21_10x_9</vt:lpstr>
      <vt:lpstr>'Div 2'!OSRRefD21_10x_9</vt:lpstr>
      <vt:lpstr>'Div 3'!OSRRefD21_10x_9</vt:lpstr>
      <vt:lpstr>'Div 4'!OSRRefD21_10x_9</vt:lpstr>
      <vt:lpstr>'Div 5'!OSRRefD21_10x_9</vt:lpstr>
      <vt:lpstr>'Div 6'!OSRRefD21_10x_9</vt:lpstr>
      <vt:lpstr>Summary!OSRRefD21_10x_9</vt:lpstr>
      <vt:lpstr>'201'!OSRRefD21_11_0x</vt:lpstr>
      <vt:lpstr>'202'!OSRRefD21_11_0x</vt:lpstr>
      <vt:lpstr>'203'!OSRRefD21_11_0x</vt:lpstr>
      <vt:lpstr>'300'!OSRRefD21_11_0x</vt:lpstr>
      <vt:lpstr>'300 &amp; 317'!OSRRefD21_11_0x</vt:lpstr>
      <vt:lpstr>'301'!OSRRefD21_11_0x</vt:lpstr>
      <vt:lpstr>'307'!OSRRefD21_11_0x</vt:lpstr>
      <vt:lpstr>'308'!OSRRefD21_11_0x</vt:lpstr>
      <vt:lpstr>'309'!OSRRefD21_11_0x</vt:lpstr>
      <vt:lpstr>'310'!OSRRefD21_11_0x</vt:lpstr>
      <vt:lpstr>'310 &amp; 491'!OSRRefD21_11_0x</vt:lpstr>
      <vt:lpstr>'311'!OSRRefD21_11_0x</vt:lpstr>
      <vt:lpstr>'315'!OSRRefD21_11_0x</vt:lpstr>
      <vt:lpstr>'316'!OSRRefD21_11_0x</vt:lpstr>
      <vt:lpstr>'321'!OSRRefD21_11_0x</vt:lpstr>
      <vt:lpstr>'325'!OSRRefD21_11_0x</vt:lpstr>
      <vt:lpstr>'326'!OSRRefD21_11_0x</vt:lpstr>
      <vt:lpstr>'331'!OSRRefD21_11_0x</vt:lpstr>
      <vt:lpstr>'332'!OSRRefD21_11_0x</vt:lpstr>
      <vt:lpstr>'333'!OSRRefD21_11_0x</vt:lpstr>
      <vt:lpstr>'405'!OSRRefD21_11_0x</vt:lpstr>
      <vt:lpstr>'411'!OSRRefD21_11_0x</vt:lpstr>
      <vt:lpstr>'415'!OSRRefD21_11_0x</vt:lpstr>
      <vt:lpstr>'418'!OSRRefD21_11_0x</vt:lpstr>
      <vt:lpstr>'433'!OSRRefD21_11_0x</vt:lpstr>
      <vt:lpstr>'444'!OSRRefD21_11_0x</vt:lpstr>
      <vt:lpstr>'450'!OSRRefD21_11_0x</vt:lpstr>
      <vt:lpstr>'491'!OSRRefD21_11_0x</vt:lpstr>
      <vt:lpstr>'492'!OSRRefD21_11_0x</vt:lpstr>
      <vt:lpstr>'501'!OSRRefD21_11_0x</vt:lpstr>
      <vt:lpstr>'Div 2'!OSRRefD21_11_0x</vt:lpstr>
      <vt:lpstr>'Div 3'!OSRRefD21_11_0x</vt:lpstr>
      <vt:lpstr>'Div 4'!OSRRefD21_11_0x</vt:lpstr>
      <vt:lpstr>'Div 5'!OSRRefD21_11_0x</vt:lpstr>
      <vt:lpstr>Summary!OSRRefD21_11_0x</vt:lpstr>
      <vt:lpstr>'203'!OSRRefD21_11_1x</vt:lpstr>
      <vt:lpstr>'308'!OSRRefD21_11_1x</vt:lpstr>
      <vt:lpstr>'310'!OSRRefD21_11_1x</vt:lpstr>
      <vt:lpstr>'311'!OSRRefD21_11_1x</vt:lpstr>
      <vt:lpstr>'325'!OSRRefD21_11_1x</vt:lpstr>
      <vt:lpstr>'326'!OSRRefD21_11_1x</vt:lpstr>
      <vt:lpstr>'411'!OSRRefD21_11_1x</vt:lpstr>
      <vt:lpstr>'415'!OSRRefD21_11_1x</vt:lpstr>
      <vt:lpstr>'418'!OSRRefD21_11_1x</vt:lpstr>
      <vt:lpstr>'433'!OSRRefD21_11_1x</vt:lpstr>
      <vt:lpstr>'444'!OSRRefD21_11_1x</vt:lpstr>
      <vt:lpstr>'450'!OSRRefD21_11_1x</vt:lpstr>
      <vt:lpstr>'501'!OSRRefD21_11_1x</vt:lpstr>
      <vt:lpstr>'Div 5'!OSRRefD21_11_1x</vt:lpstr>
      <vt:lpstr>'203'!OSRRefD21_11_2x</vt:lpstr>
      <vt:lpstr>'418'!OSRRefD21_11_2x</vt:lpstr>
      <vt:lpstr>'433'!OSRRefD21_11_2x</vt:lpstr>
      <vt:lpstr>'501'!OSRRefD21_11_2x</vt:lpstr>
      <vt:lpstr>'Div 5'!OSRRefD21_11_2x</vt:lpstr>
      <vt:lpstr>'203'!OSRRefD21_11_3x</vt:lpstr>
      <vt:lpstr>'418'!OSRRefD21_11_3x</vt:lpstr>
      <vt:lpstr>'418'!OSRRefD21_11_4x</vt:lpstr>
      <vt:lpstr>'418'!OSRRefD21_11_5x</vt:lpstr>
      <vt:lpstr>'201'!OSRRefD21_11x_0</vt:lpstr>
      <vt:lpstr>'202'!OSRRefD21_11x_0</vt:lpstr>
      <vt:lpstr>'203'!OSRRefD21_11x_0</vt:lpstr>
      <vt:lpstr>'300'!OSRRefD21_11x_0</vt:lpstr>
      <vt:lpstr>'300 &amp; 317'!OSRRefD21_11x_0</vt:lpstr>
      <vt:lpstr>'301'!OSRRefD21_11x_0</vt:lpstr>
      <vt:lpstr>'307'!OSRRefD21_11x_0</vt:lpstr>
      <vt:lpstr>'308'!OSRRefD21_11x_0</vt:lpstr>
      <vt:lpstr>'309'!OSRRefD21_11x_0</vt:lpstr>
      <vt:lpstr>'310'!OSRRefD21_11x_0</vt:lpstr>
      <vt:lpstr>'310 &amp; 491'!OSRRefD21_11x_0</vt:lpstr>
      <vt:lpstr>'311'!OSRRefD21_11x_0</vt:lpstr>
      <vt:lpstr>'315'!OSRRefD21_11x_0</vt:lpstr>
      <vt:lpstr>'316'!OSRRefD21_11x_0</vt:lpstr>
      <vt:lpstr>'321'!OSRRefD21_11x_0</vt:lpstr>
      <vt:lpstr>'325'!OSRRefD21_11x_0</vt:lpstr>
      <vt:lpstr>'326'!OSRRefD21_11x_0</vt:lpstr>
      <vt:lpstr>'331'!OSRRefD21_11x_0</vt:lpstr>
      <vt:lpstr>'332'!OSRRefD21_11x_0</vt:lpstr>
      <vt:lpstr>'333'!OSRRefD21_11x_0</vt:lpstr>
      <vt:lpstr>'405'!OSRRefD21_11x_0</vt:lpstr>
      <vt:lpstr>'411'!OSRRefD21_11x_0</vt:lpstr>
      <vt:lpstr>'415'!OSRRefD21_11x_0</vt:lpstr>
      <vt:lpstr>'418'!OSRRefD21_11x_0</vt:lpstr>
      <vt:lpstr>'433'!OSRRefD21_11x_0</vt:lpstr>
      <vt:lpstr>'444'!OSRRefD21_11x_0</vt:lpstr>
      <vt:lpstr>'450'!OSRRefD21_11x_0</vt:lpstr>
      <vt:lpstr>'491'!OSRRefD21_11x_0</vt:lpstr>
      <vt:lpstr>'492'!OSRRefD21_11x_0</vt:lpstr>
      <vt:lpstr>'501'!OSRRefD21_11x_0</vt:lpstr>
      <vt:lpstr>'Div 2'!OSRRefD21_11x_0</vt:lpstr>
      <vt:lpstr>'Div 3'!OSRRefD21_11x_0</vt:lpstr>
      <vt:lpstr>'Div 4'!OSRRefD21_11x_0</vt:lpstr>
      <vt:lpstr>'Div 5'!OSRRefD21_11x_0</vt:lpstr>
      <vt:lpstr>Summary!OSRRefD21_11x_0</vt:lpstr>
      <vt:lpstr>'201'!OSRRefD21_11x_1</vt:lpstr>
      <vt:lpstr>'202'!OSRRefD21_11x_1</vt:lpstr>
      <vt:lpstr>'203'!OSRRefD21_11x_1</vt:lpstr>
      <vt:lpstr>'300'!OSRRefD21_11x_1</vt:lpstr>
      <vt:lpstr>'300 &amp; 317'!OSRRefD21_11x_1</vt:lpstr>
      <vt:lpstr>'301'!OSRRefD21_11x_1</vt:lpstr>
      <vt:lpstr>'307'!OSRRefD21_11x_1</vt:lpstr>
      <vt:lpstr>'308'!OSRRefD21_11x_1</vt:lpstr>
      <vt:lpstr>'309'!OSRRefD21_11x_1</vt:lpstr>
      <vt:lpstr>'310'!OSRRefD21_11x_1</vt:lpstr>
      <vt:lpstr>'310 &amp; 491'!OSRRefD21_11x_1</vt:lpstr>
      <vt:lpstr>'311'!OSRRefD21_11x_1</vt:lpstr>
      <vt:lpstr>'315'!OSRRefD21_11x_1</vt:lpstr>
      <vt:lpstr>'316'!OSRRefD21_11x_1</vt:lpstr>
      <vt:lpstr>'321'!OSRRefD21_11x_1</vt:lpstr>
      <vt:lpstr>'325'!OSRRefD21_11x_1</vt:lpstr>
      <vt:lpstr>'326'!OSRRefD21_11x_1</vt:lpstr>
      <vt:lpstr>'331'!OSRRefD21_11x_1</vt:lpstr>
      <vt:lpstr>'332'!OSRRefD21_11x_1</vt:lpstr>
      <vt:lpstr>'333'!OSRRefD21_11x_1</vt:lpstr>
      <vt:lpstr>'405'!OSRRefD21_11x_1</vt:lpstr>
      <vt:lpstr>'411'!OSRRefD21_11x_1</vt:lpstr>
      <vt:lpstr>'415'!OSRRefD21_11x_1</vt:lpstr>
      <vt:lpstr>'418'!OSRRefD21_11x_1</vt:lpstr>
      <vt:lpstr>'433'!OSRRefD21_11x_1</vt:lpstr>
      <vt:lpstr>'444'!OSRRefD21_11x_1</vt:lpstr>
      <vt:lpstr>'450'!OSRRefD21_11x_1</vt:lpstr>
      <vt:lpstr>'491'!OSRRefD21_11x_1</vt:lpstr>
      <vt:lpstr>'492'!OSRRefD21_11x_1</vt:lpstr>
      <vt:lpstr>'501'!OSRRefD21_11x_1</vt:lpstr>
      <vt:lpstr>'Div 2'!OSRRefD21_11x_1</vt:lpstr>
      <vt:lpstr>'Div 3'!OSRRefD21_11x_1</vt:lpstr>
      <vt:lpstr>'Div 4'!OSRRefD21_11x_1</vt:lpstr>
      <vt:lpstr>'Div 5'!OSRRefD21_11x_1</vt:lpstr>
      <vt:lpstr>Summary!OSRRefD21_11x_1</vt:lpstr>
      <vt:lpstr>'201'!OSRRefD21_11x_2</vt:lpstr>
      <vt:lpstr>'202'!OSRRefD21_11x_2</vt:lpstr>
      <vt:lpstr>'203'!OSRRefD21_11x_2</vt:lpstr>
      <vt:lpstr>'300'!OSRRefD21_11x_2</vt:lpstr>
      <vt:lpstr>'300 &amp; 317'!OSRRefD21_11x_2</vt:lpstr>
      <vt:lpstr>'301'!OSRRefD21_11x_2</vt:lpstr>
      <vt:lpstr>'307'!OSRRefD21_11x_2</vt:lpstr>
      <vt:lpstr>'308'!OSRRefD21_11x_2</vt:lpstr>
      <vt:lpstr>'309'!OSRRefD21_11x_2</vt:lpstr>
      <vt:lpstr>'310'!OSRRefD21_11x_2</vt:lpstr>
      <vt:lpstr>'310 &amp; 491'!OSRRefD21_11x_2</vt:lpstr>
      <vt:lpstr>'311'!OSRRefD21_11x_2</vt:lpstr>
      <vt:lpstr>'315'!OSRRefD21_11x_2</vt:lpstr>
      <vt:lpstr>'316'!OSRRefD21_11x_2</vt:lpstr>
      <vt:lpstr>'321'!OSRRefD21_11x_2</vt:lpstr>
      <vt:lpstr>'325'!OSRRefD21_11x_2</vt:lpstr>
      <vt:lpstr>'326'!OSRRefD21_11x_2</vt:lpstr>
      <vt:lpstr>'331'!OSRRefD21_11x_2</vt:lpstr>
      <vt:lpstr>'332'!OSRRefD21_11x_2</vt:lpstr>
      <vt:lpstr>'333'!OSRRefD21_11x_2</vt:lpstr>
      <vt:lpstr>'405'!OSRRefD21_11x_2</vt:lpstr>
      <vt:lpstr>'411'!OSRRefD21_11x_2</vt:lpstr>
      <vt:lpstr>'415'!OSRRefD21_11x_2</vt:lpstr>
      <vt:lpstr>'418'!OSRRefD21_11x_2</vt:lpstr>
      <vt:lpstr>'433'!OSRRefD21_11x_2</vt:lpstr>
      <vt:lpstr>'444'!OSRRefD21_11x_2</vt:lpstr>
      <vt:lpstr>'450'!OSRRefD21_11x_2</vt:lpstr>
      <vt:lpstr>'491'!OSRRefD21_11x_2</vt:lpstr>
      <vt:lpstr>'492'!OSRRefD21_11x_2</vt:lpstr>
      <vt:lpstr>'501'!OSRRefD21_11x_2</vt:lpstr>
      <vt:lpstr>'Div 2'!OSRRefD21_11x_2</vt:lpstr>
      <vt:lpstr>'Div 3'!OSRRefD21_11x_2</vt:lpstr>
      <vt:lpstr>'Div 4'!OSRRefD21_11x_2</vt:lpstr>
      <vt:lpstr>'Div 5'!OSRRefD21_11x_2</vt:lpstr>
      <vt:lpstr>Summary!OSRRefD21_11x_2</vt:lpstr>
      <vt:lpstr>'201'!OSRRefD21_11x_3</vt:lpstr>
      <vt:lpstr>'202'!OSRRefD21_11x_3</vt:lpstr>
      <vt:lpstr>'203'!OSRRefD21_11x_3</vt:lpstr>
      <vt:lpstr>'300'!OSRRefD21_11x_3</vt:lpstr>
      <vt:lpstr>'300 &amp; 317'!OSRRefD21_11x_3</vt:lpstr>
      <vt:lpstr>'301'!OSRRefD21_11x_3</vt:lpstr>
      <vt:lpstr>'307'!OSRRefD21_11x_3</vt:lpstr>
      <vt:lpstr>'308'!OSRRefD21_11x_3</vt:lpstr>
      <vt:lpstr>'309'!OSRRefD21_11x_3</vt:lpstr>
      <vt:lpstr>'310'!OSRRefD21_11x_3</vt:lpstr>
      <vt:lpstr>'310 &amp; 491'!OSRRefD21_11x_3</vt:lpstr>
      <vt:lpstr>'311'!OSRRefD21_11x_3</vt:lpstr>
      <vt:lpstr>'315'!OSRRefD21_11x_3</vt:lpstr>
      <vt:lpstr>'316'!OSRRefD21_11x_3</vt:lpstr>
      <vt:lpstr>'321'!OSRRefD21_11x_3</vt:lpstr>
      <vt:lpstr>'325'!OSRRefD21_11x_3</vt:lpstr>
      <vt:lpstr>'326'!OSRRefD21_11x_3</vt:lpstr>
      <vt:lpstr>'331'!OSRRefD21_11x_3</vt:lpstr>
      <vt:lpstr>'332'!OSRRefD21_11x_3</vt:lpstr>
      <vt:lpstr>'333'!OSRRefD21_11x_3</vt:lpstr>
      <vt:lpstr>'405'!OSRRefD21_11x_3</vt:lpstr>
      <vt:lpstr>'411'!OSRRefD21_11x_3</vt:lpstr>
      <vt:lpstr>'415'!OSRRefD21_11x_3</vt:lpstr>
      <vt:lpstr>'418'!OSRRefD21_11x_3</vt:lpstr>
      <vt:lpstr>'433'!OSRRefD21_11x_3</vt:lpstr>
      <vt:lpstr>'444'!OSRRefD21_11x_3</vt:lpstr>
      <vt:lpstr>'450'!OSRRefD21_11x_3</vt:lpstr>
      <vt:lpstr>'491'!OSRRefD21_11x_3</vt:lpstr>
      <vt:lpstr>'492'!OSRRefD21_11x_3</vt:lpstr>
      <vt:lpstr>'501'!OSRRefD21_11x_3</vt:lpstr>
      <vt:lpstr>'Div 2'!OSRRefD21_11x_3</vt:lpstr>
      <vt:lpstr>'Div 3'!OSRRefD21_11x_3</vt:lpstr>
      <vt:lpstr>'Div 4'!OSRRefD21_11x_3</vt:lpstr>
      <vt:lpstr>'Div 5'!OSRRefD21_11x_3</vt:lpstr>
      <vt:lpstr>Summary!OSRRefD21_11x_3</vt:lpstr>
      <vt:lpstr>'201'!OSRRefD21_11x_4</vt:lpstr>
      <vt:lpstr>'202'!OSRRefD21_11x_4</vt:lpstr>
      <vt:lpstr>'203'!OSRRefD21_11x_4</vt:lpstr>
      <vt:lpstr>'300'!OSRRefD21_11x_4</vt:lpstr>
      <vt:lpstr>'300 &amp; 317'!OSRRefD21_11x_4</vt:lpstr>
      <vt:lpstr>'301'!OSRRefD21_11x_4</vt:lpstr>
      <vt:lpstr>'307'!OSRRefD21_11x_4</vt:lpstr>
      <vt:lpstr>'308'!OSRRefD21_11x_4</vt:lpstr>
      <vt:lpstr>'309'!OSRRefD21_11x_4</vt:lpstr>
      <vt:lpstr>'310'!OSRRefD21_11x_4</vt:lpstr>
      <vt:lpstr>'310 &amp; 491'!OSRRefD21_11x_4</vt:lpstr>
      <vt:lpstr>'311'!OSRRefD21_11x_4</vt:lpstr>
      <vt:lpstr>'315'!OSRRefD21_11x_4</vt:lpstr>
      <vt:lpstr>'316'!OSRRefD21_11x_4</vt:lpstr>
      <vt:lpstr>'321'!OSRRefD21_11x_4</vt:lpstr>
      <vt:lpstr>'325'!OSRRefD21_11x_4</vt:lpstr>
      <vt:lpstr>'326'!OSRRefD21_11x_4</vt:lpstr>
      <vt:lpstr>'331'!OSRRefD21_11x_4</vt:lpstr>
      <vt:lpstr>'332'!OSRRefD21_11x_4</vt:lpstr>
      <vt:lpstr>'333'!OSRRefD21_11x_4</vt:lpstr>
      <vt:lpstr>'405'!OSRRefD21_11x_4</vt:lpstr>
      <vt:lpstr>'411'!OSRRefD21_11x_4</vt:lpstr>
      <vt:lpstr>'415'!OSRRefD21_11x_4</vt:lpstr>
      <vt:lpstr>'418'!OSRRefD21_11x_4</vt:lpstr>
      <vt:lpstr>'433'!OSRRefD21_11x_4</vt:lpstr>
      <vt:lpstr>'444'!OSRRefD21_11x_4</vt:lpstr>
      <vt:lpstr>'450'!OSRRefD21_11x_4</vt:lpstr>
      <vt:lpstr>'491'!OSRRefD21_11x_4</vt:lpstr>
      <vt:lpstr>'492'!OSRRefD21_11x_4</vt:lpstr>
      <vt:lpstr>'501'!OSRRefD21_11x_4</vt:lpstr>
      <vt:lpstr>'Div 2'!OSRRefD21_11x_4</vt:lpstr>
      <vt:lpstr>'Div 3'!OSRRefD21_11x_4</vt:lpstr>
      <vt:lpstr>'Div 4'!OSRRefD21_11x_4</vt:lpstr>
      <vt:lpstr>'Div 5'!OSRRefD21_11x_4</vt:lpstr>
      <vt:lpstr>Summary!OSRRefD21_11x_4</vt:lpstr>
      <vt:lpstr>'201'!OSRRefD21_11x_5</vt:lpstr>
      <vt:lpstr>'202'!OSRRefD21_11x_5</vt:lpstr>
      <vt:lpstr>'203'!OSRRefD21_11x_5</vt:lpstr>
      <vt:lpstr>'300'!OSRRefD21_11x_5</vt:lpstr>
      <vt:lpstr>'300 &amp; 317'!OSRRefD21_11x_5</vt:lpstr>
      <vt:lpstr>'301'!OSRRefD21_11x_5</vt:lpstr>
      <vt:lpstr>'307'!OSRRefD21_11x_5</vt:lpstr>
      <vt:lpstr>'308'!OSRRefD21_11x_5</vt:lpstr>
      <vt:lpstr>'309'!OSRRefD21_11x_5</vt:lpstr>
      <vt:lpstr>'310'!OSRRefD21_11x_5</vt:lpstr>
      <vt:lpstr>'310 &amp; 491'!OSRRefD21_11x_5</vt:lpstr>
      <vt:lpstr>'311'!OSRRefD21_11x_5</vt:lpstr>
      <vt:lpstr>'315'!OSRRefD21_11x_5</vt:lpstr>
      <vt:lpstr>'316'!OSRRefD21_11x_5</vt:lpstr>
      <vt:lpstr>'321'!OSRRefD21_11x_5</vt:lpstr>
      <vt:lpstr>'325'!OSRRefD21_11x_5</vt:lpstr>
      <vt:lpstr>'326'!OSRRefD21_11x_5</vt:lpstr>
      <vt:lpstr>'331'!OSRRefD21_11x_5</vt:lpstr>
      <vt:lpstr>'332'!OSRRefD21_11x_5</vt:lpstr>
      <vt:lpstr>'333'!OSRRefD21_11x_5</vt:lpstr>
      <vt:lpstr>'405'!OSRRefD21_11x_5</vt:lpstr>
      <vt:lpstr>'411'!OSRRefD21_11x_5</vt:lpstr>
      <vt:lpstr>'415'!OSRRefD21_11x_5</vt:lpstr>
      <vt:lpstr>'418'!OSRRefD21_11x_5</vt:lpstr>
      <vt:lpstr>'433'!OSRRefD21_11x_5</vt:lpstr>
      <vt:lpstr>'444'!OSRRefD21_11x_5</vt:lpstr>
      <vt:lpstr>'450'!OSRRefD21_11x_5</vt:lpstr>
      <vt:lpstr>'491'!OSRRefD21_11x_5</vt:lpstr>
      <vt:lpstr>'492'!OSRRefD21_11x_5</vt:lpstr>
      <vt:lpstr>'501'!OSRRefD21_11x_5</vt:lpstr>
      <vt:lpstr>'Div 2'!OSRRefD21_11x_5</vt:lpstr>
      <vt:lpstr>'Div 3'!OSRRefD21_11x_5</vt:lpstr>
      <vt:lpstr>'Div 4'!OSRRefD21_11x_5</vt:lpstr>
      <vt:lpstr>'Div 5'!OSRRefD21_11x_5</vt:lpstr>
      <vt:lpstr>Summary!OSRRefD21_11x_5</vt:lpstr>
      <vt:lpstr>'201'!OSRRefD21_11x_6</vt:lpstr>
      <vt:lpstr>'202'!OSRRefD21_11x_6</vt:lpstr>
      <vt:lpstr>'203'!OSRRefD21_11x_6</vt:lpstr>
      <vt:lpstr>'300'!OSRRefD21_11x_6</vt:lpstr>
      <vt:lpstr>'300 &amp; 317'!OSRRefD21_11x_6</vt:lpstr>
      <vt:lpstr>'301'!OSRRefD21_11x_6</vt:lpstr>
      <vt:lpstr>'307'!OSRRefD21_11x_6</vt:lpstr>
      <vt:lpstr>'308'!OSRRefD21_11x_6</vt:lpstr>
      <vt:lpstr>'309'!OSRRefD21_11x_6</vt:lpstr>
      <vt:lpstr>'310'!OSRRefD21_11x_6</vt:lpstr>
      <vt:lpstr>'310 &amp; 491'!OSRRefD21_11x_6</vt:lpstr>
      <vt:lpstr>'311'!OSRRefD21_11x_6</vt:lpstr>
      <vt:lpstr>'315'!OSRRefD21_11x_6</vt:lpstr>
      <vt:lpstr>'316'!OSRRefD21_11x_6</vt:lpstr>
      <vt:lpstr>'321'!OSRRefD21_11x_6</vt:lpstr>
      <vt:lpstr>'325'!OSRRefD21_11x_6</vt:lpstr>
      <vt:lpstr>'326'!OSRRefD21_11x_6</vt:lpstr>
      <vt:lpstr>'331'!OSRRefD21_11x_6</vt:lpstr>
      <vt:lpstr>'332'!OSRRefD21_11x_6</vt:lpstr>
      <vt:lpstr>'333'!OSRRefD21_11x_6</vt:lpstr>
      <vt:lpstr>'405'!OSRRefD21_11x_6</vt:lpstr>
      <vt:lpstr>'411'!OSRRefD21_11x_6</vt:lpstr>
      <vt:lpstr>'415'!OSRRefD21_11x_6</vt:lpstr>
      <vt:lpstr>'418'!OSRRefD21_11x_6</vt:lpstr>
      <vt:lpstr>'433'!OSRRefD21_11x_6</vt:lpstr>
      <vt:lpstr>'444'!OSRRefD21_11x_6</vt:lpstr>
      <vt:lpstr>'450'!OSRRefD21_11x_6</vt:lpstr>
      <vt:lpstr>'491'!OSRRefD21_11x_6</vt:lpstr>
      <vt:lpstr>'492'!OSRRefD21_11x_6</vt:lpstr>
      <vt:lpstr>'501'!OSRRefD21_11x_6</vt:lpstr>
      <vt:lpstr>'Div 2'!OSRRefD21_11x_6</vt:lpstr>
      <vt:lpstr>'Div 3'!OSRRefD21_11x_6</vt:lpstr>
      <vt:lpstr>'Div 4'!OSRRefD21_11x_6</vt:lpstr>
      <vt:lpstr>'Div 5'!OSRRefD21_11x_6</vt:lpstr>
      <vt:lpstr>Summary!OSRRefD21_11x_6</vt:lpstr>
      <vt:lpstr>'201'!OSRRefD21_11x_7</vt:lpstr>
      <vt:lpstr>'202'!OSRRefD21_11x_7</vt:lpstr>
      <vt:lpstr>'203'!OSRRefD21_11x_7</vt:lpstr>
      <vt:lpstr>'300'!OSRRefD21_11x_7</vt:lpstr>
      <vt:lpstr>'300 &amp; 317'!OSRRefD21_11x_7</vt:lpstr>
      <vt:lpstr>'301'!OSRRefD21_11x_7</vt:lpstr>
      <vt:lpstr>'307'!OSRRefD21_11x_7</vt:lpstr>
      <vt:lpstr>'308'!OSRRefD21_11x_7</vt:lpstr>
      <vt:lpstr>'309'!OSRRefD21_11x_7</vt:lpstr>
      <vt:lpstr>'310'!OSRRefD21_11x_7</vt:lpstr>
      <vt:lpstr>'310 &amp; 491'!OSRRefD21_11x_7</vt:lpstr>
      <vt:lpstr>'311'!OSRRefD21_11x_7</vt:lpstr>
      <vt:lpstr>'315'!OSRRefD21_11x_7</vt:lpstr>
      <vt:lpstr>'316'!OSRRefD21_11x_7</vt:lpstr>
      <vt:lpstr>'321'!OSRRefD21_11x_7</vt:lpstr>
      <vt:lpstr>'325'!OSRRefD21_11x_7</vt:lpstr>
      <vt:lpstr>'326'!OSRRefD21_11x_7</vt:lpstr>
      <vt:lpstr>'331'!OSRRefD21_11x_7</vt:lpstr>
      <vt:lpstr>'332'!OSRRefD21_11x_7</vt:lpstr>
      <vt:lpstr>'333'!OSRRefD21_11x_7</vt:lpstr>
      <vt:lpstr>'405'!OSRRefD21_11x_7</vt:lpstr>
      <vt:lpstr>'411'!OSRRefD21_11x_7</vt:lpstr>
      <vt:lpstr>'415'!OSRRefD21_11x_7</vt:lpstr>
      <vt:lpstr>'418'!OSRRefD21_11x_7</vt:lpstr>
      <vt:lpstr>'433'!OSRRefD21_11x_7</vt:lpstr>
      <vt:lpstr>'444'!OSRRefD21_11x_7</vt:lpstr>
      <vt:lpstr>'450'!OSRRefD21_11x_7</vt:lpstr>
      <vt:lpstr>'491'!OSRRefD21_11x_7</vt:lpstr>
      <vt:lpstr>'492'!OSRRefD21_11x_7</vt:lpstr>
      <vt:lpstr>'501'!OSRRefD21_11x_7</vt:lpstr>
      <vt:lpstr>'Div 2'!OSRRefD21_11x_7</vt:lpstr>
      <vt:lpstr>'Div 3'!OSRRefD21_11x_7</vt:lpstr>
      <vt:lpstr>'Div 4'!OSRRefD21_11x_7</vt:lpstr>
      <vt:lpstr>'Div 5'!OSRRefD21_11x_7</vt:lpstr>
      <vt:lpstr>Summary!OSRRefD21_11x_7</vt:lpstr>
      <vt:lpstr>'201'!OSRRefD21_11x_8</vt:lpstr>
      <vt:lpstr>'202'!OSRRefD21_11x_8</vt:lpstr>
      <vt:lpstr>'203'!OSRRefD21_11x_8</vt:lpstr>
      <vt:lpstr>'300'!OSRRefD21_11x_8</vt:lpstr>
      <vt:lpstr>'300 &amp; 317'!OSRRefD21_11x_8</vt:lpstr>
      <vt:lpstr>'301'!OSRRefD21_11x_8</vt:lpstr>
      <vt:lpstr>'307'!OSRRefD21_11x_8</vt:lpstr>
      <vt:lpstr>'308'!OSRRefD21_11x_8</vt:lpstr>
      <vt:lpstr>'309'!OSRRefD21_11x_8</vt:lpstr>
      <vt:lpstr>'310'!OSRRefD21_11x_8</vt:lpstr>
      <vt:lpstr>'310 &amp; 491'!OSRRefD21_11x_8</vt:lpstr>
      <vt:lpstr>'311'!OSRRefD21_11x_8</vt:lpstr>
      <vt:lpstr>'315'!OSRRefD21_11x_8</vt:lpstr>
      <vt:lpstr>'316'!OSRRefD21_11x_8</vt:lpstr>
      <vt:lpstr>'321'!OSRRefD21_11x_8</vt:lpstr>
      <vt:lpstr>'325'!OSRRefD21_11x_8</vt:lpstr>
      <vt:lpstr>'326'!OSRRefD21_11x_8</vt:lpstr>
      <vt:lpstr>'331'!OSRRefD21_11x_8</vt:lpstr>
      <vt:lpstr>'332'!OSRRefD21_11x_8</vt:lpstr>
      <vt:lpstr>'333'!OSRRefD21_11x_8</vt:lpstr>
      <vt:lpstr>'405'!OSRRefD21_11x_8</vt:lpstr>
      <vt:lpstr>'411'!OSRRefD21_11x_8</vt:lpstr>
      <vt:lpstr>'415'!OSRRefD21_11x_8</vt:lpstr>
      <vt:lpstr>'418'!OSRRefD21_11x_8</vt:lpstr>
      <vt:lpstr>'433'!OSRRefD21_11x_8</vt:lpstr>
      <vt:lpstr>'444'!OSRRefD21_11x_8</vt:lpstr>
      <vt:lpstr>'450'!OSRRefD21_11x_8</vt:lpstr>
      <vt:lpstr>'491'!OSRRefD21_11x_8</vt:lpstr>
      <vt:lpstr>'492'!OSRRefD21_11x_8</vt:lpstr>
      <vt:lpstr>'501'!OSRRefD21_11x_8</vt:lpstr>
      <vt:lpstr>'Div 2'!OSRRefD21_11x_8</vt:lpstr>
      <vt:lpstr>'Div 3'!OSRRefD21_11x_8</vt:lpstr>
      <vt:lpstr>'Div 4'!OSRRefD21_11x_8</vt:lpstr>
      <vt:lpstr>'Div 5'!OSRRefD21_11x_8</vt:lpstr>
      <vt:lpstr>Summary!OSRRefD21_11x_8</vt:lpstr>
      <vt:lpstr>'201'!OSRRefD21_11x_9</vt:lpstr>
      <vt:lpstr>'202'!OSRRefD21_11x_9</vt:lpstr>
      <vt:lpstr>'203'!OSRRefD21_11x_9</vt:lpstr>
      <vt:lpstr>'300'!OSRRefD21_11x_9</vt:lpstr>
      <vt:lpstr>'300 &amp; 317'!OSRRefD21_11x_9</vt:lpstr>
      <vt:lpstr>'301'!OSRRefD21_11x_9</vt:lpstr>
      <vt:lpstr>'307'!OSRRefD21_11x_9</vt:lpstr>
      <vt:lpstr>'308'!OSRRefD21_11x_9</vt:lpstr>
      <vt:lpstr>'309'!OSRRefD21_11x_9</vt:lpstr>
      <vt:lpstr>'310'!OSRRefD21_11x_9</vt:lpstr>
      <vt:lpstr>'310 &amp; 491'!OSRRefD21_11x_9</vt:lpstr>
      <vt:lpstr>'311'!OSRRefD21_11x_9</vt:lpstr>
      <vt:lpstr>'315'!OSRRefD21_11x_9</vt:lpstr>
      <vt:lpstr>'316'!OSRRefD21_11x_9</vt:lpstr>
      <vt:lpstr>'321'!OSRRefD21_11x_9</vt:lpstr>
      <vt:lpstr>'325'!OSRRefD21_11x_9</vt:lpstr>
      <vt:lpstr>'326'!OSRRefD21_11x_9</vt:lpstr>
      <vt:lpstr>'331'!OSRRefD21_11x_9</vt:lpstr>
      <vt:lpstr>'332'!OSRRefD21_11x_9</vt:lpstr>
      <vt:lpstr>'333'!OSRRefD21_11x_9</vt:lpstr>
      <vt:lpstr>'405'!OSRRefD21_11x_9</vt:lpstr>
      <vt:lpstr>'411'!OSRRefD21_11x_9</vt:lpstr>
      <vt:lpstr>'415'!OSRRefD21_11x_9</vt:lpstr>
      <vt:lpstr>'418'!OSRRefD21_11x_9</vt:lpstr>
      <vt:lpstr>'433'!OSRRefD21_11x_9</vt:lpstr>
      <vt:lpstr>'444'!OSRRefD21_11x_9</vt:lpstr>
      <vt:lpstr>'450'!OSRRefD21_11x_9</vt:lpstr>
      <vt:lpstr>'491'!OSRRefD21_11x_9</vt:lpstr>
      <vt:lpstr>'492'!OSRRefD21_11x_9</vt:lpstr>
      <vt:lpstr>'501'!OSRRefD21_11x_9</vt:lpstr>
      <vt:lpstr>'Div 2'!OSRRefD21_11x_9</vt:lpstr>
      <vt:lpstr>'Div 3'!OSRRefD21_11x_9</vt:lpstr>
      <vt:lpstr>'Div 4'!OSRRefD21_11x_9</vt:lpstr>
      <vt:lpstr>'Div 5'!OSRRefD21_11x_9</vt:lpstr>
      <vt:lpstr>Summary!OSRRefD21_11x_9</vt:lpstr>
      <vt:lpstr>'201'!OSRRefD21_12_0x</vt:lpstr>
      <vt:lpstr>'202'!OSRRefD21_12_0x</vt:lpstr>
      <vt:lpstr>'203'!OSRRefD21_12_0x</vt:lpstr>
      <vt:lpstr>'300'!OSRRefD21_12_0x</vt:lpstr>
      <vt:lpstr>'300 &amp; 317'!OSRRefD21_12_0x</vt:lpstr>
      <vt:lpstr>'301'!OSRRefD21_12_0x</vt:lpstr>
      <vt:lpstr>'307'!OSRRefD21_12_0x</vt:lpstr>
      <vt:lpstr>'308'!OSRRefD21_12_0x</vt:lpstr>
      <vt:lpstr>'309'!OSRRefD21_12_0x</vt:lpstr>
      <vt:lpstr>'310'!OSRRefD21_12_0x</vt:lpstr>
      <vt:lpstr>'310 &amp; 491'!OSRRefD21_12_0x</vt:lpstr>
      <vt:lpstr>'311'!OSRRefD21_12_0x</vt:lpstr>
      <vt:lpstr>'315'!OSRRefD21_12_0x</vt:lpstr>
      <vt:lpstr>'321'!OSRRefD21_12_0x</vt:lpstr>
      <vt:lpstr>'325'!OSRRefD21_12_0x</vt:lpstr>
      <vt:lpstr>'326'!OSRRefD21_12_0x</vt:lpstr>
      <vt:lpstr>'331'!OSRRefD21_12_0x</vt:lpstr>
      <vt:lpstr>'333'!OSRRefD21_12_0x</vt:lpstr>
      <vt:lpstr>'405'!OSRRefD21_12_0x</vt:lpstr>
      <vt:lpstr>'411'!OSRRefD21_12_0x</vt:lpstr>
      <vt:lpstr>'415'!OSRRefD21_12_0x</vt:lpstr>
      <vt:lpstr>'418'!OSRRefD21_12_0x</vt:lpstr>
      <vt:lpstr>'433'!OSRRefD21_12_0x</vt:lpstr>
      <vt:lpstr>'444'!OSRRefD21_12_0x</vt:lpstr>
      <vt:lpstr>'450'!OSRRefD21_12_0x</vt:lpstr>
      <vt:lpstr>'491'!OSRRefD21_12_0x</vt:lpstr>
      <vt:lpstr>'492'!OSRRefD21_12_0x</vt:lpstr>
      <vt:lpstr>'501'!OSRRefD21_12_0x</vt:lpstr>
      <vt:lpstr>'Div 2'!OSRRefD21_12_0x</vt:lpstr>
      <vt:lpstr>'Div 3'!OSRRefD21_12_0x</vt:lpstr>
      <vt:lpstr>'Div 4'!OSRRefD21_12_0x</vt:lpstr>
      <vt:lpstr>'Div 5'!OSRRefD21_12_0x</vt:lpstr>
      <vt:lpstr>Summary!OSRRefD21_12_0x</vt:lpstr>
      <vt:lpstr>'201'!OSRRefD21_12_1x</vt:lpstr>
      <vt:lpstr>'307'!OSRRefD21_12_1x</vt:lpstr>
      <vt:lpstr>'308'!OSRRefD21_12_1x</vt:lpstr>
      <vt:lpstr>'310'!OSRRefD21_12_1x</vt:lpstr>
      <vt:lpstr>'310 &amp; 491'!OSRRefD21_12_1x</vt:lpstr>
      <vt:lpstr>'311'!OSRRefD21_12_1x</vt:lpstr>
      <vt:lpstr>'315'!OSRRefD21_12_1x</vt:lpstr>
      <vt:lpstr>'325'!OSRRefD21_12_1x</vt:lpstr>
      <vt:lpstr>'326'!OSRRefD21_12_1x</vt:lpstr>
      <vt:lpstr>'405'!OSRRefD21_12_1x</vt:lpstr>
      <vt:lpstr>'415'!OSRRefD21_12_1x</vt:lpstr>
      <vt:lpstr>'418'!OSRRefD21_12_1x</vt:lpstr>
      <vt:lpstr>'433'!OSRRefD21_12_1x</vt:lpstr>
      <vt:lpstr>'444'!OSRRefD21_12_1x</vt:lpstr>
      <vt:lpstr>'450'!OSRRefD21_12_1x</vt:lpstr>
      <vt:lpstr>'491'!OSRRefD21_12_1x</vt:lpstr>
      <vt:lpstr>'492'!OSRRefD21_12_1x</vt:lpstr>
      <vt:lpstr>'Div 2'!OSRRefD21_12_1x</vt:lpstr>
      <vt:lpstr>'307'!OSRRefD21_12_2x</vt:lpstr>
      <vt:lpstr>'310 &amp; 491'!OSRRefD21_12_2x</vt:lpstr>
      <vt:lpstr>'325'!OSRRefD21_12_2x</vt:lpstr>
      <vt:lpstr>'405'!OSRRefD21_12_2x</vt:lpstr>
      <vt:lpstr>'415'!OSRRefD21_12_2x</vt:lpstr>
      <vt:lpstr>'433'!OSRRefD21_12_2x</vt:lpstr>
      <vt:lpstr>'444'!OSRRefD21_12_2x</vt:lpstr>
      <vt:lpstr>'450'!OSRRefD21_12_2x</vt:lpstr>
      <vt:lpstr>'491'!OSRRefD21_12_2x</vt:lpstr>
      <vt:lpstr>'492'!OSRRefD21_12_2x</vt:lpstr>
      <vt:lpstr>'Div 2'!OSRRefD21_12_2x</vt:lpstr>
      <vt:lpstr>'307'!OSRRefD21_12_3x</vt:lpstr>
      <vt:lpstr>'405'!OSRRefD21_12_3x</vt:lpstr>
      <vt:lpstr>'415'!OSRRefD21_12_3x</vt:lpstr>
      <vt:lpstr>'433'!OSRRefD21_12_3x</vt:lpstr>
      <vt:lpstr>'444'!OSRRefD21_12_3x</vt:lpstr>
      <vt:lpstr>'450'!OSRRefD21_12_3x</vt:lpstr>
      <vt:lpstr>'Div 2'!OSRRefD21_12_3x</vt:lpstr>
      <vt:lpstr>'405'!OSRRefD21_12_4x</vt:lpstr>
      <vt:lpstr>'405'!OSRRefD21_12_5x</vt:lpstr>
      <vt:lpstr>'405'!OSRRefD21_12_6x</vt:lpstr>
      <vt:lpstr>'405'!OSRRefD21_12_7x</vt:lpstr>
      <vt:lpstr>'405'!OSRRefD21_12_8x</vt:lpstr>
      <vt:lpstr>'201'!OSRRefD21_12x_0</vt:lpstr>
      <vt:lpstr>'202'!OSRRefD21_12x_0</vt:lpstr>
      <vt:lpstr>'203'!OSRRefD21_12x_0</vt:lpstr>
      <vt:lpstr>'300'!OSRRefD21_12x_0</vt:lpstr>
      <vt:lpstr>'300 &amp; 317'!OSRRefD21_12x_0</vt:lpstr>
      <vt:lpstr>'301'!OSRRefD21_12x_0</vt:lpstr>
      <vt:lpstr>'307'!OSRRefD21_12x_0</vt:lpstr>
      <vt:lpstr>'308'!OSRRefD21_12x_0</vt:lpstr>
      <vt:lpstr>'309'!OSRRefD21_12x_0</vt:lpstr>
      <vt:lpstr>'310'!OSRRefD21_12x_0</vt:lpstr>
      <vt:lpstr>'310 &amp; 491'!OSRRefD21_12x_0</vt:lpstr>
      <vt:lpstr>'311'!OSRRefD21_12x_0</vt:lpstr>
      <vt:lpstr>'315'!OSRRefD21_12x_0</vt:lpstr>
      <vt:lpstr>'321'!OSRRefD21_12x_0</vt:lpstr>
      <vt:lpstr>'325'!OSRRefD21_12x_0</vt:lpstr>
      <vt:lpstr>'326'!OSRRefD21_12x_0</vt:lpstr>
      <vt:lpstr>'331'!OSRRefD21_12x_0</vt:lpstr>
      <vt:lpstr>'333'!OSRRefD21_12x_0</vt:lpstr>
      <vt:lpstr>'405'!OSRRefD21_12x_0</vt:lpstr>
      <vt:lpstr>'411'!OSRRefD21_12x_0</vt:lpstr>
      <vt:lpstr>'415'!OSRRefD21_12x_0</vt:lpstr>
      <vt:lpstr>'418'!OSRRefD21_12x_0</vt:lpstr>
      <vt:lpstr>'433'!OSRRefD21_12x_0</vt:lpstr>
      <vt:lpstr>'444'!OSRRefD21_12x_0</vt:lpstr>
      <vt:lpstr>'450'!OSRRefD21_12x_0</vt:lpstr>
      <vt:lpstr>'491'!OSRRefD21_12x_0</vt:lpstr>
      <vt:lpstr>'492'!OSRRefD21_12x_0</vt:lpstr>
      <vt:lpstr>'501'!OSRRefD21_12x_0</vt:lpstr>
      <vt:lpstr>'Div 2'!OSRRefD21_12x_0</vt:lpstr>
      <vt:lpstr>'Div 3'!OSRRefD21_12x_0</vt:lpstr>
      <vt:lpstr>'Div 4'!OSRRefD21_12x_0</vt:lpstr>
      <vt:lpstr>'Div 5'!OSRRefD21_12x_0</vt:lpstr>
      <vt:lpstr>Summary!OSRRefD21_12x_0</vt:lpstr>
      <vt:lpstr>'201'!OSRRefD21_12x_1</vt:lpstr>
      <vt:lpstr>'202'!OSRRefD21_12x_1</vt:lpstr>
      <vt:lpstr>'203'!OSRRefD21_12x_1</vt:lpstr>
      <vt:lpstr>'300'!OSRRefD21_12x_1</vt:lpstr>
      <vt:lpstr>'300 &amp; 317'!OSRRefD21_12x_1</vt:lpstr>
      <vt:lpstr>'301'!OSRRefD21_12x_1</vt:lpstr>
      <vt:lpstr>'307'!OSRRefD21_12x_1</vt:lpstr>
      <vt:lpstr>'308'!OSRRefD21_12x_1</vt:lpstr>
      <vt:lpstr>'309'!OSRRefD21_12x_1</vt:lpstr>
      <vt:lpstr>'310'!OSRRefD21_12x_1</vt:lpstr>
      <vt:lpstr>'310 &amp; 491'!OSRRefD21_12x_1</vt:lpstr>
      <vt:lpstr>'311'!OSRRefD21_12x_1</vt:lpstr>
      <vt:lpstr>'315'!OSRRefD21_12x_1</vt:lpstr>
      <vt:lpstr>'321'!OSRRefD21_12x_1</vt:lpstr>
      <vt:lpstr>'325'!OSRRefD21_12x_1</vt:lpstr>
      <vt:lpstr>'326'!OSRRefD21_12x_1</vt:lpstr>
      <vt:lpstr>'331'!OSRRefD21_12x_1</vt:lpstr>
      <vt:lpstr>'333'!OSRRefD21_12x_1</vt:lpstr>
      <vt:lpstr>'405'!OSRRefD21_12x_1</vt:lpstr>
      <vt:lpstr>'411'!OSRRefD21_12x_1</vt:lpstr>
      <vt:lpstr>'415'!OSRRefD21_12x_1</vt:lpstr>
      <vt:lpstr>'418'!OSRRefD21_12x_1</vt:lpstr>
      <vt:lpstr>'433'!OSRRefD21_12x_1</vt:lpstr>
      <vt:lpstr>'444'!OSRRefD21_12x_1</vt:lpstr>
      <vt:lpstr>'450'!OSRRefD21_12x_1</vt:lpstr>
      <vt:lpstr>'491'!OSRRefD21_12x_1</vt:lpstr>
      <vt:lpstr>'492'!OSRRefD21_12x_1</vt:lpstr>
      <vt:lpstr>'501'!OSRRefD21_12x_1</vt:lpstr>
      <vt:lpstr>'Div 2'!OSRRefD21_12x_1</vt:lpstr>
      <vt:lpstr>'Div 3'!OSRRefD21_12x_1</vt:lpstr>
      <vt:lpstr>'Div 4'!OSRRefD21_12x_1</vt:lpstr>
      <vt:lpstr>'Div 5'!OSRRefD21_12x_1</vt:lpstr>
      <vt:lpstr>Summary!OSRRefD21_12x_1</vt:lpstr>
      <vt:lpstr>'201'!OSRRefD21_12x_2</vt:lpstr>
      <vt:lpstr>'202'!OSRRefD21_12x_2</vt:lpstr>
      <vt:lpstr>'203'!OSRRefD21_12x_2</vt:lpstr>
      <vt:lpstr>'300'!OSRRefD21_12x_2</vt:lpstr>
      <vt:lpstr>'300 &amp; 317'!OSRRefD21_12x_2</vt:lpstr>
      <vt:lpstr>'301'!OSRRefD21_12x_2</vt:lpstr>
      <vt:lpstr>'307'!OSRRefD21_12x_2</vt:lpstr>
      <vt:lpstr>'308'!OSRRefD21_12x_2</vt:lpstr>
      <vt:lpstr>'309'!OSRRefD21_12x_2</vt:lpstr>
      <vt:lpstr>'310'!OSRRefD21_12x_2</vt:lpstr>
      <vt:lpstr>'310 &amp; 491'!OSRRefD21_12x_2</vt:lpstr>
      <vt:lpstr>'311'!OSRRefD21_12x_2</vt:lpstr>
      <vt:lpstr>'315'!OSRRefD21_12x_2</vt:lpstr>
      <vt:lpstr>'321'!OSRRefD21_12x_2</vt:lpstr>
      <vt:lpstr>'325'!OSRRefD21_12x_2</vt:lpstr>
      <vt:lpstr>'326'!OSRRefD21_12x_2</vt:lpstr>
      <vt:lpstr>'331'!OSRRefD21_12x_2</vt:lpstr>
      <vt:lpstr>'333'!OSRRefD21_12x_2</vt:lpstr>
      <vt:lpstr>'405'!OSRRefD21_12x_2</vt:lpstr>
      <vt:lpstr>'411'!OSRRefD21_12x_2</vt:lpstr>
      <vt:lpstr>'415'!OSRRefD21_12x_2</vt:lpstr>
      <vt:lpstr>'418'!OSRRefD21_12x_2</vt:lpstr>
      <vt:lpstr>'433'!OSRRefD21_12x_2</vt:lpstr>
      <vt:lpstr>'444'!OSRRefD21_12x_2</vt:lpstr>
      <vt:lpstr>'450'!OSRRefD21_12x_2</vt:lpstr>
      <vt:lpstr>'491'!OSRRefD21_12x_2</vt:lpstr>
      <vt:lpstr>'492'!OSRRefD21_12x_2</vt:lpstr>
      <vt:lpstr>'501'!OSRRefD21_12x_2</vt:lpstr>
      <vt:lpstr>'Div 2'!OSRRefD21_12x_2</vt:lpstr>
      <vt:lpstr>'Div 3'!OSRRefD21_12x_2</vt:lpstr>
      <vt:lpstr>'Div 4'!OSRRefD21_12x_2</vt:lpstr>
      <vt:lpstr>'Div 5'!OSRRefD21_12x_2</vt:lpstr>
      <vt:lpstr>Summary!OSRRefD21_12x_2</vt:lpstr>
      <vt:lpstr>'201'!OSRRefD21_12x_3</vt:lpstr>
      <vt:lpstr>'202'!OSRRefD21_12x_3</vt:lpstr>
      <vt:lpstr>'203'!OSRRefD21_12x_3</vt:lpstr>
      <vt:lpstr>'300'!OSRRefD21_12x_3</vt:lpstr>
      <vt:lpstr>'300 &amp; 317'!OSRRefD21_12x_3</vt:lpstr>
      <vt:lpstr>'301'!OSRRefD21_12x_3</vt:lpstr>
      <vt:lpstr>'307'!OSRRefD21_12x_3</vt:lpstr>
      <vt:lpstr>'308'!OSRRefD21_12x_3</vt:lpstr>
      <vt:lpstr>'309'!OSRRefD21_12x_3</vt:lpstr>
      <vt:lpstr>'310'!OSRRefD21_12x_3</vt:lpstr>
      <vt:lpstr>'310 &amp; 491'!OSRRefD21_12x_3</vt:lpstr>
      <vt:lpstr>'311'!OSRRefD21_12x_3</vt:lpstr>
      <vt:lpstr>'315'!OSRRefD21_12x_3</vt:lpstr>
      <vt:lpstr>'321'!OSRRefD21_12x_3</vt:lpstr>
      <vt:lpstr>'325'!OSRRefD21_12x_3</vt:lpstr>
      <vt:lpstr>'326'!OSRRefD21_12x_3</vt:lpstr>
      <vt:lpstr>'331'!OSRRefD21_12x_3</vt:lpstr>
      <vt:lpstr>'333'!OSRRefD21_12x_3</vt:lpstr>
      <vt:lpstr>'405'!OSRRefD21_12x_3</vt:lpstr>
      <vt:lpstr>'411'!OSRRefD21_12x_3</vt:lpstr>
      <vt:lpstr>'415'!OSRRefD21_12x_3</vt:lpstr>
      <vt:lpstr>'418'!OSRRefD21_12x_3</vt:lpstr>
      <vt:lpstr>'433'!OSRRefD21_12x_3</vt:lpstr>
      <vt:lpstr>'444'!OSRRefD21_12x_3</vt:lpstr>
      <vt:lpstr>'450'!OSRRefD21_12x_3</vt:lpstr>
      <vt:lpstr>'491'!OSRRefD21_12x_3</vt:lpstr>
      <vt:lpstr>'492'!OSRRefD21_12x_3</vt:lpstr>
      <vt:lpstr>'501'!OSRRefD21_12x_3</vt:lpstr>
      <vt:lpstr>'Div 2'!OSRRefD21_12x_3</vt:lpstr>
      <vt:lpstr>'Div 3'!OSRRefD21_12x_3</vt:lpstr>
      <vt:lpstr>'Div 4'!OSRRefD21_12x_3</vt:lpstr>
      <vt:lpstr>'Div 5'!OSRRefD21_12x_3</vt:lpstr>
      <vt:lpstr>Summary!OSRRefD21_12x_3</vt:lpstr>
      <vt:lpstr>'201'!OSRRefD21_12x_4</vt:lpstr>
      <vt:lpstr>'202'!OSRRefD21_12x_4</vt:lpstr>
      <vt:lpstr>'203'!OSRRefD21_12x_4</vt:lpstr>
      <vt:lpstr>'300'!OSRRefD21_12x_4</vt:lpstr>
      <vt:lpstr>'300 &amp; 317'!OSRRefD21_12x_4</vt:lpstr>
      <vt:lpstr>'301'!OSRRefD21_12x_4</vt:lpstr>
      <vt:lpstr>'307'!OSRRefD21_12x_4</vt:lpstr>
      <vt:lpstr>'308'!OSRRefD21_12x_4</vt:lpstr>
      <vt:lpstr>'309'!OSRRefD21_12x_4</vt:lpstr>
      <vt:lpstr>'310'!OSRRefD21_12x_4</vt:lpstr>
      <vt:lpstr>'310 &amp; 491'!OSRRefD21_12x_4</vt:lpstr>
      <vt:lpstr>'311'!OSRRefD21_12x_4</vt:lpstr>
      <vt:lpstr>'315'!OSRRefD21_12x_4</vt:lpstr>
      <vt:lpstr>'321'!OSRRefD21_12x_4</vt:lpstr>
      <vt:lpstr>'325'!OSRRefD21_12x_4</vt:lpstr>
      <vt:lpstr>'326'!OSRRefD21_12x_4</vt:lpstr>
      <vt:lpstr>'331'!OSRRefD21_12x_4</vt:lpstr>
      <vt:lpstr>'333'!OSRRefD21_12x_4</vt:lpstr>
      <vt:lpstr>'405'!OSRRefD21_12x_4</vt:lpstr>
      <vt:lpstr>'411'!OSRRefD21_12x_4</vt:lpstr>
      <vt:lpstr>'415'!OSRRefD21_12x_4</vt:lpstr>
      <vt:lpstr>'418'!OSRRefD21_12x_4</vt:lpstr>
      <vt:lpstr>'433'!OSRRefD21_12x_4</vt:lpstr>
      <vt:lpstr>'444'!OSRRefD21_12x_4</vt:lpstr>
      <vt:lpstr>'450'!OSRRefD21_12x_4</vt:lpstr>
      <vt:lpstr>'491'!OSRRefD21_12x_4</vt:lpstr>
      <vt:lpstr>'492'!OSRRefD21_12x_4</vt:lpstr>
      <vt:lpstr>'501'!OSRRefD21_12x_4</vt:lpstr>
      <vt:lpstr>'Div 2'!OSRRefD21_12x_4</vt:lpstr>
      <vt:lpstr>'Div 3'!OSRRefD21_12x_4</vt:lpstr>
      <vt:lpstr>'Div 4'!OSRRefD21_12x_4</vt:lpstr>
      <vt:lpstr>'Div 5'!OSRRefD21_12x_4</vt:lpstr>
      <vt:lpstr>Summary!OSRRefD21_12x_4</vt:lpstr>
      <vt:lpstr>'201'!OSRRefD21_12x_5</vt:lpstr>
      <vt:lpstr>'202'!OSRRefD21_12x_5</vt:lpstr>
      <vt:lpstr>'203'!OSRRefD21_12x_5</vt:lpstr>
      <vt:lpstr>'300'!OSRRefD21_12x_5</vt:lpstr>
      <vt:lpstr>'300 &amp; 317'!OSRRefD21_12x_5</vt:lpstr>
      <vt:lpstr>'301'!OSRRefD21_12x_5</vt:lpstr>
      <vt:lpstr>'307'!OSRRefD21_12x_5</vt:lpstr>
      <vt:lpstr>'308'!OSRRefD21_12x_5</vt:lpstr>
      <vt:lpstr>'309'!OSRRefD21_12x_5</vt:lpstr>
      <vt:lpstr>'310'!OSRRefD21_12x_5</vt:lpstr>
      <vt:lpstr>'310 &amp; 491'!OSRRefD21_12x_5</vt:lpstr>
      <vt:lpstr>'311'!OSRRefD21_12x_5</vt:lpstr>
      <vt:lpstr>'315'!OSRRefD21_12x_5</vt:lpstr>
      <vt:lpstr>'321'!OSRRefD21_12x_5</vt:lpstr>
      <vt:lpstr>'325'!OSRRefD21_12x_5</vt:lpstr>
      <vt:lpstr>'326'!OSRRefD21_12x_5</vt:lpstr>
      <vt:lpstr>'331'!OSRRefD21_12x_5</vt:lpstr>
      <vt:lpstr>'333'!OSRRefD21_12x_5</vt:lpstr>
      <vt:lpstr>'405'!OSRRefD21_12x_5</vt:lpstr>
      <vt:lpstr>'411'!OSRRefD21_12x_5</vt:lpstr>
      <vt:lpstr>'415'!OSRRefD21_12x_5</vt:lpstr>
      <vt:lpstr>'418'!OSRRefD21_12x_5</vt:lpstr>
      <vt:lpstr>'433'!OSRRefD21_12x_5</vt:lpstr>
      <vt:lpstr>'444'!OSRRefD21_12x_5</vt:lpstr>
      <vt:lpstr>'450'!OSRRefD21_12x_5</vt:lpstr>
      <vt:lpstr>'491'!OSRRefD21_12x_5</vt:lpstr>
      <vt:lpstr>'492'!OSRRefD21_12x_5</vt:lpstr>
      <vt:lpstr>'501'!OSRRefD21_12x_5</vt:lpstr>
      <vt:lpstr>'Div 2'!OSRRefD21_12x_5</vt:lpstr>
      <vt:lpstr>'Div 3'!OSRRefD21_12x_5</vt:lpstr>
      <vt:lpstr>'Div 4'!OSRRefD21_12x_5</vt:lpstr>
      <vt:lpstr>'Div 5'!OSRRefD21_12x_5</vt:lpstr>
      <vt:lpstr>Summary!OSRRefD21_12x_5</vt:lpstr>
      <vt:lpstr>'201'!OSRRefD21_12x_6</vt:lpstr>
      <vt:lpstr>'202'!OSRRefD21_12x_6</vt:lpstr>
      <vt:lpstr>'203'!OSRRefD21_12x_6</vt:lpstr>
      <vt:lpstr>'300'!OSRRefD21_12x_6</vt:lpstr>
      <vt:lpstr>'300 &amp; 317'!OSRRefD21_12x_6</vt:lpstr>
      <vt:lpstr>'301'!OSRRefD21_12x_6</vt:lpstr>
      <vt:lpstr>'307'!OSRRefD21_12x_6</vt:lpstr>
      <vt:lpstr>'308'!OSRRefD21_12x_6</vt:lpstr>
      <vt:lpstr>'309'!OSRRefD21_12x_6</vt:lpstr>
      <vt:lpstr>'310'!OSRRefD21_12x_6</vt:lpstr>
      <vt:lpstr>'310 &amp; 491'!OSRRefD21_12x_6</vt:lpstr>
      <vt:lpstr>'311'!OSRRefD21_12x_6</vt:lpstr>
      <vt:lpstr>'315'!OSRRefD21_12x_6</vt:lpstr>
      <vt:lpstr>'321'!OSRRefD21_12x_6</vt:lpstr>
      <vt:lpstr>'325'!OSRRefD21_12x_6</vt:lpstr>
      <vt:lpstr>'326'!OSRRefD21_12x_6</vt:lpstr>
      <vt:lpstr>'331'!OSRRefD21_12x_6</vt:lpstr>
      <vt:lpstr>'333'!OSRRefD21_12x_6</vt:lpstr>
      <vt:lpstr>'405'!OSRRefD21_12x_6</vt:lpstr>
      <vt:lpstr>'411'!OSRRefD21_12x_6</vt:lpstr>
      <vt:lpstr>'415'!OSRRefD21_12x_6</vt:lpstr>
      <vt:lpstr>'418'!OSRRefD21_12x_6</vt:lpstr>
      <vt:lpstr>'433'!OSRRefD21_12x_6</vt:lpstr>
      <vt:lpstr>'444'!OSRRefD21_12x_6</vt:lpstr>
      <vt:lpstr>'450'!OSRRefD21_12x_6</vt:lpstr>
      <vt:lpstr>'491'!OSRRefD21_12x_6</vt:lpstr>
      <vt:lpstr>'492'!OSRRefD21_12x_6</vt:lpstr>
      <vt:lpstr>'501'!OSRRefD21_12x_6</vt:lpstr>
      <vt:lpstr>'Div 2'!OSRRefD21_12x_6</vt:lpstr>
      <vt:lpstr>'Div 3'!OSRRefD21_12x_6</vt:lpstr>
      <vt:lpstr>'Div 4'!OSRRefD21_12x_6</vt:lpstr>
      <vt:lpstr>'Div 5'!OSRRefD21_12x_6</vt:lpstr>
      <vt:lpstr>Summary!OSRRefD21_12x_6</vt:lpstr>
      <vt:lpstr>'201'!OSRRefD21_12x_7</vt:lpstr>
      <vt:lpstr>'202'!OSRRefD21_12x_7</vt:lpstr>
      <vt:lpstr>'203'!OSRRefD21_12x_7</vt:lpstr>
      <vt:lpstr>'300'!OSRRefD21_12x_7</vt:lpstr>
      <vt:lpstr>'300 &amp; 317'!OSRRefD21_12x_7</vt:lpstr>
      <vt:lpstr>'301'!OSRRefD21_12x_7</vt:lpstr>
      <vt:lpstr>'307'!OSRRefD21_12x_7</vt:lpstr>
      <vt:lpstr>'308'!OSRRefD21_12x_7</vt:lpstr>
      <vt:lpstr>'309'!OSRRefD21_12x_7</vt:lpstr>
      <vt:lpstr>'310'!OSRRefD21_12x_7</vt:lpstr>
      <vt:lpstr>'310 &amp; 491'!OSRRefD21_12x_7</vt:lpstr>
      <vt:lpstr>'311'!OSRRefD21_12x_7</vt:lpstr>
      <vt:lpstr>'315'!OSRRefD21_12x_7</vt:lpstr>
      <vt:lpstr>'321'!OSRRefD21_12x_7</vt:lpstr>
      <vt:lpstr>'325'!OSRRefD21_12x_7</vt:lpstr>
      <vt:lpstr>'326'!OSRRefD21_12x_7</vt:lpstr>
      <vt:lpstr>'331'!OSRRefD21_12x_7</vt:lpstr>
      <vt:lpstr>'333'!OSRRefD21_12x_7</vt:lpstr>
      <vt:lpstr>'405'!OSRRefD21_12x_7</vt:lpstr>
      <vt:lpstr>'411'!OSRRefD21_12x_7</vt:lpstr>
      <vt:lpstr>'415'!OSRRefD21_12x_7</vt:lpstr>
      <vt:lpstr>'418'!OSRRefD21_12x_7</vt:lpstr>
      <vt:lpstr>'433'!OSRRefD21_12x_7</vt:lpstr>
      <vt:lpstr>'444'!OSRRefD21_12x_7</vt:lpstr>
      <vt:lpstr>'450'!OSRRefD21_12x_7</vt:lpstr>
      <vt:lpstr>'491'!OSRRefD21_12x_7</vt:lpstr>
      <vt:lpstr>'492'!OSRRefD21_12x_7</vt:lpstr>
      <vt:lpstr>'501'!OSRRefD21_12x_7</vt:lpstr>
      <vt:lpstr>'Div 2'!OSRRefD21_12x_7</vt:lpstr>
      <vt:lpstr>'Div 3'!OSRRefD21_12x_7</vt:lpstr>
      <vt:lpstr>'Div 4'!OSRRefD21_12x_7</vt:lpstr>
      <vt:lpstr>'Div 5'!OSRRefD21_12x_7</vt:lpstr>
      <vt:lpstr>Summary!OSRRefD21_12x_7</vt:lpstr>
      <vt:lpstr>'201'!OSRRefD21_12x_8</vt:lpstr>
      <vt:lpstr>'202'!OSRRefD21_12x_8</vt:lpstr>
      <vt:lpstr>'203'!OSRRefD21_12x_8</vt:lpstr>
      <vt:lpstr>'300'!OSRRefD21_12x_8</vt:lpstr>
      <vt:lpstr>'300 &amp; 317'!OSRRefD21_12x_8</vt:lpstr>
      <vt:lpstr>'301'!OSRRefD21_12x_8</vt:lpstr>
      <vt:lpstr>'307'!OSRRefD21_12x_8</vt:lpstr>
      <vt:lpstr>'308'!OSRRefD21_12x_8</vt:lpstr>
      <vt:lpstr>'309'!OSRRefD21_12x_8</vt:lpstr>
      <vt:lpstr>'310'!OSRRefD21_12x_8</vt:lpstr>
      <vt:lpstr>'310 &amp; 491'!OSRRefD21_12x_8</vt:lpstr>
      <vt:lpstr>'311'!OSRRefD21_12x_8</vt:lpstr>
      <vt:lpstr>'315'!OSRRefD21_12x_8</vt:lpstr>
      <vt:lpstr>'321'!OSRRefD21_12x_8</vt:lpstr>
      <vt:lpstr>'325'!OSRRefD21_12x_8</vt:lpstr>
      <vt:lpstr>'326'!OSRRefD21_12x_8</vt:lpstr>
      <vt:lpstr>'331'!OSRRefD21_12x_8</vt:lpstr>
      <vt:lpstr>'333'!OSRRefD21_12x_8</vt:lpstr>
      <vt:lpstr>'405'!OSRRefD21_12x_8</vt:lpstr>
      <vt:lpstr>'411'!OSRRefD21_12x_8</vt:lpstr>
      <vt:lpstr>'415'!OSRRefD21_12x_8</vt:lpstr>
      <vt:lpstr>'418'!OSRRefD21_12x_8</vt:lpstr>
      <vt:lpstr>'433'!OSRRefD21_12x_8</vt:lpstr>
      <vt:lpstr>'444'!OSRRefD21_12x_8</vt:lpstr>
      <vt:lpstr>'450'!OSRRefD21_12x_8</vt:lpstr>
      <vt:lpstr>'491'!OSRRefD21_12x_8</vt:lpstr>
      <vt:lpstr>'492'!OSRRefD21_12x_8</vt:lpstr>
      <vt:lpstr>'501'!OSRRefD21_12x_8</vt:lpstr>
      <vt:lpstr>'Div 2'!OSRRefD21_12x_8</vt:lpstr>
      <vt:lpstr>'Div 3'!OSRRefD21_12x_8</vt:lpstr>
      <vt:lpstr>'Div 4'!OSRRefD21_12x_8</vt:lpstr>
      <vt:lpstr>'Div 5'!OSRRefD21_12x_8</vt:lpstr>
      <vt:lpstr>Summary!OSRRefD21_12x_8</vt:lpstr>
      <vt:lpstr>'201'!OSRRefD21_12x_9</vt:lpstr>
      <vt:lpstr>'202'!OSRRefD21_12x_9</vt:lpstr>
      <vt:lpstr>'203'!OSRRefD21_12x_9</vt:lpstr>
      <vt:lpstr>'300'!OSRRefD21_12x_9</vt:lpstr>
      <vt:lpstr>'300 &amp; 317'!OSRRefD21_12x_9</vt:lpstr>
      <vt:lpstr>'301'!OSRRefD21_12x_9</vt:lpstr>
      <vt:lpstr>'307'!OSRRefD21_12x_9</vt:lpstr>
      <vt:lpstr>'308'!OSRRefD21_12x_9</vt:lpstr>
      <vt:lpstr>'309'!OSRRefD21_12x_9</vt:lpstr>
      <vt:lpstr>'310'!OSRRefD21_12x_9</vt:lpstr>
      <vt:lpstr>'310 &amp; 491'!OSRRefD21_12x_9</vt:lpstr>
      <vt:lpstr>'311'!OSRRefD21_12x_9</vt:lpstr>
      <vt:lpstr>'315'!OSRRefD21_12x_9</vt:lpstr>
      <vt:lpstr>'321'!OSRRefD21_12x_9</vt:lpstr>
      <vt:lpstr>'325'!OSRRefD21_12x_9</vt:lpstr>
      <vt:lpstr>'326'!OSRRefD21_12x_9</vt:lpstr>
      <vt:lpstr>'331'!OSRRefD21_12x_9</vt:lpstr>
      <vt:lpstr>'333'!OSRRefD21_12x_9</vt:lpstr>
      <vt:lpstr>'405'!OSRRefD21_12x_9</vt:lpstr>
      <vt:lpstr>'411'!OSRRefD21_12x_9</vt:lpstr>
      <vt:lpstr>'415'!OSRRefD21_12x_9</vt:lpstr>
      <vt:lpstr>'418'!OSRRefD21_12x_9</vt:lpstr>
      <vt:lpstr>'433'!OSRRefD21_12x_9</vt:lpstr>
      <vt:lpstr>'444'!OSRRefD21_12x_9</vt:lpstr>
      <vt:lpstr>'450'!OSRRefD21_12x_9</vt:lpstr>
      <vt:lpstr>'491'!OSRRefD21_12x_9</vt:lpstr>
      <vt:lpstr>'492'!OSRRefD21_12x_9</vt:lpstr>
      <vt:lpstr>'501'!OSRRefD21_12x_9</vt:lpstr>
      <vt:lpstr>'Div 2'!OSRRefD21_12x_9</vt:lpstr>
      <vt:lpstr>'Div 3'!OSRRefD21_12x_9</vt:lpstr>
      <vt:lpstr>'Div 4'!OSRRefD21_12x_9</vt:lpstr>
      <vt:lpstr>'Div 5'!OSRRefD21_12x_9</vt:lpstr>
      <vt:lpstr>Summary!OSRRefD21_12x_9</vt:lpstr>
      <vt:lpstr>'201'!OSRRefD21_13_0x</vt:lpstr>
      <vt:lpstr>'203'!OSRRefD21_13_0x</vt:lpstr>
      <vt:lpstr>'300'!OSRRefD21_13_0x</vt:lpstr>
      <vt:lpstr>'300 &amp; 317'!OSRRefD21_13_0x</vt:lpstr>
      <vt:lpstr>'301'!OSRRefD21_13_0x</vt:lpstr>
      <vt:lpstr>'307'!OSRRefD21_13_0x</vt:lpstr>
      <vt:lpstr>'308'!OSRRefD21_13_0x</vt:lpstr>
      <vt:lpstr>'310'!OSRRefD21_13_0x</vt:lpstr>
      <vt:lpstr>'310 &amp; 491'!OSRRefD21_13_0x</vt:lpstr>
      <vt:lpstr>'311'!OSRRefD21_13_0x</vt:lpstr>
      <vt:lpstr>'315'!OSRRefD21_13_0x</vt:lpstr>
      <vt:lpstr>'325'!OSRRefD21_13_0x</vt:lpstr>
      <vt:lpstr>'326'!OSRRefD21_13_0x</vt:lpstr>
      <vt:lpstr>'331'!OSRRefD21_13_0x</vt:lpstr>
      <vt:lpstr>'333'!OSRRefD21_13_0x</vt:lpstr>
      <vt:lpstr>'405'!OSRRefD21_13_0x</vt:lpstr>
      <vt:lpstr>'411'!OSRRefD21_13_0x</vt:lpstr>
      <vt:lpstr>'415'!OSRRefD21_13_0x</vt:lpstr>
      <vt:lpstr>'418'!OSRRefD21_13_0x</vt:lpstr>
      <vt:lpstr>'433'!OSRRefD21_13_0x</vt:lpstr>
      <vt:lpstr>'444'!OSRRefD21_13_0x</vt:lpstr>
      <vt:lpstr>'450'!OSRRefD21_13_0x</vt:lpstr>
      <vt:lpstr>'491'!OSRRefD21_13_0x</vt:lpstr>
      <vt:lpstr>'492'!OSRRefD21_13_0x</vt:lpstr>
      <vt:lpstr>'501'!OSRRefD21_13_0x</vt:lpstr>
      <vt:lpstr>'Div 2'!OSRRefD21_13_0x</vt:lpstr>
      <vt:lpstr>'Div 3'!OSRRefD21_13_0x</vt:lpstr>
      <vt:lpstr>'Div 4'!OSRRefD21_13_0x</vt:lpstr>
      <vt:lpstr>'Div 5'!OSRRefD21_13_0x</vt:lpstr>
      <vt:lpstr>Summary!OSRRefD21_13_0x</vt:lpstr>
      <vt:lpstr>'310'!OSRRefD21_13_1x</vt:lpstr>
      <vt:lpstr>'310 &amp; 491'!OSRRefD21_13_1x</vt:lpstr>
      <vt:lpstr>'315'!OSRRefD21_13_1x</vt:lpstr>
      <vt:lpstr>'325'!OSRRefD21_13_1x</vt:lpstr>
      <vt:lpstr>'326'!OSRRefD21_13_1x</vt:lpstr>
      <vt:lpstr>'411'!OSRRefD21_13_1x</vt:lpstr>
      <vt:lpstr>'433'!OSRRefD21_13_1x</vt:lpstr>
      <vt:lpstr>'444'!OSRRefD21_13_1x</vt:lpstr>
      <vt:lpstr>'450'!OSRRefD21_13_1x</vt:lpstr>
      <vt:lpstr>'492'!OSRRefD21_13_1x</vt:lpstr>
      <vt:lpstr>'Div 2'!OSRRefD21_13_1x</vt:lpstr>
      <vt:lpstr>'310'!OSRRefD21_13_2x</vt:lpstr>
      <vt:lpstr>'315'!OSRRefD21_13_2x</vt:lpstr>
      <vt:lpstr>'325'!OSRRefD21_13_2x</vt:lpstr>
      <vt:lpstr>'433'!OSRRefD21_13_2x</vt:lpstr>
      <vt:lpstr>'444'!OSRRefD21_13_2x</vt:lpstr>
      <vt:lpstr>'450'!OSRRefD21_13_2x</vt:lpstr>
      <vt:lpstr>'492'!OSRRefD21_13_2x</vt:lpstr>
      <vt:lpstr>'Div 2'!OSRRefD21_13_2x</vt:lpstr>
      <vt:lpstr>'325'!OSRRefD21_13_3x</vt:lpstr>
      <vt:lpstr>'433'!OSRRefD21_13_3x</vt:lpstr>
      <vt:lpstr>'444'!OSRRefD21_13_3x</vt:lpstr>
      <vt:lpstr>'450'!OSRRefD21_13_3x</vt:lpstr>
      <vt:lpstr>'492'!OSRRefD21_13_3x</vt:lpstr>
      <vt:lpstr>'Div 2'!OSRRefD21_13_3x</vt:lpstr>
      <vt:lpstr>'325'!OSRRefD21_13_4x</vt:lpstr>
      <vt:lpstr>'433'!OSRRefD21_13_4x</vt:lpstr>
      <vt:lpstr>'444'!OSRRefD21_13_4x</vt:lpstr>
      <vt:lpstr>'450'!OSRRefD21_13_4x</vt:lpstr>
      <vt:lpstr>'325'!OSRRefD21_13_5x</vt:lpstr>
      <vt:lpstr>'433'!OSRRefD21_13_5x</vt:lpstr>
      <vt:lpstr>'444'!OSRRefD21_13_5x</vt:lpstr>
      <vt:lpstr>'450'!OSRRefD21_13_5x</vt:lpstr>
      <vt:lpstr>'433'!OSRRefD21_13_6x</vt:lpstr>
      <vt:lpstr>'444'!OSRRefD21_13_6x</vt:lpstr>
      <vt:lpstr>'450'!OSRRefD21_13_6x</vt:lpstr>
      <vt:lpstr>'433'!OSRRefD21_13_7x</vt:lpstr>
      <vt:lpstr>'444'!OSRRefD21_13_7x</vt:lpstr>
      <vt:lpstr>'444'!OSRRefD21_13_8x</vt:lpstr>
      <vt:lpstr>'201'!OSRRefD21_13x_0</vt:lpstr>
      <vt:lpstr>'203'!OSRRefD21_13x_0</vt:lpstr>
      <vt:lpstr>'300'!OSRRefD21_13x_0</vt:lpstr>
      <vt:lpstr>'300 &amp; 317'!OSRRefD21_13x_0</vt:lpstr>
      <vt:lpstr>'301'!OSRRefD21_13x_0</vt:lpstr>
      <vt:lpstr>'307'!OSRRefD21_13x_0</vt:lpstr>
      <vt:lpstr>'308'!OSRRefD21_13x_0</vt:lpstr>
      <vt:lpstr>'310'!OSRRefD21_13x_0</vt:lpstr>
      <vt:lpstr>'310 &amp; 491'!OSRRefD21_13x_0</vt:lpstr>
      <vt:lpstr>'311'!OSRRefD21_13x_0</vt:lpstr>
      <vt:lpstr>'315'!OSRRefD21_13x_0</vt:lpstr>
      <vt:lpstr>'325'!OSRRefD21_13x_0</vt:lpstr>
      <vt:lpstr>'326'!OSRRefD21_13x_0</vt:lpstr>
      <vt:lpstr>'331'!OSRRefD21_13x_0</vt:lpstr>
      <vt:lpstr>'333'!OSRRefD21_13x_0</vt:lpstr>
      <vt:lpstr>'405'!OSRRefD21_13x_0</vt:lpstr>
      <vt:lpstr>'411'!OSRRefD21_13x_0</vt:lpstr>
      <vt:lpstr>'415'!OSRRefD21_13x_0</vt:lpstr>
      <vt:lpstr>'418'!OSRRefD21_13x_0</vt:lpstr>
      <vt:lpstr>'433'!OSRRefD21_13x_0</vt:lpstr>
      <vt:lpstr>'444'!OSRRefD21_13x_0</vt:lpstr>
      <vt:lpstr>'450'!OSRRefD21_13x_0</vt:lpstr>
      <vt:lpstr>'491'!OSRRefD21_13x_0</vt:lpstr>
      <vt:lpstr>'492'!OSRRefD21_13x_0</vt:lpstr>
      <vt:lpstr>'501'!OSRRefD21_13x_0</vt:lpstr>
      <vt:lpstr>'Div 2'!OSRRefD21_13x_0</vt:lpstr>
      <vt:lpstr>'Div 3'!OSRRefD21_13x_0</vt:lpstr>
      <vt:lpstr>'Div 4'!OSRRefD21_13x_0</vt:lpstr>
      <vt:lpstr>'Div 5'!OSRRefD21_13x_0</vt:lpstr>
      <vt:lpstr>Summary!OSRRefD21_13x_0</vt:lpstr>
      <vt:lpstr>'201'!OSRRefD21_13x_1</vt:lpstr>
      <vt:lpstr>'203'!OSRRefD21_13x_1</vt:lpstr>
      <vt:lpstr>'300'!OSRRefD21_13x_1</vt:lpstr>
      <vt:lpstr>'300 &amp; 317'!OSRRefD21_13x_1</vt:lpstr>
      <vt:lpstr>'301'!OSRRefD21_13x_1</vt:lpstr>
      <vt:lpstr>'307'!OSRRefD21_13x_1</vt:lpstr>
      <vt:lpstr>'308'!OSRRefD21_13x_1</vt:lpstr>
      <vt:lpstr>'310'!OSRRefD21_13x_1</vt:lpstr>
      <vt:lpstr>'310 &amp; 491'!OSRRefD21_13x_1</vt:lpstr>
      <vt:lpstr>'311'!OSRRefD21_13x_1</vt:lpstr>
      <vt:lpstr>'315'!OSRRefD21_13x_1</vt:lpstr>
      <vt:lpstr>'325'!OSRRefD21_13x_1</vt:lpstr>
      <vt:lpstr>'326'!OSRRefD21_13x_1</vt:lpstr>
      <vt:lpstr>'331'!OSRRefD21_13x_1</vt:lpstr>
      <vt:lpstr>'333'!OSRRefD21_13x_1</vt:lpstr>
      <vt:lpstr>'405'!OSRRefD21_13x_1</vt:lpstr>
      <vt:lpstr>'411'!OSRRefD21_13x_1</vt:lpstr>
      <vt:lpstr>'415'!OSRRefD21_13x_1</vt:lpstr>
      <vt:lpstr>'418'!OSRRefD21_13x_1</vt:lpstr>
      <vt:lpstr>'433'!OSRRefD21_13x_1</vt:lpstr>
      <vt:lpstr>'444'!OSRRefD21_13x_1</vt:lpstr>
      <vt:lpstr>'450'!OSRRefD21_13x_1</vt:lpstr>
      <vt:lpstr>'491'!OSRRefD21_13x_1</vt:lpstr>
      <vt:lpstr>'492'!OSRRefD21_13x_1</vt:lpstr>
      <vt:lpstr>'501'!OSRRefD21_13x_1</vt:lpstr>
      <vt:lpstr>'Div 2'!OSRRefD21_13x_1</vt:lpstr>
      <vt:lpstr>'Div 3'!OSRRefD21_13x_1</vt:lpstr>
      <vt:lpstr>'Div 4'!OSRRefD21_13x_1</vt:lpstr>
      <vt:lpstr>'Div 5'!OSRRefD21_13x_1</vt:lpstr>
      <vt:lpstr>Summary!OSRRefD21_13x_1</vt:lpstr>
      <vt:lpstr>'201'!OSRRefD21_13x_2</vt:lpstr>
      <vt:lpstr>'203'!OSRRefD21_13x_2</vt:lpstr>
      <vt:lpstr>'300'!OSRRefD21_13x_2</vt:lpstr>
      <vt:lpstr>'300 &amp; 317'!OSRRefD21_13x_2</vt:lpstr>
      <vt:lpstr>'301'!OSRRefD21_13x_2</vt:lpstr>
      <vt:lpstr>'307'!OSRRefD21_13x_2</vt:lpstr>
      <vt:lpstr>'308'!OSRRefD21_13x_2</vt:lpstr>
      <vt:lpstr>'310'!OSRRefD21_13x_2</vt:lpstr>
      <vt:lpstr>'310 &amp; 491'!OSRRefD21_13x_2</vt:lpstr>
      <vt:lpstr>'311'!OSRRefD21_13x_2</vt:lpstr>
      <vt:lpstr>'315'!OSRRefD21_13x_2</vt:lpstr>
      <vt:lpstr>'325'!OSRRefD21_13x_2</vt:lpstr>
      <vt:lpstr>'326'!OSRRefD21_13x_2</vt:lpstr>
      <vt:lpstr>'331'!OSRRefD21_13x_2</vt:lpstr>
      <vt:lpstr>'333'!OSRRefD21_13x_2</vt:lpstr>
      <vt:lpstr>'405'!OSRRefD21_13x_2</vt:lpstr>
      <vt:lpstr>'411'!OSRRefD21_13x_2</vt:lpstr>
      <vt:lpstr>'415'!OSRRefD21_13x_2</vt:lpstr>
      <vt:lpstr>'418'!OSRRefD21_13x_2</vt:lpstr>
      <vt:lpstr>'433'!OSRRefD21_13x_2</vt:lpstr>
      <vt:lpstr>'444'!OSRRefD21_13x_2</vt:lpstr>
      <vt:lpstr>'450'!OSRRefD21_13x_2</vt:lpstr>
      <vt:lpstr>'491'!OSRRefD21_13x_2</vt:lpstr>
      <vt:lpstr>'492'!OSRRefD21_13x_2</vt:lpstr>
      <vt:lpstr>'501'!OSRRefD21_13x_2</vt:lpstr>
      <vt:lpstr>'Div 2'!OSRRefD21_13x_2</vt:lpstr>
      <vt:lpstr>'Div 3'!OSRRefD21_13x_2</vt:lpstr>
      <vt:lpstr>'Div 4'!OSRRefD21_13x_2</vt:lpstr>
      <vt:lpstr>'Div 5'!OSRRefD21_13x_2</vt:lpstr>
      <vt:lpstr>Summary!OSRRefD21_13x_2</vt:lpstr>
      <vt:lpstr>'201'!OSRRefD21_13x_3</vt:lpstr>
      <vt:lpstr>'203'!OSRRefD21_13x_3</vt:lpstr>
      <vt:lpstr>'300'!OSRRefD21_13x_3</vt:lpstr>
      <vt:lpstr>'300 &amp; 317'!OSRRefD21_13x_3</vt:lpstr>
      <vt:lpstr>'301'!OSRRefD21_13x_3</vt:lpstr>
      <vt:lpstr>'307'!OSRRefD21_13x_3</vt:lpstr>
      <vt:lpstr>'308'!OSRRefD21_13x_3</vt:lpstr>
      <vt:lpstr>'310'!OSRRefD21_13x_3</vt:lpstr>
      <vt:lpstr>'310 &amp; 491'!OSRRefD21_13x_3</vt:lpstr>
      <vt:lpstr>'311'!OSRRefD21_13x_3</vt:lpstr>
      <vt:lpstr>'315'!OSRRefD21_13x_3</vt:lpstr>
      <vt:lpstr>'325'!OSRRefD21_13x_3</vt:lpstr>
      <vt:lpstr>'326'!OSRRefD21_13x_3</vt:lpstr>
      <vt:lpstr>'331'!OSRRefD21_13x_3</vt:lpstr>
      <vt:lpstr>'333'!OSRRefD21_13x_3</vt:lpstr>
      <vt:lpstr>'405'!OSRRefD21_13x_3</vt:lpstr>
      <vt:lpstr>'411'!OSRRefD21_13x_3</vt:lpstr>
      <vt:lpstr>'415'!OSRRefD21_13x_3</vt:lpstr>
      <vt:lpstr>'418'!OSRRefD21_13x_3</vt:lpstr>
      <vt:lpstr>'433'!OSRRefD21_13x_3</vt:lpstr>
      <vt:lpstr>'444'!OSRRefD21_13x_3</vt:lpstr>
      <vt:lpstr>'450'!OSRRefD21_13x_3</vt:lpstr>
      <vt:lpstr>'491'!OSRRefD21_13x_3</vt:lpstr>
      <vt:lpstr>'492'!OSRRefD21_13x_3</vt:lpstr>
      <vt:lpstr>'501'!OSRRefD21_13x_3</vt:lpstr>
      <vt:lpstr>'Div 2'!OSRRefD21_13x_3</vt:lpstr>
      <vt:lpstr>'Div 3'!OSRRefD21_13x_3</vt:lpstr>
      <vt:lpstr>'Div 4'!OSRRefD21_13x_3</vt:lpstr>
      <vt:lpstr>'Div 5'!OSRRefD21_13x_3</vt:lpstr>
      <vt:lpstr>Summary!OSRRefD21_13x_3</vt:lpstr>
      <vt:lpstr>'201'!OSRRefD21_13x_4</vt:lpstr>
      <vt:lpstr>'203'!OSRRefD21_13x_4</vt:lpstr>
      <vt:lpstr>'300'!OSRRefD21_13x_4</vt:lpstr>
      <vt:lpstr>'300 &amp; 317'!OSRRefD21_13x_4</vt:lpstr>
      <vt:lpstr>'301'!OSRRefD21_13x_4</vt:lpstr>
      <vt:lpstr>'307'!OSRRefD21_13x_4</vt:lpstr>
      <vt:lpstr>'308'!OSRRefD21_13x_4</vt:lpstr>
      <vt:lpstr>'310'!OSRRefD21_13x_4</vt:lpstr>
      <vt:lpstr>'310 &amp; 491'!OSRRefD21_13x_4</vt:lpstr>
      <vt:lpstr>'311'!OSRRefD21_13x_4</vt:lpstr>
      <vt:lpstr>'315'!OSRRefD21_13x_4</vt:lpstr>
      <vt:lpstr>'325'!OSRRefD21_13x_4</vt:lpstr>
      <vt:lpstr>'326'!OSRRefD21_13x_4</vt:lpstr>
      <vt:lpstr>'331'!OSRRefD21_13x_4</vt:lpstr>
      <vt:lpstr>'333'!OSRRefD21_13x_4</vt:lpstr>
      <vt:lpstr>'405'!OSRRefD21_13x_4</vt:lpstr>
      <vt:lpstr>'411'!OSRRefD21_13x_4</vt:lpstr>
      <vt:lpstr>'415'!OSRRefD21_13x_4</vt:lpstr>
      <vt:lpstr>'418'!OSRRefD21_13x_4</vt:lpstr>
      <vt:lpstr>'433'!OSRRefD21_13x_4</vt:lpstr>
      <vt:lpstr>'444'!OSRRefD21_13x_4</vt:lpstr>
      <vt:lpstr>'450'!OSRRefD21_13x_4</vt:lpstr>
      <vt:lpstr>'491'!OSRRefD21_13x_4</vt:lpstr>
      <vt:lpstr>'492'!OSRRefD21_13x_4</vt:lpstr>
      <vt:lpstr>'501'!OSRRefD21_13x_4</vt:lpstr>
      <vt:lpstr>'Div 2'!OSRRefD21_13x_4</vt:lpstr>
      <vt:lpstr>'Div 3'!OSRRefD21_13x_4</vt:lpstr>
      <vt:lpstr>'Div 4'!OSRRefD21_13x_4</vt:lpstr>
      <vt:lpstr>'Div 5'!OSRRefD21_13x_4</vt:lpstr>
      <vt:lpstr>Summary!OSRRefD21_13x_4</vt:lpstr>
      <vt:lpstr>'201'!OSRRefD21_13x_5</vt:lpstr>
      <vt:lpstr>'203'!OSRRefD21_13x_5</vt:lpstr>
      <vt:lpstr>'300'!OSRRefD21_13x_5</vt:lpstr>
      <vt:lpstr>'300 &amp; 317'!OSRRefD21_13x_5</vt:lpstr>
      <vt:lpstr>'301'!OSRRefD21_13x_5</vt:lpstr>
      <vt:lpstr>'307'!OSRRefD21_13x_5</vt:lpstr>
      <vt:lpstr>'308'!OSRRefD21_13x_5</vt:lpstr>
      <vt:lpstr>'310'!OSRRefD21_13x_5</vt:lpstr>
      <vt:lpstr>'310 &amp; 491'!OSRRefD21_13x_5</vt:lpstr>
      <vt:lpstr>'311'!OSRRefD21_13x_5</vt:lpstr>
      <vt:lpstr>'315'!OSRRefD21_13x_5</vt:lpstr>
      <vt:lpstr>'325'!OSRRefD21_13x_5</vt:lpstr>
      <vt:lpstr>'326'!OSRRefD21_13x_5</vt:lpstr>
      <vt:lpstr>'331'!OSRRefD21_13x_5</vt:lpstr>
      <vt:lpstr>'333'!OSRRefD21_13x_5</vt:lpstr>
      <vt:lpstr>'405'!OSRRefD21_13x_5</vt:lpstr>
      <vt:lpstr>'411'!OSRRefD21_13x_5</vt:lpstr>
      <vt:lpstr>'415'!OSRRefD21_13x_5</vt:lpstr>
      <vt:lpstr>'418'!OSRRefD21_13x_5</vt:lpstr>
      <vt:lpstr>'433'!OSRRefD21_13x_5</vt:lpstr>
      <vt:lpstr>'444'!OSRRefD21_13x_5</vt:lpstr>
      <vt:lpstr>'450'!OSRRefD21_13x_5</vt:lpstr>
      <vt:lpstr>'491'!OSRRefD21_13x_5</vt:lpstr>
      <vt:lpstr>'492'!OSRRefD21_13x_5</vt:lpstr>
      <vt:lpstr>'501'!OSRRefD21_13x_5</vt:lpstr>
      <vt:lpstr>'Div 2'!OSRRefD21_13x_5</vt:lpstr>
      <vt:lpstr>'Div 3'!OSRRefD21_13x_5</vt:lpstr>
      <vt:lpstr>'Div 4'!OSRRefD21_13x_5</vt:lpstr>
      <vt:lpstr>'Div 5'!OSRRefD21_13x_5</vt:lpstr>
      <vt:lpstr>Summary!OSRRefD21_13x_5</vt:lpstr>
      <vt:lpstr>'201'!OSRRefD21_13x_6</vt:lpstr>
      <vt:lpstr>'203'!OSRRefD21_13x_6</vt:lpstr>
      <vt:lpstr>'300'!OSRRefD21_13x_6</vt:lpstr>
      <vt:lpstr>'300 &amp; 317'!OSRRefD21_13x_6</vt:lpstr>
      <vt:lpstr>'301'!OSRRefD21_13x_6</vt:lpstr>
      <vt:lpstr>'307'!OSRRefD21_13x_6</vt:lpstr>
      <vt:lpstr>'308'!OSRRefD21_13x_6</vt:lpstr>
      <vt:lpstr>'310'!OSRRefD21_13x_6</vt:lpstr>
      <vt:lpstr>'310 &amp; 491'!OSRRefD21_13x_6</vt:lpstr>
      <vt:lpstr>'311'!OSRRefD21_13x_6</vt:lpstr>
      <vt:lpstr>'315'!OSRRefD21_13x_6</vt:lpstr>
      <vt:lpstr>'325'!OSRRefD21_13x_6</vt:lpstr>
      <vt:lpstr>'326'!OSRRefD21_13x_6</vt:lpstr>
      <vt:lpstr>'331'!OSRRefD21_13x_6</vt:lpstr>
      <vt:lpstr>'333'!OSRRefD21_13x_6</vt:lpstr>
      <vt:lpstr>'405'!OSRRefD21_13x_6</vt:lpstr>
      <vt:lpstr>'411'!OSRRefD21_13x_6</vt:lpstr>
      <vt:lpstr>'415'!OSRRefD21_13x_6</vt:lpstr>
      <vt:lpstr>'418'!OSRRefD21_13x_6</vt:lpstr>
      <vt:lpstr>'433'!OSRRefD21_13x_6</vt:lpstr>
      <vt:lpstr>'444'!OSRRefD21_13x_6</vt:lpstr>
      <vt:lpstr>'450'!OSRRefD21_13x_6</vt:lpstr>
      <vt:lpstr>'491'!OSRRefD21_13x_6</vt:lpstr>
      <vt:lpstr>'492'!OSRRefD21_13x_6</vt:lpstr>
      <vt:lpstr>'501'!OSRRefD21_13x_6</vt:lpstr>
      <vt:lpstr>'Div 2'!OSRRefD21_13x_6</vt:lpstr>
      <vt:lpstr>'Div 3'!OSRRefD21_13x_6</vt:lpstr>
      <vt:lpstr>'Div 4'!OSRRefD21_13x_6</vt:lpstr>
      <vt:lpstr>'Div 5'!OSRRefD21_13x_6</vt:lpstr>
      <vt:lpstr>Summary!OSRRefD21_13x_6</vt:lpstr>
      <vt:lpstr>'201'!OSRRefD21_13x_7</vt:lpstr>
      <vt:lpstr>'203'!OSRRefD21_13x_7</vt:lpstr>
      <vt:lpstr>'300'!OSRRefD21_13x_7</vt:lpstr>
      <vt:lpstr>'300 &amp; 317'!OSRRefD21_13x_7</vt:lpstr>
      <vt:lpstr>'301'!OSRRefD21_13x_7</vt:lpstr>
      <vt:lpstr>'307'!OSRRefD21_13x_7</vt:lpstr>
      <vt:lpstr>'308'!OSRRefD21_13x_7</vt:lpstr>
      <vt:lpstr>'310'!OSRRefD21_13x_7</vt:lpstr>
      <vt:lpstr>'310 &amp; 491'!OSRRefD21_13x_7</vt:lpstr>
      <vt:lpstr>'311'!OSRRefD21_13x_7</vt:lpstr>
      <vt:lpstr>'315'!OSRRefD21_13x_7</vt:lpstr>
      <vt:lpstr>'325'!OSRRefD21_13x_7</vt:lpstr>
      <vt:lpstr>'326'!OSRRefD21_13x_7</vt:lpstr>
      <vt:lpstr>'331'!OSRRefD21_13x_7</vt:lpstr>
      <vt:lpstr>'333'!OSRRefD21_13x_7</vt:lpstr>
      <vt:lpstr>'405'!OSRRefD21_13x_7</vt:lpstr>
      <vt:lpstr>'411'!OSRRefD21_13x_7</vt:lpstr>
      <vt:lpstr>'415'!OSRRefD21_13x_7</vt:lpstr>
      <vt:lpstr>'418'!OSRRefD21_13x_7</vt:lpstr>
      <vt:lpstr>'433'!OSRRefD21_13x_7</vt:lpstr>
      <vt:lpstr>'444'!OSRRefD21_13x_7</vt:lpstr>
      <vt:lpstr>'450'!OSRRefD21_13x_7</vt:lpstr>
      <vt:lpstr>'491'!OSRRefD21_13x_7</vt:lpstr>
      <vt:lpstr>'492'!OSRRefD21_13x_7</vt:lpstr>
      <vt:lpstr>'501'!OSRRefD21_13x_7</vt:lpstr>
      <vt:lpstr>'Div 2'!OSRRefD21_13x_7</vt:lpstr>
      <vt:lpstr>'Div 3'!OSRRefD21_13x_7</vt:lpstr>
      <vt:lpstr>'Div 4'!OSRRefD21_13x_7</vt:lpstr>
      <vt:lpstr>'Div 5'!OSRRefD21_13x_7</vt:lpstr>
      <vt:lpstr>Summary!OSRRefD21_13x_7</vt:lpstr>
      <vt:lpstr>'201'!OSRRefD21_13x_8</vt:lpstr>
      <vt:lpstr>'203'!OSRRefD21_13x_8</vt:lpstr>
      <vt:lpstr>'300'!OSRRefD21_13x_8</vt:lpstr>
      <vt:lpstr>'300 &amp; 317'!OSRRefD21_13x_8</vt:lpstr>
      <vt:lpstr>'301'!OSRRefD21_13x_8</vt:lpstr>
      <vt:lpstr>'307'!OSRRefD21_13x_8</vt:lpstr>
      <vt:lpstr>'308'!OSRRefD21_13x_8</vt:lpstr>
      <vt:lpstr>'310'!OSRRefD21_13x_8</vt:lpstr>
      <vt:lpstr>'310 &amp; 491'!OSRRefD21_13x_8</vt:lpstr>
      <vt:lpstr>'311'!OSRRefD21_13x_8</vt:lpstr>
      <vt:lpstr>'315'!OSRRefD21_13x_8</vt:lpstr>
      <vt:lpstr>'325'!OSRRefD21_13x_8</vt:lpstr>
      <vt:lpstr>'326'!OSRRefD21_13x_8</vt:lpstr>
      <vt:lpstr>'331'!OSRRefD21_13x_8</vt:lpstr>
      <vt:lpstr>'333'!OSRRefD21_13x_8</vt:lpstr>
      <vt:lpstr>'405'!OSRRefD21_13x_8</vt:lpstr>
      <vt:lpstr>'411'!OSRRefD21_13x_8</vt:lpstr>
      <vt:lpstr>'415'!OSRRefD21_13x_8</vt:lpstr>
      <vt:lpstr>'418'!OSRRefD21_13x_8</vt:lpstr>
      <vt:lpstr>'433'!OSRRefD21_13x_8</vt:lpstr>
      <vt:lpstr>'444'!OSRRefD21_13x_8</vt:lpstr>
      <vt:lpstr>'450'!OSRRefD21_13x_8</vt:lpstr>
      <vt:lpstr>'491'!OSRRefD21_13x_8</vt:lpstr>
      <vt:lpstr>'492'!OSRRefD21_13x_8</vt:lpstr>
      <vt:lpstr>'501'!OSRRefD21_13x_8</vt:lpstr>
      <vt:lpstr>'Div 2'!OSRRefD21_13x_8</vt:lpstr>
      <vt:lpstr>'Div 3'!OSRRefD21_13x_8</vt:lpstr>
      <vt:lpstr>'Div 4'!OSRRefD21_13x_8</vt:lpstr>
      <vt:lpstr>'Div 5'!OSRRefD21_13x_8</vt:lpstr>
      <vt:lpstr>Summary!OSRRefD21_13x_8</vt:lpstr>
      <vt:lpstr>'201'!OSRRefD21_13x_9</vt:lpstr>
      <vt:lpstr>'203'!OSRRefD21_13x_9</vt:lpstr>
      <vt:lpstr>'300'!OSRRefD21_13x_9</vt:lpstr>
      <vt:lpstr>'300 &amp; 317'!OSRRefD21_13x_9</vt:lpstr>
      <vt:lpstr>'301'!OSRRefD21_13x_9</vt:lpstr>
      <vt:lpstr>'307'!OSRRefD21_13x_9</vt:lpstr>
      <vt:lpstr>'308'!OSRRefD21_13x_9</vt:lpstr>
      <vt:lpstr>'310'!OSRRefD21_13x_9</vt:lpstr>
      <vt:lpstr>'310 &amp; 491'!OSRRefD21_13x_9</vt:lpstr>
      <vt:lpstr>'311'!OSRRefD21_13x_9</vt:lpstr>
      <vt:lpstr>'315'!OSRRefD21_13x_9</vt:lpstr>
      <vt:lpstr>'325'!OSRRefD21_13x_9</vt:lpstr>
      <vt:lpstr>'326'!OSRRefD21_13x_9</vt:lpstr>
      <vt:lpstr>'331'!OSRRefD21_13x_9</vt:lpstr>
      <vt:lpstr>'333'!OSRRefD21_13x_9</vt:lpstr>
      <vt:lpstr>'405'!OSRRefD21_13x_9</vt:lpstr>
      <vt:lpstr>'411'!OSRRefD21_13x_9</vt:lpstr>
      <vt:lpstr>'415'!OSRRefD21_13x_9</vt:lpstr>
      <vt:lpstr>'418'!OSRRefD21_13x_9</vt:lpstr>
      <vt:lpstr>'433'!OSRRefD21_13x_9</vt:lpstr>
      <vt:lpstr>'444'!OSRRefD21_13x_9</vt:lpstr>
      <vt:lpstr>'450'!OSRRefD21_13x_9</vt:lpstr>
      <vt:lpstr>'491'!OSRRefD21_13x_9</vt:lpstr>
      <vt:lpstr>'492'!OSRRefD21_13x_9</vt:lpstr>
      <vt:lpstr>'501'!OSRRefD21_13x_9</vt:lpstr>
      <vt:lpstr>'Div 2'!OSRRefD21_13x_9</vt:lpstr>
      <vt:lpstr>'Div 3'!OSRRefD21_13x_9</vt:lpstr>
      <vt:lpstr>'Div 4'!OSRRefD21_13x_9</vt:lpstr>
      <vt:lpstr>'Div 5'!OSRRefD21_13x_9</vt:lpstr>
      <vt:lpstr>Summary!OSRRefD21_13x_9</vt:lpstr>
      <vt:lpstr>'201'!OSRRefD21_14_0x</vt:lpstr>
      <vt:lpstr>'300'!OSRRefD21_14_0x</vt:lpstr>
      <vt:lpstr>'300 &amp; 317'!OSRRefD21_14_0x</vt:lpstr>
      <vt:lpstr>'301'!OSRRefD21_14_0x</vt:lpstr>
      <vt:lpstr>'310'!OSRRefD21_14_0x</vt:lpstr>
      <vt:lpstr>'310 &amp; 491'!OSRRefD21_14_0x</vt:lpstr>
      <vt:lpstr>'315'!OSRRefD21_14_0x</vt:lpstr>
      <vt:lpstr>'325'!OSRRefD21_14_0x</vt:lpstr>
      <vt:lpstr>'326'!OSRRefD21_14_0x</vt:lpstr>
      <vt:lpstr>'331'!OSRRefD21_14_0x</vt:lpstr>
      <vt:lpstr>'333'!OSRRefD21_14_0x</vt:lpstr>
      <vt:lpstr>'405'!OSRRefD21_14_0x</vt:lpstr>
      <vt:lpstr>'411'!OSRRefD21_14_0x</vt:lpstr>
      <vt:lpstr>'415'!OSRRefD21_14_0x</vt:lpstr>
      <vt:lpstr>'418'!OSRRefD21_14_0x</vt:lpstr>
      <vt:lpstr>'433'!OSRRefD21_14_0x</vt:lpstr>
      <vt:lpstr>'444'!OSRRefD21_14_0x</vt:lpstr>
      <vt:lpstr>'450'!OSRRefD21_14_0x</vt:lpstr>
      <vt:lpstr>'491'!OSRRefD21_14_0x</vt:lpstr>
      <vt:lpstr>'492'!OSRRefD21_14_0x</vt:lpstr>
      <vt:lpstr>'Div 2'!OSRRefD21_14_0x</vt:lpstr>
      <vt:lpstr>'Div 3'!OSRRefD21_14_0x</vt:lpstr>
      <vt:lpstr>'Div 4'!OSRRefD21_14_0x</vt:lpstr>
      <vt:lpstr>Summary!OSRRefD21_14_0x</vt:lpstr>
      <vt:lpstr>'310'!OSRRefD21_14_1x</vt:lpstr>
      <vt:lpstr>'310 &amp; 491'!OSRRefD21_14_1x</vt:lpstr>
      <vt:lpstr>'315'!OSRRefD21_14_1x</vt:lpstr>
      <vt:lpstr>'325'!OSRRefD21_14_1x</vt:lpstr>
      <vt:lpstr>'326'!OSRRefD21_14_1x</vt:lpstr>
      <vt:lpstr>'331'!OSRRefD21_14_1x</vt:lpstr>
      <vt:lpstr>'333'!OSRRefD21_14_1x</vt:lpstr>
      <vt:lpstr>'415'!OSRRefD21_14_1x</vt:lpstr>
      <vt:lpstr>'491'!OSRRefD21_14_1x</vt:lpstr>
      <vt:lpstr>'492'!OSRRefD21_14_1x</vt:lpstr>
      <vt:lpstr>'Div 2'!OSRRefD21_14_1x</vt:lpstr>
      <vt:lpstr>'Div 4'!OSRRefD21_14_1x</vt:lpstr>
      <vt:lpstr>'310'!OSRRefD21_14_2x</vt:lpstr>
      <vt:lpstr>'310 &amp; 491'!OSRRefD21_14_2x</vt:lpstr>
      <vt:lpstr>'326'!OSRRefD21_14_2x</vt:lpstr>
      <vt:lpstr>'415'!OSRRefD21_14_2x</vt:lpstr>
      <vt:lpstr>'491'!OSRRefD21_14_2x</vt:lpstr>
      <vt:lpstr>'492'!OSRRefD21_14_2x</vt:lpstr>
      <vt:lpstr>'Div 4'!OSRRefD21_14_2x</vt:lpstr>
      <vt:lpstr>'310'!OSRRefD21_14_3x</vt:lpstr>
      <vt:lpstr>'310 &amp; 491'!OSRRefD21_14_3x</vt:lpstr>
      <vt:lpstr>'415'!OSRRefD21_14_3x</vt:lpstr>
      <vt:lpstr>'491'!OSRRefD21_14_3x</vt:lpstr>
      <vt:lpstr>'492'!OSRRefD21_14_3x</vt:lpstr>
      <vt:lpstr>'310'!OSRRefD21_14_4x</vt:lpstr>
      <vt:lpstr>'310 &amp; 491'!OSRRefD21_14_4x</vt:lpstr>
      <vt:lpstr>'415'!OSRRefD21_14_4x</vt:lpstr>
      <vt:lpstr>'491'!OSRRefD21_14_4x</vt:lpstr>
      <vt:lpstr>'492'!OSRRefD21_14_4x</vt:lpstr>
      <vt:lpstr>'310'!OSRRefD21_14_5x</vt:lpstr>
      <vt:lpstr>'415'!OSRRefD21_14_5x</vt:lpstr>
      <vt:lpstr>'492'!OSRRefD21_14_5x</vt:lpstr>
      <vt:lpstr>'492'!OSRRefD21_14_6x</vt:lpstr>
      <vt:lpstr>'492'!OSRRefD21_14_7x</vt:lpstr>
      <vt:lpstr>'492'!OSRRefD21_14_8x</vt:lpstr>
      <vt:lpstr>'201'!OSRRefD21_14x_0</vt:lpstr>
      <vt:lpstr>'300'!OSRRefD21_14x_0</vt:lpstr>
      <vt:lpstr>'300 &amp; 317'!OSRRefD21_14x_0</vt:lpstr>
      <vt:lpstr>'301'!OSRRefD21_14x_0</vt:lpstr>
      <vt:lpstr>'310'!OSRRefD21_14x_0</vt:lpstr>
      <vt:lpstr>'310 &amp; 491'!OSRRefD21_14x_0</vt:lpstr>
      <vt:lpstr>'315'!OSRRefD21_14x_0</vt:lpstr>
      <vt:lpstr>'325'!OSRRefD21_14x_0</vt:lpstr>
      <vt:lpstr>'326'!OSRRefD21_14x_0</vt:lpstr>
      <vt:lpstr>'331'!OSRRefD21_14x_0</vt:lpstr>
      <vt:lpstr>'333'!OSRRefD21_14x_0</vt:lpstr>
      <vt:lpstr>'405'!OSRRefD21_14x_0</vt:lpstr>
      <vt:lpstr>'411'!OSRRefD21_14x_0</vt:lpstr>
      <vt:lpstr>'415'!OSRRefD21_14x_0</vt:lpstr>
      <vt:lpstr>'418'!OSRRefD21_14x_0</vt:lpstr>
      <vt:lpstr>'433'!OSRRefD21_14x_0</vt:lpstr>
      <vt:lpstr>'444'!OSRRefD21_14x_0</vt:lpstr>
      <vt:lpstr>'450'!OSRRefD21_14x_0</vt:lpstr>
      <vt:lpstr>'491'!OSRRefD21_14x_0</vt:lpstr>
      <vt:lpstr>'492'!OSRRefD21_14x_0</vt:lpstr>
      <vt:lpstr>'Div 2'!OSRRefD21_14x_0</vt:lpstr>
      <vt:lpstr>'Div 3'!OSRRefD21_14x_0</vt:lpstr>
      <vt:lpstr>'Div 4'!OSRRefD21_14x_0</vt:lpstr>
      <vt:lpstr>Summary!OSRRefD21_14x_0</vt:lpstr>
      <vt:lpstr>'201'!OSRRefD21_14x_1</vt:lpstr>
      <vt:lpstr>'300'!OSRRefD21_14x_1</vt:lpstr>
      <vt:lpstr>'300 &amp; 317'!OSRRefD21_14x_1</vt:lpstr>
      <vt:lpstr>'301'!OSRRefD21_14x_1</vt:lpstr>
      <vt:lpstr>'310'!OSRRefD21_14x_1</vt:lpstr>
      <vt:lpstr>'310 &amp; 491'!OSRRefD21_14x_1</vt:lpstr>
      <vt:lpstr>'315'!OSRRefD21_14x_1</vt:lpstr>
      <vt:lpstr>'325'!OSRRefD21_14x_1</vt:lpstr>
      <vt:lpstr>'326'!OSRRefD21_14x_1</vt:lpstr>
      <vt:lpstr>'331'!OSRRefD21_14x_1</vt:lpstr>
      <vt:lpstr>'333'!OSRRefD21_14x_1</vt:lpstr>
      <vt:lpstr>'405'!OSRRefD21_14x_1</vt:lpstr>
      <vt:lpstr>'411'!OSRRefD21_14x_1</vt:lpstr>
      <vt:lpstr>'415'!OSRRefD21_14x_1</vt:lpstr>
      <vt:lpstr>'418'!OSRRefD21_14x_1</vt:lpstr>
      <vt:lpstr>'433'!OSRRefD21_14x_1</vt:lpstr>
      <vt:lpstr>'444'!OSRRefD21_14x_1</vt:lpstr>
      <vt:lpstr>'450'!OSRRefD21_14x_1</vt:lpstr>
      <vt:lpstr>'491'!OSRRefD21_14x_1</vt:lpstr>
      <vt:lpstr>'492'!OSRRefD21_14x_1</vt:lpstr>
      <vt:lpstr>'Div 2'!OSRRefD21_14x_1</vt:lpstr>
      <vt:lpstr>'Div 3'!OSRRefD21_14x_1</vt:lpstr>
      <vt:lpstr>'Div 4'!OSRRefD21_14x_1</vt:lpstr>
      <vt:lpstr>Summary!OSRRefD21_14x_1</vt:lpstr>
      <vt:lpstr>'201'!OSRRefD21_14x_2</vt:lpstr>
      <vt:lpstr>'300'!OSRRefD21_14x_2</vt:lpstr>
      <vt:lpstr>'300 &amp; 317'!OSRRefD21_14x_2</vt:lpstr>
      <vt:lpstr>'301'!OSRRefD21_14x_2</vt:lpstr>
      <vt:lpstr>'310'!OSRRefD21_14x_2</vt:lpstr>
      <vt:lpstr>'310 &amp; 491'!OSRRefD21_14x_2</vt:lpstr>
      <vt:lpstr>'315'!OSRRefD21_14x_2</vt:lpstr>
      <vt:lpstr>'325'!OSRRefD21_14x_2</vt:lpstr>
      <vt:lpstr>'326'!OSRRefD21_14x_2</vt:lpstr>
      <vt:lpstr>'331'!OSRRefD21_14x_2</vt:lpstr>
      <vt:lpstr>'333'!OSRRefD21_14x_2</vt:lpstr>
      <vt:lpstr>'405'!OSRRefD21_14x_2</vt:lpstr>
      <vt:lpstr>'411'!OSRRefD21_14x_2</vt:lpstr>
      <vt:lpstr>'415'!OSRRefD21_14x_2</vt:lpstr>
      <vt:lpstr>'418'!OSRRefD21_14x_2</vt:lpstr>
      <vt:lpstr>'433'!OSRRefD21_14x_2</vt:lpstr>
      <vt:lpstr>'444'!OSRRefD21_14x_2</vt:lpstr>
      <vt:lpstr>'450'!OSRRefD21_14x_2</vt:lpstr>
      <vt:lpstr>'491'!OSRRefD21_14x_2</vt:lpstr>
      <vt:lpstr>'492'!OSRRefD21_14x_2</vt:lpstr>
      <vt:lpstr>'Div 2'!OSRRefD21_14x_2</vt:lpstr>
      <vt:lpstr>'Div 3'!OSRRefD21_14x_2</vt:lpstr>
      <vt:lpstr>'Div 4'!OSRRefD21_14x_2</vt:lpstr>
      <vt:lpstr>Summary!OSRRefD21_14x_2</vt:lpstr>
      <vt:lpstr>'201'!OSRRefD21_14x_3</vt:lpstr>
      <vt:lpstr>'300'!OSRRefD21_14x_3</vt:lpstr>
      <vt:lpstr>'300 &amp; 317'!OSRRefD21_14x_3</vt:lpstr>
      <vt:lpstr>'301'!OSRRefD21_14x_3</vt:lpstr>
      <vt:lpstr>'310'!OSRRefD21_14x_3</vt:lpstr>
      <vt:lpstr>'310 &amp; 491'!OSRRefD21_14x_3</vt:lpstr>
      <vt:lpstr>'315'!OSRRefD21_14x_3</vt:lpstr>
      <vt:lpstr>'325'!OSRRefD21_14x_3</vt:lpstr>
      <vt:lpstr>'326'!OSRRefD21_14x_3</vt:lpstr>
      <vt:lpstr>'331'!OSRRefD21_14x_3</vt:lpstr>
      <vt:lpstr>'333'!OSRRefD21_14x_3</vt:lpstr>
      <vt:lpstr>'405'!OSRRefD21_14x_3</vt:lpstr>
      <vt:lpstr>'411'!OSRRefD21_14x_3</vt:lpstr>
      <vt:lpstr>'415'!OSRRefD21_14x_3</vt:lpstr>
      <vt:lpstr>'418'!OSRRefD21_14x_3</vt:lpstr>
      <vt:lpstr>'433'!OSRRefD21_14x_3</vt:lpstr>
      <vt:lpstr>'444'!OSRRefD21_14x_3</vt:lpstr>
      <vt:lpstr>'450'!OSRRefD21_14x_3</vt:lpstr>
      <vt:lpstr>'491'!OSRRefD21_14x_3</vt:lpstr>
      <vt:lpstr>'492'!OSRRefD21_14x_3</vt:lpstr>
      <vt:lpstr>'Div 2'!OSRRefD21_14x_3</vt:lpstr>
      <vt:lpstr>'Div 3'!OSRRefD21_14x_3</vt:lpstr>
      <vt:lpstr>'Div 4'!OSRRefD21_14x_3</vt:lpstr>
      <vt:lpstr>Summary!OSRRefD21_14x_3</vt:lpstr>
      <vt:lpstr>'201'!OSRRefD21_14x_4</vt:lpstr>
      <vt:lpstr>'300'!OSRRefD21_14x_4</vt:lpstr>
      <vt:lpstr>'300 &amp; 317'!OSRRefD21_14x_4</vt:lpstr>
      <vt:lpstr>'301'!OSRRefD21_14x_4</vt:lpstr>
      <vt:lpstr>'310'!OSRRefD21_14x_4</vt:lpstr>
      <vt:lpstr>'310 &amp; 491'!OSRRefD21_14x_4</vt:lpstr>
      <vt:lpstr>'315'!OSRRefD21_14x_4</vt:lpstr>
      <vt:lpstr>'325'!OSRRefD21_14x_4</vt:lpstr>
      <vt:lpstr>'326'!OSRRefD21_14x_4</vt:lpstr>
      <vt:lpstr>'331'!OSRRefD21_14x_4</vt:lpstr>
      <vt:lpstr>'333'!OSRRefD21_14x_4</vt:lpstr>
      <vt:lpstr>'405'!OSRRefD21_14x_4</vt:lpstr>
      <vt:lpstr>'411'!OSRRefD21_14x_4</vt:lpstr>
      <vt:lpstr>'415'!OSRRefD21_14x_4</vt:lpstr>
      <vt:lpstr>'418'!OSRRefD21_14x_4</vt:lpstr>
      <vt:lpstr>'433'!OSRRefD21_14x_4</vt:lpstr>
      <vt:lpstr>'444'!OSRRefD21_14x_4</vt:lpstr>
      <vt:lpstr>'450'!OSRRefD21_14x_4</vt:lpstr>
      <vt:lpstr>'491'!OSRRefD21_14x_4</vt:lpstr>
      <vt:lpstr>'492'!OSRRefD21_14x_4</vt:lpstr>
      <vt:lpstr>'Div 2'!OSRRefD21_14x_4</vt:lpstr>
      <vt:lpstr>'Div 3'!OSRRefD21_14x_4</vt:lpstr>
      <vt:lpstr>'Div 4'!OSRRefD21_14x_4</vt:lpstr>
      <vt:lpstr>Summary!OSRRefD21_14x_4</vt:lpstr>
      <vt:lpstr>'201'!OSRRefD21_14x_5</vt:lpstr>
      <vt:lpstr>'300'!OSRRefD21_14x_5</vt:lpstr>
      <vt:lpstr>'300 &amp; 317'!OSRRefD21_14x_5</vt:lpstr>
      <vt:lpstr>'301'!OSRRefD21_14x_5</vt:lpstr>
      <vt:lpstr>'310'!OSRRefD21_14x_5</vt:lpstr>
      <vt:lpstr>'310 &amp; 491'!OSRRefD21_14x_5</vt:lpstr>
      <vt:lpstr>'315'!OSRRefD21_14x_5</vt:lpstr>
      <vt:lpstr>'325'!OSRRefD21_14x_5</vt:lpstr>
      <vt:lpstr>'326'!OSRRefD21_14x_5</vt:lpstr>
      <vt:lpstr>'331'!OSRRefD21_14x_5</vt:lpstr>
      <vt:lpstr>'333'!OSRRefD21_14x_5</vt:lpstr>
      <vt:lpstr>'405'!OSRRefD21_14x_5</vt:lpstr>
      <vt:lpstr>'411'!OSRRefD21_14x_5</vt:lpstr>
      <vt:lpstr>'415'!OSRRefD21_14x_5</vt:lpstr>
      <vt:lpstr>'418'!OSRRefD21_14x_5</vt:lpstr>
      <vt:lpstr>'433'!OSRRefD21_14x_5</vt:lpstr>
      <vt:lpstr>'444'!OSRRefD21_14x_5</vt:lpstr>
      <vt:lpstr>'450'!OSRRefD21_14x_5</vt:lpstr>
      <vt:lpstr>'491'!OSRRefD21_14x_5</vt:lpstr>
      <vt:lpstr>'492'!OSRRefD21_14x_5</vt:lpstr>
      <vt:lpstr>'Div 2'!OSRRefD21_14x_5</vt:lpstr>
      <vt:lpstr>'Div 3'!OSRRefD21_14x_5</vt:lpstr>
      <vt:lpstr>'Div 4'!OSRRefD21_14x_5</vt:lpstr>
      <vt:lpstr>Summary!OSRRefD21_14x_5</vt:lpstr>
      <vt:lpstr>'201'!OSRRefD21_14x_6</vt:lpstr>
      <vt:lpstr>'300'!OSRRefD21_14x_6</vt:lpstr>
      <vt:lpstr>'300 &amp; 317'!OSRRefD21_14x_6</vt:lpstr>
      <vt:lpstr>'301'!OSRRefD21_14x_6</vt:lpstr>
      <vt:lpstr>'310'!OSRRefD21_14x_6</vt:lpstr>
      <vt:lpstr>'310 &amp; 491'!OSRRefD21_14x_6</vt:lpstr>
      <vt:lpstr>'315'!OSRRefD21_14x_6</vt:lpstr>
      <vt:lpstr>'325'!OSRRefD21_14x_6</vt:lpstr>
      <vt:lpstr>'326'!OSRRefD21_14x_6</vt:lpstr>
      <vt:lpstr>'331'!OSRRefD21_14x_6</vt:lpstr>
      <vt:lpstr>'333'!OSRRefD21_14x_6</vt:lpstr>
      <vt:lpstr>'405'!OSRRefD21_14x_6</vt:lpstr>
      <vt:lpstr>'411'!OSRRefD21_14x_6</vt:lpstr>
      <vt:lpstr>'415'!OSRRefD21_14x_6</vt:lpstr>
      <vt:lpstr>'418'!OSRRefD21_14x_6</vt:lpstr>
      <vt:lpstr>'433'!OSRRefD21_14x_6</vt:lpstr>
      <vt:lpstr>'444'!OSRRefD21_14x_6</vt:lpstr>
      <vt:lpstr>'450'!OSRRefD21_14x_6</vt:lpstr>
      <vt:lpstr>'491'!OSRRefD21_14x_6</vt:lpstr>
      <vt:lpstr>'492'!OSRRefD21_14x_6</vt:lpstr>
      <vt:lpstr>'Div 2'!OSRRefD21_14x_6</vt:lpstr>
      <vt:lpstr>'Div 3'!OSRRefD21_14x_6</vt:lpstr>
      <vt:lpstr>'Div 4'!OSRRefD21_14x_6</vt:lpstr>
      <vt:lpstr>Summary!OSRRefD21_14x_6</vt:lpstr>
      <vt:lpstr>'201'!OSRRefD21_14x_7</vt:lpstr>
      <vt:lpstr>'300'!OSRRefD21_14x_7</vt:lpstr>
      <vt:lpstr>'300 &amp; 317'!OSRRefD21_14x_7</vt:lpstr>
      <vt:lpstr>'301'!OSRRefD21_14x_7</vt:lpstr>
      <vt:lpstr>'310'!OSRRefD21_14x_7</vt:lpstr>
      <vt:lpstr>'310 &amp; 491'!OSRRefD21_14x_7</vt:lpstr>
      <vt:lpstr>'315'!OSRRefD21_14x_7</vt:lpstr>
      <vt:lpstr>'325'!OSRRefD21_14x_7</vt:lpstr>
      <vt:lpstr>'326'!OSRRefD21_14x_7</vt:lpstr>
      <vt:lpstr>'331'!OSRRefD21_14x_7</vt:lpstr>
      <vt:lpstr>'333'!OSRRefD21_14x_7</vt:lpstr>
      <vt:lpstr>'405'!OSRRefD21_14x_7</vt:lpstr>
      <vt:lpstr>'411'!OSRRefD21_14x_7</vt:lpstr>
      <vt:lpstr>'415'!OSRRefD21_14x_7</vt:lpstr>
      <vt:lpstr>'418'!OSRRefD21_14x_7</vt:lpstr>
      <vt:lpstr>'433'!OSRRefD21_14x_7</vt:lpstr>
      <vt:lpstr>'444'!OSRRefD21_14x_7</vt:lpstr>
      <vt:lpstr>'450'!OSRRefD21_14x_7</vt:lpstr>
      <vt:lpstr>'491'!OSRRefD21_14x_7</vt:lpstr>
      <vt:lpstr>'492'!OSRRefD21_14x_7</vt:lpstr>
      <vt:lpstr>'Div 2'!OSRRefD21_14x_7</vt:lpstr>
      <vt:lpstr>'Div 3'!OSRRefD21_14x_7</vt:lpstr>
      <vt:lpstr>'Div 4'!OSRRefD21_14x_7</vt:lpstr>
      <vt:lpstr>Summary!OSRRefD21_14x_7</vt:lpstr>
      <vt:lpstr>'201'!OSRRefD21_14x_8</vt:lpstr>
      <vt:lpstr>'300'!OSRRefD21_14x_8</vt:lpstr>
      <vt:lpstr>'300 &amp; 317'!OSRRefD21_14x_8</vt:lpstr>
      <vt:lpstr>'301'!OSRRefD21_14x_8</vt:lpstr>
      <vt:lpstr>'310'!OSRRefD21_14x_8</vt:lpstr>
      <vt:lpstr>'310 &amp; 491'!OSRRefD21_14x_8</vt:lpstr>
      <vt:lpstr>'315'!OSRRefD21_14x_8</vt:lpstr>
      <vt:lpstr>'325'!OSRRefD21_14x_8</vt:lpstr>
      <vt:lpstr>'326'!OSRRefD21_14x_8</vt:lpstr>
      <vt:lpstr>'331'!OSRRefD21_14x_8</vt:lpstr>
      <vt:lpstr>'333'!OSRRefD21_14x_8</vt:lpstr>
      <vt:lpstr>'405'!OSRRefD21_14x_8</vt:lpstr>
      <vt:lpstr>'411'!OSRRefD21_14x_8</vt:lpstr>
      <vt:lpstr>'415'!OSRRefD21_14x_8</vt:lpstr>
      <vt:lpstr>'418'!OSRRefD21_14x_8</vt:lpstr>
      <vt:lpstr>'433'!OSRRefD21_14x_8</vt:lpstr>
      <vt:lpstr>'444'!OSRRefD21_14x_8</vt:lpstr>
      <vt:lpstr>'450'!OSRRefD21_14x_8</vt:lpstr>
      <vt:lpstr>'491'!OSRRefD21_14x_8</vt:lpstr>
      <vt:lpstr>'492'!OSRRefD21_14x_8</vt:lpstr>
      <vt:lpstr>'Div 2'!OSRRefD21_14x_8</vt:lpstr>
      <vt:lpstr>'Div 3'!OSRRefD21_14x_8</vt:lpstr>
      <vt:lpstr>'Div 4'!OSRRefD21_14x_8</vt:lpstr>
      <vt:lpstr>Summary!OSRRefD21_14x_8</vt:lpstr>
      <vt:lpstr>'201'!OSRRefD21_14x_9</vt:lpstr>
      <vt:lpstr>'300'!OSRRefD21_14x_9</vt:lpstr>
      <vt:lpstr>'300 &amp; 317'!OSRRefD21_14x_9</vt:lpstr>
      <vt:lpstr>'301'!OSRRefD21_14x_9</vt:lpstr>
      <vt:lpstr>'310'!OSRRefD21_14x_9</vt:lpstr>
      <vt:lpstr>'310 &amp; 491'!OSRRefD21_14x_9</vt:lpstr>
      <vt:lpstr>'315'!OSRRefD21_14x_9</vt:lpstr>
      <vt:lpstr>'325'!OSRRefD21_14x_9</vt:lpstr>
      <vt:lpstr>'326'!OSRRefD21_14x_9</vt:lpstr>
      <vt:lpstr>'331'!OSRRefD21_14x_9</vt:lpstr>
      <vt:lpstr>'333'!OSRRefD21_14x_9</vt:lpstr>
      <vt:lpstr>'405'!OSRRefD21_14x_9</vt:lpstr>
      <vt:lpstr>'411'!OSRRefD21_14x_9</vt:lpstr>
      <vt:lpstr>'415'!OSRRefD21_14x_9</vt:lpstr>
      <vt:lpstr>'418'!OSRRefD21_14x_9</vt:lpstr>
      <vt:lpstr>'433'!OSRRefD21_14x_9</vt:lpstr>
      <vt:lpstr>'444'!OSRRefD21_14x_9</vt:lpstr>
      <vt:lpstr>'450'!OSRRefD21_14x_9</vt:lpstr>
      <vt:lpstr>'491'!OSRRefD21_14x_9</vt:lpstr>
      <vt:lpstr>'492'!OSRRefD21_14x_9</vt:lpstr>
      <vt:lpstr>'Div 2'!OSRRefD21_14x_9</vt:lpstr>
      <vt:lpstr>'Div 3'!OSRRefD21_14x_9</vt:lpstr>
      <vt:lpstr>'Div 4'!OSRRefD21_14x_9</vt:lpstr>
      <vt:lpstr>Summary!OSRRefD21_14x_9</vt:lpstr>
      <vt:lpstr>'300'!OSRRefD21_15_0x</vt:lpstr>
      <vt:lpstr>'300 &amp; 317'!OSRRefD21_15_0x</vt:lpstr>
      <vt:lpstr>'301'!OSRRefD21_15_0x</vt:lpstr>
      <vt:lpstr>'310'!OSRRefD21_15_0x</vt:lpstr>
      <vt:lpstr>'310 &amp; 491'!OSRRefD21_15_0x</vt:lpstr>
      <vt:lpstr>'315'!OSRRefD21_15_0x</vt:lpstr>
      <vt:lpstr>'325'!OSRRefD21_15_0x</vt:lpstr>
      <vt:lpstr>'326'!OSRRefD21_15_0x</vt:lpstr>
      <vt:lpstr>'331'!OSRRefD21_15_0x</vt:lpstr>
      <vt:lpstr>'333'!OSRRefD21_15_0x</vt:lpstr>
      <vt:lpstr>'405'!OSRRefD21_15_0x</vt:lpstr>
      <vt:lpstr>'415'!OSRRefD21_15_0x</vt:lpstr>
      <vt:lpstr>'433'!OSRRefD21_15_0x</vt:lpstr>
      <vt:lpstr>'444'!OSRRefD21_15_0x</vt:lpstr>
      <vt:lpstr>'450'!OSRRefD21_15_0x</vt:lpstr>
      <vt:lpstr>'491'!OSRRefD21_15_0x</vt:lpstr>
      <vt:lpstr>'492'!OSRRefD21_15_0x</vt:lpstr>
      <vt:lpstr>'Div 2'!OSRRefD21_15_0x</vt:lpstr>
      <vt:lpstr>'Div 3'!OSRRefD21_15_0x</vt:lpstr>
      <vt:lpstr>'Div 4'!OSRRefD21_15_0x</vt:lpstr>
      <vt:lpstr>Summary!OSRRefD21_15_0x</vt:lpstr>
      <vt:lpstr>'301'!OSRRefD21_15_1x</vt:lpstr>
      <vt:lpstr>'310'!OSRRefD21_15_1x</vt:lpstr>
      <vt:lpstr>'315'!OSRRefD21_15_1x</vt:lpstr>
      <vt:lpstr>'331'!OSRRefD21_15_1x</vt:lpstr>
      <vt:lpstr>'333'!OSRRefD21_15_1x</vt:lpstr>
      <vt:lpstr>'415'!OSRRefD21_15_1x</vt:lpstr>
      <vt:lpstr>'492'!OSRRefD21_15_1x</vt:lpstr>
      <vt:lpstr>'Div 2'!OSRRefD21_15_1x</vt:lpstr>
      <vt:lpstr>'301'!OSRRefD21_15_2x</vt:lpstr>
      <vt:lpstr>'315'!OSRRefD21_15_2x</vt:lpstr>
      <vt:lpstr>'331'!OSRRefD21_15_2x</vt:lpstr>
      <vt:lpstr>'333'!OSRRefD21_15_2x</vt:lpstr>
      <vt:lpstr>'301'!OSRRefD21_15_3x</vt:lpstr>
      <vt:lpstr>'315'!OSRRefD21_15_3x</vt:lpstr>
      <vt:lpstr>'300'!OSRRefD21_15x_0</vt:lpstr>
      <vt:lpstr>'300 &amp; 317'!OSRRefD21_15x_0</vt:lpstr>
      <vt:lpstr>'301'!OSRRefD21_15x_0</vt:lpstr>
      <vt:lpstr>'310'!OSRRefD21_15x_0</vt:lpstr>
      <vt:lpstr>'310 &amp; 491'!OSRRefD21_15x_0</vt:lpstr>
      <vt:lpstr>'315'!OSRRefD21_15x_0</vt:lpstr>
      <vt:lpstr>'325'!OSRRefD21_15x_0</vt:lpstr>
      <vt:lpstr>'326'!OSRRefD21_15x_0</vt:lpstr>
      <vt:lpstr>'331'!OSRRefD21_15x_0</vt:lpstr>
      <vt:lpstr>'333'!OSRRefD21_15x_0</vt:lpstr>
      <vt:lpstr>'405'!OSRRefD21_15x_0</vt:lpstr>
      <vt:lpstr>'415'!OSRRefD21_15x_0</vt:lpstr>
      <vt:lpstr>'433'!OSRRefD21_15x_0</vt:lpstr>
      <vt:lpstr>'444'!OSRRefD21_15x_0</vt:lpstr>
      <vt:lpstr>'450'!OSRRefD21_15x_0</vt:lpstr>
      <vt:lpstr>'491'!OSRRefD21_15x_0</vt:lpstr>
      <vt:lpstr>'492'!OSRRefD21_15x_0</vt:lpstr>
      <vt:lpstr>'Div 2'!OSRRefD21_15x_0</vt:lpstr>
      <vt:lpstr>'Div 3'!OSRRefD21_15x_0</vt:lpstr>
      <vt:lpstr>'Div 4'!OSRRefD21_15x_0</vt:lpstr>
      <vt:lpstr>Summary!OSRRefD21_15x_0</vt:lpstr>
      <vt:lpstr>'300'!OSRRefD21_15x_1</vt:lpstr>
      <vt:lpstr>'300 &amp; 317'!OSRRefD21_15x_1</vt:lpstr>
      <vt:lpstr>'301'!OSRRefD21_15x_1</vt:lpstr>
      <vt:lpstr>'310'!OSRRefD21_15x_1</vt:lpstr>
      <vt:lpstr>'310 &amp; 491'!OSRRefD21_15x_1</vt:lpstr>
      <vt:lpstr>'315'!OSRRefD21_15x_1</vt:lpstr>
      <vt:lpstr>'325'!OSRRefD21_15x_1</vt:lpstr>
      <vt:lpstr>'326'!OSRRefD21_15x_1</vt:lpstr>
      <vt:lpstr>'331'!OSRRefD21_15x_1</vt:lpstr>
      <vt:lpstr>'333'!OSRRefD21_15x_1</vt:lpstr>
      <vt:lpstr>'405'!OSRRefD21_15x_1</vt:lpstr>
      <vt:lpstr>'415'!OSRRefD21_15x_1</vt:lpstr>
      <vt:lpstr>'433'!OSRRefD21_15x_1</vt:lpstr>
      <vt:lpstr>'444'!OSRRefD21_15x_1</vt:lpstr>
      <vt:lpstr>'450'!OSRRefD21_15x_1</vt:lpstr>
      <vt:lpstr>'491'!OSRRefD21_15x_1</vt:lpstr>
      <vt:lpstr>'492'!OSRRefD21_15x_1</vt:lpstr>
      <vt:lpstr>'Div 2'!OSRRefD21_15x_1</vt:lpstr>
      <vt:lpstr>'Div 3'!OSRRefD21_15x_1</vt:lpstr>
      <vt:lpstr>'Div 4'!OSRRefD21_15x_1</vt:lpstr>
      <vt:lpstr>Summary!OSRRefD21_15x_1</vt:lpstr>
      <vt:lpstr>'300'!OSRRefD21_15x_2</vt:lpstr>
      <vt:lpstr>'300 &amp; 317'!OSRRefD21_15x_2</vt:lpstr>
      <vt:lpstr>'301'!OSRRefD21_15x_2</vt:lpstr>
      <vt:lpstr>'310'!OSRRefD21_15x_2</vt:lpstr>
      <vt:lpstr>'310 &amp; 491'!OSRRefD21_15x_2</vt:lpstr>
      <vt:lpstr>'315'!OSRRefD21_15x_2</vt:lpstr>
      <vt:lpstr>'325'!OSRRefD21_15x_2</vt:lpstr>
      <vt:lpstr>'326'!OSRRefD21_15x_2</vt:lpstr>
      <vt:lpstr>'331'!OSRRefD21_15x_2</vt:lpstr>
      <vt:lpstr>'333'!OSRRefD21_15x_2</vt:lpstr>
      <vt:lpstr>'405'!OSRRefD21_15x_2</vt:lpstr>
      <vt:lpstr>'415'!OSRRefD21_15x_2</vt:lpstr>
      <vt:lpstr>'433'!OSRRefD21_15x_2</vt:lpstr>
      <vt:lpstr>'444'!OSRRefD21_15x_2</vt:lpstr>
      <vt:lpstr>'450'!OSRRefD21_15x_2</vt:lpstr>
      <vt:lpstr>'491'!OSRRefD21_15x_2</vt:lpstr>
      <vt:lpstr>'492'!OSRRefD21_15x_2</vt:lpstr>
      <vt:lpstr>'Div 2'!OSRRefD21_15x_2</vt:lpstr>
      <vt:lpstr>'Div 3'!OSRRefD21_15x_2</vt:lpstr>
      <vt:lpstr>'Div 4'!OSRRefD21_15x_2</vt:lpstr>
      <vt:lpstr>Summary!OSRRefD21_15x_2</vt:lpstr>
      <vt:lpstr>'300'!OSRRefD21_15x_3</vt:lpstr>
      <vt:lpstr>'300 &amp; 317'!OSRRefD21_15x_3</vt:lpstr>
      <vt:lpstr>'301'!OSRRefD21_15x_3</vt:lpstr>
      <vt:lpstr>'310'!OSRRefD21_15x_3</vt:lpstr>
      <vt:lpstr>'310 &amp; 491'!OSRRefD21_15x_3</vt:lpstr>
      <vt:lpstr>'315'!OSRRefD21_15x_3</vt:lpstr>
      <vt:lpstr>'325'!OSRRefD21_15x_3</vt:lpstr>
      <vt:lpstr>'326'!OSRRefD21_15x_3</vt:lpstr>
      <vt:lpstr>'331'!OSRRefD21_15x_3</vt:lpstr>
      <vt:lpstr>'333'!OSRRefD21_15x_3</vt:lpstr>
      <vt:lpstr>'405'!OSRRefD21_15x_3</vt:lpstr>
      <vt:lpstr>'415'!OSRRefD21_15x_3</vt:lpstr>
      <vt:lpstr>'433'!OSRRefD21_15x_3</vt:lpstr>
      <vt:lpstr>'444'!OSRRefD21_15x_3</vt:lpstr>
      <vt:lpstr>'450'!OSRRefD21_15x_3</vt:lpstr>
      <vt:lpstr>'491'!OSRRefD21_15x_3</vt:lpstr>
      <vt:lpstr>'492'!OSRRefD21_15x_3</vt:lpstr>
      <vt:lpstr>'Div 2'!OSRRefD21_15x_3</vt:lpstr>
      <vt:lpstr>'Div 3'!OSRRefD21_15x_3</vt:lpstr>
      <vt:lpstr>'Div 4'!OSRRefD21_15x_3</vt:lpstr>
      <vt:lpstr>Summary!OSRRefD21_15x_3</vt:lpstr>
      <vt:lpstr>'300'!OSRRefD21_15x_4</vt:lpstr>
      <vt:lpstr>'300 &amp; 317'!OSRRefD21_15x_4</vt:lpstr>
      <vt:lpstr>'301'!OSRRefD21_15x_4</vt:lpstr>
      <vt:lpstr>'310'!OSRRefD21_15x_4</vt:lpstr>
      <vt:lpstr>'310 &amp; 491'!OSRRefD21_15x_4</vt:lpstr>
      <vt:lpstr>'315'!OSRRefD21_15x_4</vt:lpstr>
      <vt:lpstr>'325'!OSRRefD21_15x_4</vt:lpstr>
      <vt:lpstr>'326'!OSRRefD21_15x_4</vt:lpstr>
      <vt:lpstr>'331'!OSRRefD21_15x_4</vt:lpstr>
      <vt:lpstr>'333'!OSRRefD21_15x_4</vt:lpstr>
      <vt:lpstr>'405'!OSRRefD21_15x_4</vt:lpstr>
      <vt:lpstr>'415'!OSRRefD21_15x_4</vt:lpstr>
      <vt:lpstr>'433'!OSRRefD21_15x_4</vt:lpstr>
      <vt:lpstr>'444'!OSRRefD21_15x_4</vt:lpstr>
      <vt:lpstr>'450'!OSRRefD21_15x_4</vt:lpstr>
      <vt:lpstr>'491'!OSRRefD21_15x_4</vt:lpstr>
      <vt:lpstr>'492'!OSRRefD21_15x_4</vt:lpstr>
      <vt:lpstr>'Div 2'!OSRRefD21_15x_4</vt:lpstr>
      <vt:lpstr>'Div 3'!OSRRefD21_15x_4</vt:lpstr>
      <vt:lpstr>'Div 4'!OSRRefD21_15x_4</vt:lpstr>
      <vt:lpstr>Summary!OSRRefD21_15x_4</vt:lpstr>
      <vt:lpstr>'300'!OSRRefD21_15x_5</vt:lpstr>
      <vt:lpstr>'300 &amp; 317'!OSRRefD21_15x_5</vt:lpstr>
      <vt:lpstr>'301'!OSRRefD21_15x_5</vt:lpstr>
      <vt:lpstr>'310'!OSRRefD21_15x_5</vt:lpstr>
      <vt:lpstr>'310 &amp; 491'!OSRRefD21_15x_5</vt:lpstr>
      <vt:lpstr>'315'!OSRRefD21_15x_5</vt:lpstr>
      <vt:lpstr>'325'!OSRRefD21_15x_5</vt:lpstr>
      <vt:lpstr>'326'!OSRRefD21_15x_5</vt:lpstr>
      <vt:lpstr>'331'!OSRRefD21_15x_5</vt:lpstr>
      <vt:lpstr>'333'!OSRRefD21_15x_5</vt:lpstr>
      <vt:lpstr>'405'!OSRRefD21_15x_5</vt:lpstr>
      <vt:lpstr>'415'!OSRRefD21_15x_5</vt:lpstr>
      <vt:lpstr>'433'!OSRRefD21_15x_5</vt:lpstr>
      <vt:lpstr>'444'!OSRRefD21_15x_5</vt:lpstr>
      <vt:lpstr>'450'!OSRRefD21_15x_5</vt:lpstr>
      <vt:lpstr>'491'!OSRRefD21_15x_5</vt:lpstr>
      <vt:lpstr>'492'!OSRRefD21_15x_5</vt:lpstr>
      <vt:lpstr>'Div 2'!OSRRefD21_15x_5</vt:lpstr>
      <vt:lpstr>'Div 3'!OSRRefD21_15x_5</vt:lpstr>
      <vt:lpstr>'Div 4'!OSRRefD21_15x_5</vt:lpstr>
      <vt:lpstr>Summary!OSRRefD21_15x_5</vt:lpstr>
      <vt:lpstr>'300'!OSRRefD21_15x_6</vt:lpstr>
      <vt:lpstr>'300 &amp; 317'!OSRRefD21_15x_6</vt:lpstr>
      <vt:lpstr>'301'!OSRRefD21_15x_6</vt:lpstr>
      <vt:lpstr>'310'!OSRRefD21_15x_6</vt:lpstr>
      <vt:lpstr>'310 &amp; 491'!OSRRefD21_15x_6</vt:lpstr>
      <vt:lpstr>'315'!OSRRefD21_15x_6</vt:lpstr>
      <vt:lpstr>'325'!OSRRefD21_15x_6</vt:lpstr>
      <vt:lpstr>'326'!OSRRefD21_15x_6</vt:lpstr>
      <vt:lpstr>'331'!OSRRefD21_15x_6</vt:lpstr>
      <vt:lpstr>'333'!OSRRefD21_15x_6</vt:lpstr>
      <vt:lpstr>'405'!OSRRefD21_15x_6</vt:lpstr>
      <vt:lpstr>'415'!OSRRefD21_15x_6</vt:lpstr>
      <vt:lpstr>'433'!OSRRefD21_15x_6</vt:lpstr>
      <vt:lpstr>'444'!OSRRefD21_15x_6</vt:lpstr>
      <vt:lpstr>'450'!OSRRefD21_15x_6</vt:lpstr>
      <vt:lpstr>'491'!OSRRefD21_15x_6</vt:lpstr>
      <vt:lpstr>'492'!OSRRefD21_15x_6</vt:lpstr>
      <vt:lpstr>'Div 2'!OSRRefD21_15x_6</vt:lpstr>
      <vt:lpstr>'Div 3'!OSRRefD21_15x_6</vt:lpstr>
      <vt:lpstr>'Div 4'!OSRRefD21_15x_6</vt:lpstr>
      <vt:lpstr>Summary!OSRRefD21_15x_6</vt:lpstr>
      <vt:lpstr>'300'!OSRRefD21_15x_7</vt:lpstr>
      <vt:lpstr>'300 &amp; 317'!OSRRefD21_15x_7</vt:lpstr>
      <vt:lpstr>'301'!OSRRefD21_15x_7</vt:lpstr>
      <vt:lpstr>'310'!OSRRefD21_15x_7</vt:lpstr>
      <vt:lpstr>'310 &amp; 491'!OSRRefD21_15x_7</vt:lpstr>
      <vt:lpstr>'315'!OSRRefD21_15x_7</vt:lpstr>
      <vt:lpstr>'325'!OSRRefD21_15x_7</vt:lpstr>
      <vt:lpstr>'326'!OSRRefD21_15x_7</vt:lpstr>
      <vt:lpstr>'331'!OSRRefD21_15x_7</vt:lpstr>
      <vt:lpstr>'333'!OSRRefD21_15x_7</vt:lpstr>
      <vt:lpstr>'405'!OSRRefD21_15x_7</vt:lpstr>
      <vt:lpstr>'415'!OSRRefD21_15x_7</vt:lpstr>
      <vt:lpstr>'433'!OSRRefD21_15x_7</vt:lpstr>
      <vt:lpstr>'444'!OSRRefD21_15x_7</vt:lpstr>
      <vt:lpstr>'450'!OSRRefD21_15x_7</vt:lpstr>
      <vt:lpstr>'491'!OSRRefD21_15x_7</vt:lpstr>
      <vt:lpstr>'492'!OSRRefD21_15x_7</vt:lpstr>
      <vt:lpstr>'Div 2'!OSRRefD21_15x_7</vt:lpstr>
      <vt:lpstr>'Div 3'!OSRRefD21_15x_7</vt:lpstr>
      <vt:lpstr>'Div 4'!OSRRefD21_15x_7</vt:lpstr>
      <vt:lpstr>Summary!OSRRefD21_15x_7</vt:lpstr>
      <vt:lpstr>'300'!OSRRefD21_15x_8</vt:lpstr>
      <vt:lpstr>'300 &amp; 317'!OSRRefD21_15x_8</vt:lpstr>
      <vt:lpstr>'301'!OSRRefD21_15x_8</vt:lpstr>
      <vt:lpstr>'310'!OSRRefD21_15x_8</vt:lpstr>
      <vt:lpstr>'310 &amp; 491'!OSRRefD21_15x_8</vt:lpstr>
      <vt:lpstr>'315'!OSRRefD21_15x_8</vt:lpstr>
      <vt:lpstr>'325'!OSRRefD21_15x_8</vt:lpstr>
      <vt:lpstr>'326'!OSRRefD21_15x_8</vt:lpstr>
      <vt:lpstr>'331'!OSRRefD21_15x_8</vt:lpstr>
      <vt:lpstr>'333'!OSRRefD21_15x_8</vt:lpstr>
      <vt:lpstr>'405'!OSRRefD21_15x_8</vt:lpstr>
      <vt:lpstr>'415'!OSRRefD21_15x_8</vt:lpstr>
      <vt:lpstr>'433'!OSRRefD21_15x_8</vt:lpstr>
      <vt:lpstr>'444'!OSRRefD21_15x_8</vt:lpstr>
      <vt:lpstr>'450'!OSRRefD21_15x_8</vt:lpstr>
      <vt:lpstr>'491'!OSRRefD21_15x_8</vt:lpstr>
      <vt:lpstr>'492'!OSRRefD21_15x_8</vt:lpstr>
      <vt:lpstr>'Div 2'!OSRRefD21_15x_8</vt:lpstr>
      <vt:lpstr>'Div 3'!OSRRefD21_15x_8</vt:lpstr>
      <vt:lpstr>'Div 4'!OSRRefD21_15x_8</vt:lpstr>
      <vt:lpstr>Summary!OSRRefD21_15x_8</vt:lpstr>
      <vt:lpstr>'300'!OSRRefD21_15x_9</vt:lpstr>
      <vt:lpstr>'300 &amp; 317'!OSRRefD21_15x_9</vt:lpstr>
      <vt:lpstr>'301'!OSRRefD21_15x_9</vt:lpstr>
      <vt:lpstr>'310'!OSRRefD21_15x_9</vt:lpstr>
      <vt:lpstr>'310 &amp; 491'!OSRRefD21_15x_9</vt:lpstr>
      <vt:lpstr>'315'!OSRRefD21_15x_9</vt:lpstr>
      <vt:lpstr>'325'!OSRRefD21_15x_9</vt:lpstr>
      <vt:lpstr>'326'!OSRRefD21_15x_9</vt:lpstr>
      <vt:lpstr>'331'!OSRRefD21_15x_9</vt:lpstr>
      <vt:lpstr>'333'!OSRRefD21_15x_9</vt:lpstr>
      <vt:lpstr>'405'!OSRRefD21_15x_9</vt:lpstr>
      <vt:lpstr>'415'!OSRRefD21_15x_9</vt:lpstr>
      <vt:lpstr>'433'!OSRRefD21_15x_9</vt:lpstr>
      <vt:lpstr>'444'!OSRRefD21_15x_9</vt:lpstr>
      <vt:lpstr>'450'!OSRRefD21_15x_9</vt:lpstr>
      <vt:lpstr>'491'!OSRRefD21_15x_9</vt:lpstr>
      <vt:lpstr>'492'!OSRRefD21_15x_9</vt:lpstr>
      <vt:lpstr>'Div 2'!OSRRefD21_15x_9</vt:lpstr>
      <vt:lpstr>'Div 3'!OSRRefD21_15x_9</vt:lpstr>
      <vt:lpstr>'Div 4'!OSRRefD21_15x_9</vt:lpstr>
      <vt:lpstr>Summary!OSRRefD21_15x_9</vt:lpstr>
      <vt:lpstr>'300'!OSRRefD21_16_0x</vt:lpstr>
      <vt:lpstr>'300 &amp; 317'!OSRRefD21_16_0x</vt:lpstr>
      <vt:lpstr>'301'!OSRRefD21_16_0x</vt:lpstr>
      <vt:lpstr>'310'!OSRRefD21_16_0x</vt:lpstr>
      <vt:lpstr>'310 &amp; 491'!OSRRefD21_16_0x</vt:lpstr>
      <vt:lpstr>'315'!OSRRefD21_16_0x</vt:lpstr>
      <vt:lpstr>'325'!OSRRefD21_16_0x</vt:lpstr>
      <vt:lpstr>'326'!OSRRefD21_16_0x</vt:lpstr>
      <vt:lpstr>'331'!OSRRefD21_16_0x</vt:lpstr>
      <vt:lpstr>'333'!OSRRefD21_16_0x</vt:lpstr>
      <vt:lpstr>'415'!OSRRefD21_16_0x</vt:lpstr>
      <vt:lpstr>'450'!OSRRefD21_16_0x</vt:lpstr>
      <vt:lpstr>'491'!OSRRefD21_16_0x</vt:lpstr>
      <vt:lpstr>'492'!OSRRefD21_16_0x</vt:lpstr>
      <vt:lpstr>'Div 2'!OSRRefD21_16_0x</vt:lpstr>
      <vt:lpstr>'Div 3'!OSRRefD21_16_0x</vt:lpstr>
      <vt:lpstr>'Div 4'!OSRRefD21_16_0x</vt:lpstr>
      <vt:lpstr>Summary!OSRRefD21_16_0x</vt:lpstr>
      <vt:lpstr>'300'!OSRRefD21_16_1x</vt:lpstr>
      <vt:lpstr>'300 &amp; 317'!OSRRefD21_16_1x</vt:lpstr>
      <vt:lpstr>'301'!OSRRefD21_16_1x</vt:lpstr>
      <vt:lpstr>'310 &amp; 491'!OSRRefD21_16_1x</vt:lpstr>
      <vt:lpstr>'326'!OSRRefD21_16_1x</vt:lpstr>
      <vt:lpstr>'331'!OSRRefD21_16_1x</vt:lpstr>
      <vt:lpstr>'333'!OSRRefD21_16_1x</vt:lpstr>
      <vt:lpstr>'491'!OSRRefD21_16_1x</vt:lpstr>
      <vt:lpstr>'Div 2'!OSRRefD21_16_1x</vt:lpstr>
      <vt:lpstr>'Div 4'!OSRRefD21_16_1x</vt:lpstr>
      <vt:lpstr>'300'!OSRRefD21_16_2x</vt:lpstr>
      <vt:lpstr>'300 &amp; 317'!OSRRefD21_16_2x</vt:lpstr>
      <vt:lpstr>'310 &amp; 491'!OSRRefD21_16_2x</vt:lpstr>
      <vt:lpstr>'333'!OSRRefD21_16_2x</vt:lpstr>
      <vt:lpstr>'491'!OSRRefD21_16_2x</vt:lpstr>
      <vt:lpstr>'Div 2'!OSRRefD21_16_2x</vt:lpstr>
      <vt:lpstr>'Div 4'!OSRRefD21_16_2x</vt:lpstr>
      <vt:lpstr>'300'!OSRRefD21_16_3x</vt:lpstr>
      <vt:lpstr>'300 &amp; 317'!OSRRefD21_16_3x</vt:lpstr>
      <vt:lpstr>'310 &amp; 491'!OSRRefD21_16_3x</vt:lpstr>
      <vt:lpstr>'491'!OSRRefD21_16_3x</vt:lpstr>
      <vt:lpstr>'Div 2'!OSRRefD21_16_3x</vt:lpstr>
      <vt:lpstr>'Div 4'!OSRRefD21_16_3x</vt:lpstr>
      <vt:lpstr>'310 &amp; 491'!OSRRefD21_16_4x</vt:lpstr>
      <vt:lpstr>'491'!OSRRefD21_16_4x</vt:lpstr>
      <vt:lpstr>'Div 2'!OSRRefD21_16_4x</vt:lpstr>
      <vt:lpstr>'Div 4'!OSRRefD21_16_4x</vt:lpstr>
      <vt:lpstr>'310 &amp; 491'!OSRRefD21_16_5x</vt:lpstr>
      <vt:lpstr>'491'!OSRRefD21_16_5x</vt:lpstr>
      <vt:lpstr>'310 &amp; 491'!OSRRefD21_16_6x</vt:lpstr>
      <vt:lpstr>'491'!OSRRefD21_16_6x</vt:lpstr>
      <vt:lpstr>'310 &amp; 491'!OSRRefD21_16_7x</vt:lpstr>
      <vt:lpstr>'491'!OSRRefD21_16_7x</vt:lpstr>
      <vt:lpstr>'310 &amp; 491'!OSRRefD21_16_8x</vt:lpstr>
      <vt:lpstr>'491'!OSRRefD21_16_8x</vt:lpstr>
      <vt:lpstr>'300'!OSRRefD21_16x_0</vt:lpstr>
      <vt:lpstr>'300 &amp; 317'!OSRRefD21_16x_0</vt:lpstr>
      <vt:lpstr>'301'!OSRRefD21_16x_0</vt:lpstr>
      <vt:lpstr>'310'!OSRRefD21_16x_0</vt:lpstr>
      <vt:lpstr>'310 &amp; 491'!OSRRefD21_16x_0</vt:lpstr>
      <vt:lpstr>'315'!OSRRefD21_16x_0</vt:lpstr>
      <vt:lpstr>'325'!OSRRefD21_16x_0</vt:lpstr>
      <vt:lpstr>'326'!OSRRefD21_16x_0</vt:lpstr>
      <vt:lpstr>'331'!OSRRefD21_16x_0</vt:lpstr>
      <vt:lpstr>'333'!OSRRefD21_16x_0</vt:lpstr>
      <vt:lpstr>'415'!OSRRefD21_16x_0</vt:lpstr>
      <vt:lpstr>'450'!OSRRefD21_16x_0</vt:lpstr>
      <vt:lpstr>'491'!OSRRefD21_16x_0</vt:lpstr>
      <vt:lpstr>'492'!OSRRefD21_16x_0</vt:lpstr>
      <vt:lpstr>'Div 2'!OSRRefD21_16x_0</vt:lpstr>
      <vt:lpstr>'Div 3'!OSRRefD21_16x_0</vt:lpstr>
      <vt:lpstr>'Div 4'!OSRRefD21_16x_0</vt:lpstr>
      <vt:lpstr>Summary!OSRRefD21_16x_0</vt:lpstr>
      <vt:lpstr>'300'!OSRRefD21_16x_1</vt:lpstr>
      <vt:lpstr>'300 &amp; 317'!OSRRefD21_16x_1</vt:lpstr>
      <vt:lpstr>'301'!OSRRefD21_16x_1</vt:lpstr>
      <vt:lpstr>'310'!OSRRefD21_16x_1</vt:lpstr>
      <vt:lpstr>'310 &amp; 491'!OSRRefD21_16x_1</vt:lpstr>
      <vt:lpstr>'315'!OSRRefD21_16x_1</vt:lpstr>
      <vt:lpstr>'325'!OSRRefD21_16x_1</vt:lpstr>
      <vt:lpstr>'326'!OSRRefD21_16x_1</vt:lpstr>
      <vt:lpstr>'331'!OSRRefD21_16x_1</vt:lpstr>
      <vt:lpstr>'333'!OSRRefD21_16x_1</vt:lpstr>
      <vt:lpstr>'415'!OSRRefD21_16x_1</vt:lpstr>
      <vt:lpstr>'450'!OSRRefD21_16x_1</vt:lpstr>
      <vt:lpstr>'491'!OSRRefD21_16x_1</vt:lpstr>
      <vt:lpstr>'492'!OSRRefD21_16x_1</vt:lpstr>
      <vt:lpstr>'Div 2'!OSRRefD21_16x_1</vt:lpstr>
      <vt:lpstr>'Div 3'!OSRRefD21_16x_1</vt:lpstr>
      <vt:lpstr>'Div 4'!OSRRefD21_16x_1</vt:lpstr>
      <vt:lpstr>Summary!OSRRefD21_16x_1</vt:lpstr>
      <vt:lpstr>'300'!OSRRefD21_16x_2</vt:lpstr>
      <vt:lpstr>'300 &amp; 317'!OSRRefD21_16x_2</vt:lpstr>
      <vt:lpstr>'301'!OSRRefD21_16x_2</vt:lpstr>
      <vt:lpstr>'310'!OSRRefD21_16x_2</vt:lpstr>
      <vt:lpstr>'310 &amp; 491'!OSRRefD21_16x_2</vt:lpstr>
      <vt:lpstr>'315'!OSRRefD21_16x_2</vt:lpstr>
      <vt:lpstr>'325'!OSRRefD21_16x_2</vt:lpstr>
      <vt:lpstr>'326'!OSRRefD21_16x_2</vt:lpstr>
      <vt:lpstr>'331'!OSRRefD21_16x_2</vt:lpstr>
      <vt:lpstr>'333'!OSRRefD21_16x_2</vt:lpstr>
      <vt:lpstr>'415'!OSRRefD21_16x_2</vt:lpstr>
      <vt:lpstr>'450'!OSRRefD21_16x_2</vt:lpstr>
      <vt:lpstr>'491'!OSRRefD21_16x_2</vt:lpstr>
      <vt:lpstr>'492'!OSRRefD21_16x_2</vt:lpstr>
      <vt:lpstr>'Div 2'!OSRRefD21_16x_2</vt:lpstr>
      <vt:lpstr>'Div 3'!OSRRefD21_16x_2</vt:lpstr>
      <vt:lpstr>'Div 4'!OSRRefD21_16x_2</vt:lpstr>
      <vt:lpstr>Summary!OSRRefD21_16x_2</vt:lpstr>
      <vt:lpstr>'300'!OSRRefD21_16x_3</vt:lpstr>
      <vt:lpstr>'300 &amp; 317'!OSRRefD21_16x_3</vt:lpstr>
      <vt:lpstr>'301'!OSRRefD21_16x_3</vt:lpstr>
      <vt:lpstr>'310'!OSRRefD21_16x_3</vt:lpstr>
      <vt:lpstr>'310 &amp; 491'!OSRRefD21_16x_3</vt:lpstr>
      <vt:lpstr>'315'!OSRRefD21_16x_3</vt:lpstr>
      <vt:lpstr>'325'!OSRRefD21_16x_3</vt:lpstr>
      <vt:lpstr>'326'!OSRRefD21_16x_3</vt:lpstr>
      <vt:lpstr>'331'!OSRRefD21_16x_3</vt:lpstr>
      <vt:lpstr>'333'!OSRRefD21_16x_3</vt:lpstr>
      <vt:lpstr>'415'!OSRRefD21_16x_3</vt:lpstr>
      <vt:lpstr>'450'!OSRRefD21_16x_3</vt:lpstr>
      <vt:lpstr>'491'!OSRRefD21_16x_3</vt:lpstr>
      <vt:lpstr>'492'!OSRRefD21_16x_3</vt:lpstr>
      <vt:lpstr>'Div 2'!OSRRefD21_16x_3</vt:lpstr>
      <vt:lpstr>'Div 3'!OSRRefD21_16x_3</vt:lpstr>
      <vt:lpstr>'Div 4'!OSRRefD21_16x_3</vt:lpstr>
      <vt:lpstr>Summary!OSRRefD21_16x_3</vt:lpstr>
      <vt:lpstr>'300'!OSRRefD21_16x_4</vt:lpstr>
      <vt:lpstr>'300 &amp; 317'!OSRRefD21_16x_4</vt:lpstr>
      <vt:lpstr>'301'!OSRRefD21_16x_4</vt:lpstr>
      <vt:lpstr>'310'!OSRRefD21_16x_4</vt:lpstr>
      <vt:lpstr>'310 &amp; 491'!OSRRefD21_16x_4</vt:lpstr>
      <vt:lpstr>'315'!OSRRefD21_16x_4</vt:lpstr>
      <vt:lpstr>'325'!OSRRefD21_16x_4</vt:lpstr>
      <vt:lpstr>'326'!OSRRefD21_16x_4</vt:lpstr>
      <vt:lpstr>'331'!OSRRefD21_16x_4</vt:lpstr>
      <vt:lpstr>'333'!OSRRefD21_16x_4</vt:lpstr>
      <vt:lpstr>'415'!OSRRefD21_16x_4</vt:lpstr>
      <vt:lpstr>'450'!OSRRefD21_16x_4</vt:lpstr>
      <vt:lpstr>'491'!OSRRefD21_16x_4</vt:lpstr>
      <vt:lpstr>'492'!OSRRefD21_16x_4</vt:lpstr>
      <vt:lpstr>'Div 2'!OSRRefD21_16x_4</vt:lpstr>
      <vt:lpstr>'Div 3'!OSRRefD21_16x_4</vt:lpstr>
      <vt:lpstr>'Div 4'!OSRRefD21_16x_4</vt:lpstr>
      <vt:lpstr>Summary!OSRRefD21_16x_4</vt:lpstr>
      <vt:lpstr>'300'!OSRRefD21_16x_5</vt:lpstr>
      <vt:lpstr>'300 &amp; 317'!OSRRefD21_16x_5</vt:lpstr>
      <vt:lpstr>'301'!OSRRefD21_16x_5</vt:lpstr>
      <vt:lpstr>'310'!OSRRefD21_16x_5</vt:lpstr>
      <vt:lpstr>'310 &amp; 491'!OSRRefD21_16x_5</vt:lpstr>
      <vt:lpstr>'315'!OSRRefD21_16x_5</vt:lpstr>
      <vt:lpstr>'325'!OSRRefD21_16x_5</vt:lpstr>
      <vt:lpstr>'326'!OSRRefD21_16x_5</vt:lpstr>
      <vt:lpstr>'331'!OSRRefD21_16x_5</vt:lpstr>
      <vt:lpstr>'333'!OSRRefD21_16x_5</vt:lpstr>
      <vt:lpstr>'415'!OSRRefD21_16x_5</vt:lpstr>
      <vt:lpstr>'450'!OSRRefD21_16x_5</vt:lpstr>
      <vt:lpstr>'491'!OSRRefD21_16x_5</vt:lpstr>
      <vt:lpstr>'492'!OSRRefD21_16x_5</vt:lpstr>
      <vt:lpstr>'Div 2'!OSRRefD21_16x_5</vt:lpstr>
      <vt:lpstr>'Div 3'!OSRRefD21_16x_5</vt:lpstr>
      <vt:lpstr>'Div 4'!OSRRefD21_16x_5</vt:lpstr>
      <vt:lpstr>Summary!OSRRefD21_16x_5</vt:lpstr>
      <vt:lpstr>'300'!OSRRefD21_16x_6</vt:lpstr>
      <vt:lpstr>'300 &amp; 317'!OSRRefD21_16x_6</vt:lpstr>
      <vt:lpstr>'301'!OSRRefD21_16x_6</vt:lpstr>
      <vt:lpstr>'310'!OSRRefD21_16x_6</vt:lpstr>
      <vt:lpstr>'310 &amp; 491'!OSRRefD21_16x_6</vt:lpstr>
      <vt:lpstr>'315'!OSRRefD21_16x_6</vt:lpstr>
      <vt:lpstr>'325'!OSRRefD21_16x_6</vt:lpstr>
      <vt:lpstr>'326'!OSRRefD21_16x_6</vt:lpstr>
      <vt:lpstr>'331'!OSRRefD21_16x_6</vt:lpstr>
      <vt:lpstr>'333'!OSRRefD21_16x_6</vt:lpstr>
      <vt:lpstr>'415'!OSRRefD21_16x_6</vt:lpstr>
      <vt:lpstr>'450'!OSRRefD21_16x_6</vt:lpstr>
      <vt:lpstr>'491'!OSRRefD21_16x_6</vt:lpstr>
      <vt:lpstr>'492'!OSRRefD21_16x_6</vt:lpstr>
      <vt:lpstr>'Div 2'!OSRRefD21_16x_6</vt:lpstr>
      <vt:lpstr>'Div 3'!OSRRefD21_16x_6</vt:lpstr>
      <vt:lpstr>'Div 4'!OSRRefD21_16x_6</vt:lpstr>
      <vt:lpstr>Summary!OSRRefD21_16x_6</vt:lpstr>
      <vt:lpstr>'300'!OSRRefD21_16x_7</vt:lpstr>
      <vt:lpstr>'300 &amp; 317'!OSRRefD21_16x_7</vt:lpstr>
      <vt:lpstr>'301'!OSRRefD21_16x_7</vt:lpstr>
      <vt:lpstr>'310'!OSRRefD21_16x_7</vt:lpstr>
      <vt:lpstr>'310 &amp; 491'!OSRRefD21_16x_7</vt:lpstr>
      <vt:lpstr>'315'!OSRRefD21_16x_7</vt:lpstr>
      <vt:lpstr>'325'!OSRRefD21_16x_7</vt:lpstr>
      <vt:lpstr>'326'!OSRRefD21_16x_7</vt:lpstr>
      <vt:lpstr>'331'!OSRRefD21_16x_7</vt:lpstr>
      <vt:lpstr>'333'!OSRRefD21_16x_7</vt:lpstr>
      <vt:lpstr>'415'!OSRRefD21_16x_7</vt:lpstr>
      <vt:lpstr>'450'!OSRRefD21_16x_7</vt:lpstr>
      <vt:lpstr>'491'!OSRRefD21_16x_7</vt:lpstr>
      <vt:lpstr>'492'!OSRRefD21_16x_7</vt:lpstr>
      <vt:lpstr>'Div 2'!OSRRefD21_16x_7</vt:lpstr>
      <vt:lpstr>'Div 3'!OSRRefD21_16x_7</vt:lpstr>
      <vt:lpstr>'Div 4'!OSRRefD21_16x_7</vt:lpstr>
      <vt:lpstr>Summary!OSRRefD21_16x_7</vt:lpstr>
      <vt:lpstr>'300'!OSRRefD21_16x_8</vt:lpstr>
      <vt:lpstr>'300 &amp; 317'!OSRRefD21_16x_8</vt:lpstr>
      <vt:lpstr>'301'!OSRRefD21_16x_8</vt:lpstr>
      <vt:lpstr>'310'!OSRRefD21_16x_8</vt:lpstr>
      <vt:lpstr>'310 &amp; 491'!OSRRefD21_16x_8</vt:lpstr>
      <vt:lpstr>'315'!OSRRefD21_16x_8</vt:lpstr>
      <vt:lpstr>'325'!OSRRefD21_16x_8</vt:lpstr>
      <vt:lpstr>'326'!OSRRefD21_16x_8</vt:lpstr>
      <vt:lpstr>'331'!OSRRefD21_16x_8</vt:lpstr>
      <vt:lpstr>'333'!OSRRefD21_16x_8</vt:lpstr>
      <vt:lpstr>'415'!OSRRefD21_16x_8</vt:lpstr>
      <vt:lpstr>'450'!OSRRefD21_16x_8</vt:lpstr>
      <vt:lpstr>'491'!OSRRefD21_16x_8</vt:lpstr>
      <vt:lpstr>'492'!OSRRefD21_16x_8</vt:lpstr>
      <vt:lpstr>'Div 2'!OSRRefD21_16x_8</vt:lpstr>
      <vt:lpstr>'Div 3'!OSRRefD21_16x_8</vt:lpstr>
      <vt:lpstr>'Div 4'!OSRRefD21_16x_8</vt:lpstr>
      <vt:lpstr>Summary!OSRRefD21_16x_8</vt:lpstr>
      <vt:lpstr>'300'!OSRRefD21_16x_9</vt:lpstr>
      <vt:lpstr>'300 &amp; 317'!OSRRefD21_16x_9</vt:lpstr>
      <vt:lpstr>'301'!OSRRefD21_16x_9</vt:lpstr>
      <vt:lpstr>'310'!OSRRefD21_16x_9</vt:lpstr>
      <vt:lpstr>'310 &amp; 491'!OSRRefD21_16x_9</vt:lpstr>
      <vt:lpstr>'315'!OSRRefD21_16x_9</vt:lpstr>
      <vt:lpstr>'325'!OSRRefD21_16x_9</vt:lpstr>
      <vt:lpstr>'326'!OSRRefD21_16x_9</vt:lpstr>
      <vt:lpstr>'331'!OSRRefD21_16x_9</vt:lpstr>
      <vt:lpstr>'333'!OSRRefD21_16x_9</vt:lpstr>
      <vt:lpstr>'415'!OSRRefD21_16x_9</vt:lpstr>
      <vt:lpstr>'450'!OSRRefD21_16x_9</vt:lpstr>
      <vt:lpstr>'491'!OSRRefD21_16x_9</vt:lpstr>
      <vt:lpstr>'492'!OSRRefD21_16x_9</vt:lpstr>
      <vt:lpstr>'Div 2'!OSRRefD21_16x_9</vt:lpstr>
      <vt:lpstr>'Div 3'!OSRRefD21_16x_9</vt:lpstr>
      <vt:lpstr>'Div 4'!OSRRefD21_16x_9</vt:lpstr>
      <vt:lpstr>Summary!OSRRefD21_16x_9</vt:lpstr>
      <vt:lpstr>'300'!OSRRefD21_17_0x</vt:lpstr>
      <vt:lpstr>'300 &amp; 317'!OSRRefD21_17_0x</vt:lpstr>
      <vt:lpstr>'301'!OSRRefD21_17_0x</vt:lpstr>
      <vt:lpstr>'310'!OSRRefD21_17_0x</vt:lpstr>
      <vt:lpstr>'310 &amp; 491'!OSRRefD21_17_0x</vt:lpstr>
      <vt:lpstr>'315'!OSRRefD21_17_0x</vt:lpstr>
      <vt:lpstr>'326'!OSRRefD21_17_0x</vt:lpstr>
      <vt:lpstr>'331'!OSRRefD21_17_0x</vt:lpstr>
      <vt:lpstr>'333'!OSRRefD21_17_0x</vt:lpstr>
      <vt:lpstr>'415'!OSRRefD21_17_0x</vt:lpstr>
      <vt:lpstr>'491'!OSRRefD21_17_0x</vt:lpstr>
      <vt:lpstr>'492'!OSRRefD21_17_0x</vt:lpstr>
      <vt:lpstr>'Div 2'!OSRRefD21_17_0x</vt:lpstr>
      <vt:lpstr>'Div 3'!OSRRefD21_17_0x</vt:lpstr>
      <vt:lpstr>'Div 4'!OSRRefD21_17_0x</vt:lpstr>
      <vt:lpstr>Summary!OSRRefD21_17_0x</vt:lpstr>
      <vt:lpstr>'300'!OSRRefD21_17_1x</vt:lpstr>
      <vt:lpstr>'300 &amp; 317'!OSRRefD21_17_1x</vt:lpstr>
      <vt:lpstr>'310 &amp; 491'!OSRRefD21_17_1x</vt:lpstr>
      <vt:lpstr>'331'!OSRRefD21_17_1x</vt:lpstr>
      <vt:lpstr>'333'!OSRRefD21_17_1x</vt:lpstr>
      <vt:lpstr>'491'!OSRRefD21_17_1x</vt:lpstr>
      <vt:lpstr>'492'!OSRRefD21_17_1x</vt:lpstr>
      <vt:lpstr>'Div 2'!OSRRefD21_17_1x</vt:lpstr>
      <vt:lpstr>'Div 3'!OSRRefD21_17_1x</vt:lpstr>
      <vt:lpstr>'300'!OSRRefD21_17_2x</vt:lpstr>
      <vt:lpstr>'300 &amp; 317'!OSRRefD21_17_2x</vt:lpstr>
      <vt:lpstr>'Div 3'!OSRRefD21_17_2x</vt:lpstr>
      <vt:lpstr>'300'!OSRRefD21_17_3x</vt:lpstr>
      <vt:lpstr>'300 &amp; 317'!OSRRefD21_17_3x</vt:lpstr>
      <vt:lpstr>'Div 3'!OSRRefD21_17_3x</vt:lpstr>
      <vt:lpstr>'300'!OSRRefD21_17x_0</vt:lpstr>
      <vt:lpstr>'300 &amp; 317'!OSRRefD21_17x_0</vt:lpstr>
      <vt:lpstr>'301'!OSRRefD21_17x_0</vt:lpstr>
      <vt:lpstr>'310'!OSRRefD21_17x_0</vt:lpstr>
      <vt:lpstr>'310 &amp; 491'!OSRRefD21_17x_0</vt:lpstr>
      <vt:lpstr>'315'!OSRRefD21_17x_0</vt:lpstr>
      <vt:lpstr>'326'!OSRRefD21_17x_0</vt:lpstr>
      <vt:lpstr>'331'!OSRRefD21_17x_0</vt:lpstr>
      <vt:lpstr>'333'!OSRRefD21_17x_0</vt:lpstr>
      <vt:lpstr>'415'!OSRRefD21_17x_0</vt:lpstr>
      <vt:lpstr>'491'!OSRRefD21_17x_0</vt:lpstr>
      <vt:lpstr>'492'!OSRRefD21_17x_0</vt:lpstr>
      <vt:lpstr>'Div 2'!OSRRefD21_17x_0</vt:lpstr>
      <vt:lpstr>'Div 3'!OSRRefD21_17x_0</vt:lpstr>
      <vt:lpstr>'Div 4'!OSRRefD21_17x_0</vt:lpstr>
      <vt:lpstr>Summary!OSRRefD21_17x_0</vt:lpstr>
      <vt:lpstr>'300'!OSRRefD21_17x_1</vt:lpstr>
      <vt:lpstr>'300 &amp; 317'!OSRRefD21_17x_1</vt:lpstr>
      <vt:lpstr>'301'!OSRRefD21_17x_1</vt:lpstr>
      <vt:lpstr>'310'!OSRRefD21_17x_1</vt:lpstr>
      <vt:lpstr>'310 &amp; 491'!OSRRefD21_17x_1</vt:lpstr>
      <vt:lpstr>'315'!OSRRefD21_17x_1</vt:lpstr>
      <vt:lpstr>'326'!OSRRefD21_17x_1</vt:lpstr>
      <vt:lpstr>'331'!OSRRefD21_17x_1</vt:lpstr>
      <vt:lpstr>'333'!OSRRefD21_17x_1</vt:lpstr>
      <vt:lpstr>'415'!OSRRefD21_17x_1</vt:lpstr>
      <vt:lpstr>'491'!OSRRefD21_17x_1</vt:lpstr>
      <vt:lpstr>'492'!OSRRefD21_17x_1</vt:lpstr>
      <vt:lpstr>'Div 2'!OSRRefD21_17x_1</vt:lpstr>
      <vt:lpstr>'Div 3'!OSRRefD21_17x_1</vt:lpstr>
      <vt:lpstr>'Div 4'!OSRRefD21_17x_1</vt:lpstr>
      <vt:lpstr>Summary!OSRRefD21_17x_1</vt:lpstr>
      <vt:lpstr>'300'!OSRRefD21_17x_2</vt:lpstr>
      <vt:lpstr>'300 &amp; 317'!OSRRefD21_17x_2</vt:lpstr>
      <vt:lpstr>'301'!OSRRefD21_17x_2</vt:lpstr>
      <vt:lpstr>'310'!OSRRefD21_17x_2</vt:lpstr>
      <vt:lpstr>'310 &amp; 491'!OSRRefD21_17x_2</vt:lpstr>
      <vt:lpstr>'315'!OSRRefD21_17x_2</vt:lpstr>
      <vt:lpstr>'326'!OSRRefD21_17x_2</vt:lpstr>
      <vt:lpstr>'331'!OSRRefD21_17x_2</vt:lpstr>
      <vt:lpstr>'333'!OSRRefD21_17x_2</vt:lpstr>
      <vt:lpstr>'415'!OSRRefD21_17x_2</vt:lpstr>
      <vt:lpstr>'491'!OSRRefD21_17x_2</vt:lpstr>
      <vt:lpstr>'492'!OSRRefD21_17x_2</vt:lpstr>
      <vt:lpstr>'Div 2'!OSRRefD21_17x_2</vt:lpstr>
      <vt:lpstr>'Div 3'!OSRRefD21_17x_2</vt:lpstr>
      <vt:lpstr>'Div 4'!OSRRefD21_17x_2</vt:lpstr>
      <vt:lpstr>Summary!OSRRefD21_17x_2</vt:lpstr>
      <vt:lpstr>'300'!OSRRefD21_17x_3</vt:lpstr>
      <vt:lpstr>'300 &amp; 317'!OSRRefD21_17x_3</vt:lpstr>
      <vt:lpstr>'301'!OSRRefD21_17x_3</vt:lpstr>
      <vt:lpstr>'310'!OSRRefD21_17x_3</vt:lpstr>
      <vt:lpstr>'310 &amp; 491'!OSRRefD21_17x_3</vt:lpstr>
      <vt:lpstr>'315'!OSRRefD21_17x_3</vt:lpstr>
      <vt:lpstr>'326'!OSRRefD21_17x_3</vt:lpstr>
      <vt:lpstr>'331'!OSRRefD21_17x_3</vt:lpstr>
      <vt:lpstr>'333'!OSRRefD21_17x_3</vt:lpstr>
      <vt:lpstr>'415'!OSRRefD21_17x_3</vt:lpstr>
      <vt:lpstr>'491'!OSRRefD21_17x_3</vt:lpstr>
      <vt:lpstr>'492'!OSRRefD21_17x_3</vt:lpstr>
      <vt:lpstr>'Div 2'!OSRRefD21_17x_3</vt:lpstr>
      <vt:lpstr>'Div 3'!OSRRefD21_17x_3</vt:lpstr>
      <vt:lpstr>'Div 4'!OSRRefD21_17x_3</vt:lpstr>
      <vt:lpstr>Summary!OSRRefD21_17x_3</vt:lpstr>
      <vt:lpstr>'300'!OSRRefD21_17x_4</vt:lpstr>
      <vt:lpstr>'300 &amp; 317'!OSRRefD21_17x_4</vt:lpstr>
      <vt:lpstr>'301'!OSRRefD21_17x_4</vt:lpstr>
      <vt:lpstr>'310'!OSRRefD21_17x_4</vt:lpstr>
      <vt:lpstr>'310 &amp; 491'!OSRRefD21_17x_4</vt:lpstr>
      <vt:lpstr>'315'!OSRRefD21_17x_4</vt:lpstr>
      <vt:lpstr>'326'!OSRRefD21_17x_4</vt:lpstr>
      <vt:lpstr>'331'!OSRRefD21_17x_4</vt:lpstr>
      <vt:lpstr>'333'!OSRRefD21_17x_4</vt:lpstr>
      <vt:lpstr>'415'!OSRRefD21_17x_4</vt:lpstr>
      <vt:lpstr>'491'!OSRRefD21_17x_4</vt:lpstr>
      <vt:lpstr>'492'!OSRRefD21_17x_4</vt:lpstr>
      <vt:lpstr>'Div 2'!OSRRefD21_17x_4</vt:lpstr>
      <vt:lpstr>'Div 3'!OSRRefD21_17x_4</vt:lpstr>
      <vt:lpstr>'Div 4'!OSRRefD21_17x_4</vt:lpstr>
      <vt:lpstr>Summary!OSRRefD21_17x_4</vt:lpstr>
      <vt:lpstr>'300'!OSRRefD21_17x_5</vt:lpstr>
      <vt:lpstr>'300 &amp; 317'!OSRRefD21_17x_5</vt:lpstr>
      <vt:lpstr>'301'!OSRRefD21_17x_5</vt:lpstr>
      <vt:lpstr>'310'!OSRRefD21_17x_5</vt:lpstr>
      <vt:lpstr>'310 &amp; 491'!OSRRefD21_17x_5</vt:lpstr>
      <vt:lpstr>'315'!OSRRefD21_17x_5</vt:lpstr>
      <vt:lpstr>'326'!OSRRefD21_17x_5</vt:lpstr>
      <vt:lpstr>'331'!OSRRefD21_17x_5</vt:lpstr>
      <vt:lpstr>'333'!OSRRefD21_17x_5</vt:lpstr>
      <vt:lpstr>'415'!OSRRefD21_17x_5</vt:lpstr>
      <vt:lpstr>'491'!OSRRefD21_17x_5</vt:lpstr>
      <vt:lpstr>'492'!OSRRefD21_17x_5</vt:lpstr>
      <vt:lpstr>'Div 2'!OSRRefD21_17x_5</vt:lpstr>
      <vt:lpstr>'Div 3'!OSRRefD21_17x_5</vt:lpstr>
      <vt:lpstr>'Div 4'!OSRRefD21_17x_5</vt:lpstr>
      <vt:lpstr>Summary!OSRRefD21_17x_5</vt:lpstr>
      <vt:lpstr>'300'!OSRRefD21_17x_6</vt:lpstr>
      <vt:lpstr>'300 &amp; 317'!OSRRefD21_17x_6</vt:lpstr>
      <vt:lpstr>'301'!OSRRefD21_17x_6</vt:lpstr>
      <vt:lpstr>'310'!OSRRefD21_17x_6</vt:lpstr>
      <vt:lpstr>'310 &amp; 491'!OSRRefD21_17x_6</vt:lpstr>
      <vt:lpstr>'315'!OSRRefD21_17x_6</vt:lpstr>
      <vt:lpstr>'326'!OSRRefD21_17x_6</vt:lpstr>
      <vt:lpstr>'331'!OSRRefD21_17x_6</vt:lpstr>
      <vt:lpstr>'333'!OSRRefD21_17x_6</vt:lpstr>
      <vt:lpstr>'415'!OSRRefD21_17x_6</vt:lpstr>
      <vt:lpstr>'491'!OSRRefD21_17x_6</vt:lpstr>
      <vt:lpstr>'492'!OSRRefD21_17x_6</vt:lpstr>
      <vt:lpstr>'Div 2'!OSRRefD21_17x_6</vt:lpstr>
      <vt:lpstr>'Div 3'!OSRRefD21_17x_6</vt:lpstr>
      <vt:lpstr>'Div 4'!OSRRefD21_17x_6</vt:lpstr>
      <vt:lpstr>Summary!OSRRefD21_17x_6</vt:lpstr>
      <vt:lpstr>'300'!OSRRefD21_17x_7</vt:lpstr>
      <vt:lpstr>'300 &amp; 317'!OSRRefD21_17x_7</vt:lpstr>
      <vt:lpstr>'301'!OSRRefD21_17x_7</vt:lpstr>
      <vt:lpstr>'310'!OSRRefD21_17x_7</vt:lpstr>
      <vt:lpstr>'310 &amp; 491'!OSRRefD21_17x_7</vt:lpstr>
      <vt:lpstr>'315'!OSRRefD21_17x_7</vt:lpstr>
      <vt:lpstr>'326'!OSRRefD21_17x_7</vt:lpstr>
      <vt:lpstr>'331'!OSRRefD21_17x_7</vt:lpstr>
      <vt:lpstr>'333'!OSRRefD21_17x_7</vt:lpstr>
      <vt:lpstr>'415'!OSRRefD21_17x_7</vt:lpstr>
      <vt:lpstr>'491'!OSRRefD21_17x_7</vt:lpstr>
      <vt:lpstr>'492'!OSRRefD21_17x_7</vt:lpstr>
      <vt:lpstr>'Div 2'!OSRRefD21_17x_7</vt:lpstr>
      <vt:lpstr>'Div 3'!OSRRefD21_17x_7</vt:lpstr>
      <vt:lpstr>'Div 4'!OSRRefD21_17x_7</vt:lpstr>
      <vt:lpstr>Summary!OSRRefD21_17x_7</vt:lpstr>
      <vt:lpstr>'300'!OSRRefD21_17x_8</vt:lpstr>
      <vt:lpstr>'300 &amp; 317'!OSRRefD21_17x_8</vt:lpstr>
      <vt:lpstr>'301'!OSRRefD21_17x_8</vt:lpstr>
      <vt:lpstr>'310'!OSRRefD21_17x_8</vt:lpstr>
      <vt:lpstr>'310 &amp; 491'!OSRRefD21_17x_8</vt:lpstr>
      <vt:lpstr>'315'!OSRRefD21_17x_8</vt:lpstr>
      <vt:lpstr>'326'!OSRRefD21_17x_8</vt:lpstr>
      <vt:lpstr>'331'!OSRRefD21_17x_8</vt:lpstr>
      <vt:lpstr>'333'!OSRRefD21_17x_8</vt:lpstr>
      <vt:lpstr>'415'!OSRRefD21_17x_8</vt:lpstr>
      <vt:lpstr>'491'!OSRRefD21_17x_8</vt:lpstr>
      <vt:lpstr>'492'!OSRRefD21_17x_8</vt:lpstr>
      <vt:lpstr>'Div 2'!OSRRefD21_17x_8</vt:lpstr>
      <vt:lpstr>'Div 3'!OSRRefD21_17x_8</vt:lpstr>
      <vt:lpstr>'Div 4'!OSRRefD21_17x_8</vt:lpstr>
      <vt:lpstr>Summary!OSRRefD21_17x_8</vt:lpstr>
      <vt:lpstr>'300'!OSRRefD21_17x_9</vt:lpstr>
      <vt:lpstr>'300 &amp; 317'!OSRRefD21_17x_9</vt:lpstr>
      <vt:lpstr>'301'!OSRRefD21_17x_9</vt:lpstr>
      <vt:lpstr>'310'!OSRRefD21_17x_9</vt:lpstr>
      <vt:lpstr>'310 &amp; 491'!OSRRefD21_17x_9</vt:lpstr>
      <vt:lpstr>'315'!OSRRefD21_17x_9</vt:lpstr>
      <vt:lpstr>'326'!OSRRefD21_17x_9</vt:lpstr>
      <vt:lpstr>'331'!OSRRefD21_17x_9</vt:lpstr>
      <vt:lpstr>'333'!OSRRefD21_17x_9</vt:lpstr>
      <vt:lpstr>'415'!OSRRefD21_17x_9</vt:lpstr>
      <vt:lpstr>'491'!OSRRefD21_17x_9</vt:lpstr>
      <vt:lpstr>'492'!OSRRefD21_17x_9</vt:lpstr>
      <vt:lpstr>'Div 2'!OSRRefD21_17x_9</vt:lpstr>
      <vt:lpstr>'Div 3'!OSRRefD21_17x_9</vt:lpstr>
      <vt:lpstr>'Div 4'!OSRRefD21_17x_9</vt:lpstr>
      <vt:lpstr>Summary!OSRRefD21_17x_9</vt:lpstr>
      <vt:lpstr>'300'!OSRRefD21_18_0x</vt:lpstr>
      <vt:lpstr>'300 &amp; 317'!OSRRefD21_18_0x</vt:lpstr>
      <vt:lpstr>'301'!OSRRefD21_18_0x</vt:lpstr>
      <vt:lpstr>'310 &amp; 491'!OSRRefD21_18_0x</vt:lpstr>
      <vt:lpstr>'315'!OSRRefD21_18_0x</vt:lpstr>
      <vt:lpstr>'331'!OSRRefD21_18_0x</vt:lpstr>
      <vt:lpstr>'333'!OSRRefD21_18_0x</vt:lpstr>
      <vt:lpstr>'491'!OSRRefD21_18_0x</vt:lpstr>
      <vt:lpstr>'Div 2'!OSRRefD21_18_0x</vt:lpstr>
      <vt:lpstr>'Div 3'!OSRRefD21_18_0x</vt:lpstr>
      <vt:lpstr>'Div 4'!OSRRefD21_18_0x</vt:lpstr>
      <vt:lpstr>Summary!OSRRefD21_18_0x</vt:lpstr>
      <vt:lpstr>'300'!OSRRefD21_18_1x</vt:lpstr>
      <vt:lpstr>'300 &amp; 317'!OSRRefD21_18_1x</vt:lpstr>
      <vt:lpstr>'301'!OSRRefD21_18_1x</vt:lpstr>
      <vt:lpstr>'331'!OSRRefD21_18_1x</vt:lpstr>
      <vt:lpstr>'333'!OSRRefD21_18_1x</vt:lpstr>
      <vt:lpstr>'Div 3'!OSRRefD21_18_1x</vt:lpstr>
      <vt:lpstr>'Div 4'!OSRRefD21_18_1x</vt:lpstr>
      <vt:lpstr>Summary!OSRRefD21_18_1x</vt:lpstr>
      <vt:lpstr>'300'!OSRRefD21_18_2x</vt:lpstr>
      <vt:lpstr>'300 &amp; 317'!OSRRefD21_18_2x</vt:lpstr>
      <vt:lpstr>'301'!OSRRefD21_18_2x</vt:lpstr>
      <vt:lpstr>'331'!OSRRefD21_18_2x</vt:lpstr>
      <vt:lpstr>'333'!OSRRefD21_18_2x</vt:lpstr>
      <vt:lpstr>'Div 3'!OSRRefD21_18_2x</vt:lpstr>
      <vt:lpstr>'Div 4'!OSRRefD21_18_2x</vt:lpstr>
      <vt:lpstr>Summary!OSRRefD21_18_2x</vt:lpstr>
      <vt:lpstr>'301'!OSRRefD21_18_3x</vt:lpstr>
      <vt:lpstr>'331'!OSRRefD21_18_3x</vt:lpstr>
      <vt:lpstr>'333'!OSRRefD21_18_3x</vt:lpstr>
      <vt:lpstr>'Div 3'!OSRRefD21_18_3x</vt:lpstr>
      <vt:lpstr>'Div 4'!OSRRefD21_18_3x</vt:lpstr>
      <vt:lpstr>Summary!OSRRefD21_18_3x</vt:lpstr>
      <vt:lpstr>'301'!OSRRefD21_18_4x</vt:lpstr>
      <vt:lpstr>'331'!OSRRefD21_18_4x</vt:lpstr>
      <vt:lpstr>'333'!OSRRefD21_18_4x</vt:lpstr>
      <vt:lpstr>'Div 4'!OSRRefD21_18_4x</vt:lpstr>
      <vt:lpstr>'301'!OSRRefD21_18_5x</vt:lpstr>
      <vt:lpstr>'333'!OSRRefD21_18_5x</vt:lpstr>
      <vt:lpstr>'Div 4'!OSRRefD21_18_5x</vt:lpstr>
      <vt:lpstr>'Div 4'!OSRRefD21_18_6x</vt:lpstr>
      <vt:lpstr>'Div 4'!OSRRefD21_18_7x</vt:lpstr>
      <vt:lpstr>'Div 4'!OSRRefD21_18_8x</vt:lpstr>
      <vt:lpstr>'Div 4'!OSRRefD21_18_9x</vt:lpstr>
      <vt:lpstr>'300'!OSRRefD21_18x_0</vt:lpstr>
      <vt:lpstr>'300 &amp; 317'!OSRRefD21_18x_0</vt:lpstr>
      <vt:lpstr>'301'!OSRRefD21_18x_0</vt:lpstr>
      <vt:lpstr>'310 &amp; 491'!OSRRefD21_18x_0</vt:lpstr>
      <vt:lpstr>'315'!OSRRefD21_18x_0</vt:lpstr>
      <vt:lpstr>'331'!OSRRefD21_18x_0</vt:lpstr>
      <vt:lpstr>'333'!OSRRefD21_18x_0</vt:lpstr>
      <vt:lpstr>'491'!OSRRefD21_18x_0</vt:lpstr>
      <vt:lpstr>'Div 2'!OSRRefD21_18x_0</vt:lpstr>
      <vt:lpstr>'Div 3'!OSRRefD21_18x_0</vt:lpstr>
      <vt:lpstr>'Div 4'!OSRRefD21_18x_0</vt:lpstr>
      <vt:lpstr>Summary!OSRRefD21_18x_0</vt:lpstr>
      <vt:lpstr>'300'!OSRRefD21_18x_1</vt:lpstr>
      <vt:lpstr>'300 &amp; 317'!OSRRefD21_18x_1</vt:lpstr>
      <vt:lpstr>'301'!OSRRefD21_18x_1</vt:lpstr>
      <vt:lpstr>'310 &amp; 491'!OSRRefD21_18x_1</vt:lpstr>
      <vt:lpstr>'315'!OSRRefD21_18x_1</vt:lpstr>
      <vt:lpstr>'331'!OSRRefD21_18x_1</vt:lpstr>
      <vt:lpstr>'333'!OSRRefD21_18x_1</vt:lpstr>
      <vt:lpstr>'491'!OSRRefD21_18x_1</vt:lpstr>
      <vt:lpstr>'Div 2'!OSRRefD21_18x_1</vt:lpstr>
      <vt:lpstr>'Div 3'!OSRRefD21_18x_1</vt:lpstr>
      <vt:lpstr>'Div 4'!OSRRefD21_18x_1</vt:lpstr>
      <vt:lpstr>Summary!OSRRefD21_18x_1</vt:lpstr>
      <vt:lpstr>'300'!OSRRefD21_18x_2</vt:lpstr>
      <vt:lpstr>'300 &amp; 317'!OSRRefD21_18x_2</vt:lpstr>
      <vt:lpstr>'301'!OSRRefD21_18x_2</vt:lpstr>
      <vt:lpstr>'310 &amp; 491'!OSRRefD21_18x_2</vt:lpstr>
      <vt:lpstr>'315'!OSRRefD21_18x_2</vt:lpstr>
      <vt:lpstr>'331'!OSRRefD21_18x_2</vt:lpstr>
      <vt:lpstr>'333'!OSRRefD21_18x_2</vt:lpstr>
      <vt:lpstr>'491'!OSRRefD21_18x_2</vt:lpstr>
      <vt:lpstr>'Div 2'!OSRRefD21_18x_2</vt:lpstr>
      <vt:lpstr>'Div 3'!OSRRefD21_18x_2</vt:lpstr>
      <vt:lpstr>'Div 4'!OSRRefD21_18x_2</vt:lpstr>
      <vt:lpstr>Summary!OSRRefD21_18x_2</vt:lpstr>
      <vt:lpstr>'300'!OSRRefD21_18x_3</vt:lpstr>
      <vt:lpstr>'300 &amp; 317'!OSRRefD21_18x_3</vt:lpstr>
      <vt:lpstr>'301'!OSRRefD21_18x_3</vt:lpstr>
      <vt:lpstr>'310 &amp; 491'!OSRRefD21_18x_3</vt:lpstr>
      <vt:lpstr>'315'!OSRRefD21_18x_3</vt:lpstr>
      <vt:lpstr>'331'!OSRRefD21_18x_3</vt:lpstr>
      <vt:lpstr>'333'!OSRRefD21_18x_3</vt:lpstr>
      <vt:lpstr>'491'!OSRRefD21_18x_3</vt:lpstr>
      <vt:lpstr>'Div 2'!OSRRefD21_18x_3</vt:lpstr>
      <vt:lpstr>'Div 3'!OSRRefD21_18x_3</vt:lpstr>
      <vt:lpstr>'Div 4'!OSRRefD21_18x_3</vt:lpstr>
      <vt:lpstr>Summary!OSRRefD21_18x_3</vt:lpstr>
      <vt:lpstr>'300'!OSRRefD21_18x_4</vt:lpstr>
      <vt:lpstr>'300 &amp; 317'!OSRRefD21_18x_4</vt:lpstr>
      <vt:lpstr>'301'!OSRRefD21_18x_4</vt:lpstr>
      <vt:lpstr>'310 &amp; 491'!OSRRefD21_18x_4</vt:lpstr>
      <vt:lpstr>'315'!OSRRefD21_18x_4</vt:lpstr>
      <vt:lpstr>'331'!OSRRefD21_18x_4</vt:lpstr>
      <vt:lpstr>'333'!OSRRefD21_18x_4</vt:lpstr>
      <vt:lpstr>'491'!OSRRefD21_18x_4</vt:lpstr>
      <vt:lpstr>'Div 2'!OSRRefD21_18x_4</vt:lpstr>
      <vt:lpstr>'Div 3'!OSRRefD21_18x_4</vt:lpstr>
      <vt:lpstr>'Div 4'!OSRRefD21_18x_4</vt:lpstr>
      <vt:lpstr>Summary!OSRRefD21_18x_4</vt:lpstr>
      <vt:lpstr>'300'!OSRRefD21_18x_5</vt:lpstr>
      <vt:lpstr>'300 &amp; 317'!OSRRefD21_18x_5</vt:lpstr>
      <vt:lpstr>'301'!OSRRefD21_18x_5</vt:lpstr>
      <vt:lpstr>'310 &amp; 491'!OSRRefD21_18x_5</vt:lpstr>
      <vt:lpstr>'315'!OSRRefD21_18x_5</vt:lpstr>
      <vt:lpstr>'331'!OSRRefD21_18x_5</vt:lpstr>
      <vt:lpstr>'333'!OSRRefD21_18x_5</vt:lpstr>
      <vt:lpstr>'491'!OSRRefD21_18x_5</vt:lpstr>
      <vt:lpstr>'Div 2'!OSRRefD21_18x_5</vt:lpstr>
      <vt:lpstr>'Div 3'!OSRRefD21_18x_5</vt:lpstr>
      <vt:lpstr>'Div 4'!OSRRefD21_18x_5</vt:lpstr>
      <vt:lpstr>Summary!OSRRefD21_18x_5</vt:lpstr>
      <vt:lpstr>'300'!OSRRefD21_18x_6</vt:lpstr>
      <vt:lpstr>'300 &amp; 317'!OSRRefD21_18x_6</vt:lpstr>
      <vt:lpstr>'301'!OSRRefD21_18x_6</vt:lpstr>
      <vt:lpstr>'310 &amp; 491'!OSRRefD21_18x_6</vt:lpstr>
      <vt:lpstr>'315'!OSRRefD21_18x_6</vt:lpstr>
      <vt:lpstr>'331'!OSRRefD21_18x_6</vt:lpstr>
      <vt:lpstr>'333'!OSRRefD21_18x_6</vt:lpstr>
      <vt:lpstr>'491'!OSRRefD21_18x_6</vt:lpstr>
      <vt:lpstr>'Div 2'!OSRRefD21_18x_6</vt:lpstr>
      <vt:lpstr>'Div 3'!OSRRefD21_18x_6</vt:lpstr>
      <vt:lpstr>'Div 4'!OSRRefD21_18x_6</vt:lpstr>
      <vt:lpstr>Summary!OSRRefD21_18x_6</vt:lpstr>
      <vt:lpstr>'300'!OSRRefD21_18x_7</vt:lpstr>
      <vt:lpstr>'300 &amp; 317'!OSRRefD21_18x_7</vt:lpstr>
      <vt:lpstr>'301'!OSRRefD21_18x_7</vt:lpstr>
      <vt:lpstr>'310 &amp; 491'!OSRRefD21_18x_7</vt:lpstr>
      <vt:lpstr>'315'!OSRRefD21_18x_7</vt:lpstr>
      <vt:lpstr>'331'!OSRRefD21_18x_7</vt:lpstr>
      <vt:lpstr>'333'!OSRRefD21_18x_7</vt:lpstr>
      <vt:lpstr>'491'!OSRRefD21_18x_7</vt:lpstr>
      <vt:lpstr>'Div 2'!OSRRefD21_18x_7</vt:lpstr>
      <vt:lpstr>'Div 3'!OSRRefD21_18x_7</vt:lpstr>
      <vt:lpstr>'Div 4'!OSRRefD21_18x_7</vt:lpstr>
      <vt:lpstr>Summary!OSRRefD21_18x_7</vt:lpstr>
      <vt:lpstr>'300'!OSRRefD21_18x_8</vt:lpstr>
      <vt:lpstr>'300 &amp; 317'!OSRRefD21_18x_8</vt:lpstr>
      <vt:lpstr>'301'!OSRRefD21_18x_8</vt:lpstr>
      <vt:lpstr>'310 &amp; 491'!OSRRefD21_18x_8</vt:lpstr>
      <vt:lpstr>'315'!OSRRefD21_18x_8</vt:lpstr>
      <vt:lpstr>'331'!OSRRefD21_18x_8</vt:lpstr>
      <vt:lpstr>'333'!OSRRefD21_18x_8</vt:lpstr>
      <vt:lpstr>'491'!OSRRefD21_18x_8</vt:lpstr>
      <vt:lpstr>'Div 2'!OSRRefD21_18x_8</vt:lpstr>
      <vt:lpstr>'Div 3'!OSRRefD21_18x_8</vt:lpstr>
      <vt:lpstr>'Div 4'!OSRRefD21_18x_8</vt:lpstr>
      <vt:lpstr>Summary!OSRRefD21_18x_8</vt:lpstr>
      <vt:lpstr>'300'!OSRRefD21_18x_9</vt:lpstr>
      <vt:lpstr>'300 &amp; 317'!OSRRefD21_18x_9</vt:lpstr>
      <vt:lpstr>'301'!OSRRefD21_18x_9</vt:lpstr>
      <vt:lpstr>'310 &amp; 491'!OSRRefD21_18x_9</vt:lpstr>
      <vt:lpstr>'315'!OSRRefD21_18x_9</vt:lpstr>
      <vt:lpstr>'331'!OSRRefD21_18x_9</vt:lpstr>
      <vt:lpstr>'333'!OSRRefD21_18x_9</vt:lpstr>
      <vt:lpstr>'491'!OSRRefD21_18x_9</vt:lpstr>
      <vt:lpstr>'Div 2'!OSRRefD21_18x_9</vt:lpstr>
      <vt:lpstr>'Div 3'!OSRRefD21_18x_9</vt:lpstr>
      <vt:lpstr>'Div 4'!OSRRefD21_18x_9</vt:lpstr>
      <vt:lpstr>Summary!OSRRefD21_18x_9</vt:lpstr>
      <vt:lpstr>'300'!OSRRefD21_19_0x</vt:lpstr>
      <vt:lpstr>'300 &amp; 317'!OSRRefD21_19_0x</vt:lpstr>
      <vt:lpstr>'301'!OSRRefD21_19_0x</vt:lpstr>
      <vt:lpstr>'310 &amp; 491'!OSRRefD21_19_0x</vt:lpstr>
      <vt:lpstr>'331'!OSRRefD21_19_0x</vt:lpstr>
      <vt:lpstr>'333'!OSRRefD21_19_0x</vt:lpstr>
      <vt:lpstr>'491'!OSRRefD21_19_0x</vt:lpstr>
      <vt:lpstr>'Div 2'!OSRRefD21_19_0x</vt:lpstr>
      <vt:lpstr>'Div 3'!OSRRefD21_19_0x</vt:lpstr>
      <vt:lpstr>'Div 4'!OSRRefD21_19_0x</vt:lpstr>
      <vt:lpstr>Summary!OSRRefD21_19_0x</vt:lpstr>
      <vt:lpstr>'300'!OSRRefD21_19_1x</vt:lpstr>
      <vt:lpstr>'300 &amp; 317'!OSRRefD21_19_1x</vt:lpstr>
      <vt:lpstr>'310 &amp; 491'!OSRRefD21_19_1x</vt:lpstr>
      <vt:lpstr>'491'!OSRRefD21_19_1x</vt:lpstr>
      <vt:lpstr>'Div 2'!OSRRefD21_19_1x</vt:lpstr>
      <vt:lpstr>'Div 3'!OSRRefD21_19_1x</vt:lpstr>
      <vt:lpstr>'Div 4'!OSRRefD21_19_1x</vt:lpstr>
      <vt:lpstr>Summary!OSRRefD21_19_1x</vt:lpstr>
      <vt:lpstr>'Div 3'!OSRRefD21_19_2x</vt:lpstr>
      <vt:lpstr>Summary!OSRRefD21_19_2x</vt:lpstr>
      <vt:lpstr>'Div 3'!OSRRefD21_19_3x</vt:lpstr>
      <vt:lpstr>Summary!OSRRefD21_19_3x</vt:lpstr>
      <vt:lpstr>'300'!OSRRefD21_19x_0</vt:lpstr>
      <vt:lpstr>'300 &amp; 317'!OSRRefD21_19x_0</vt:lpstr>
      <vt:lpstr>'301'!OSRRefD21_19x_0</vt:lpstr>
      <vt:lpstr>'310 &amp; 491'!OSRRefD21_19x_0</vt:lpstr>
      <vt:lpstr>'331'!OSRRefD21_19x_0</vt:lpstr>
      <vt:lpstr>'333'!OSRRefD21_19x_0</vt:lpstr>
      <vt:lpstr>'491'!OSRRefD21_19x_0</vt:lpstr>
      <vt:lpstr>'Div 2'!OSRRefD21_19x_0</vt:lpstr>
      <vt:lpstr>'Div 3'!OSRRefD21_19x_0</vt:lpstr>
      <vt:lpstr>'Div 4'!OSRRefD21_19x_0</vt:lpstr>
      <vt:lpstr>Summary!OSRRefD21_19x_0</vt:lpstr>
      <vt:lpstr>'300'!OSRRefD21_19x_1</vt:lpstr>
      <vt:lpstr>'300 &amp; 317'!OSRRefD21_19x_1</vt:lpstr>
      <vt:lpstr>'301'!OSRRefD21_19x_1</vt:lpstr>
      <vt:lpstr>'310 &amp; 491'!OSRRefD21_19x_1</vt:lpstr>
      <vt:lpstr>'331'!OSRRefD21_19x_1</vt:lpstr>
      <vt:lpstr>'333'!OSRRefD21_19x_1</vt:lpstr>
      <vt:lpstr>'491'!OSRRefD21_19x_1</vt:lpstr>
      <vt:lpstr>'Div 2'!OSRRefD21_19x_1</vt:lpstr>
      <vt:lpstr>'Div 3'!OSRRefD21_19x_1</vt:lpstr>
      <vt:lpstr>'Div 4'!OSRRefD21_19x_1</vt:lpstr>
      <vt:lpstr>Summary!OSRRefD21_19x_1</vt:lpstr>
      <vt:lpstr>'300'!OSRRefD21_19x_2</vt:lpstr>
      <vt:lpstr>'300 &amp; 317'!OSRRefD21_19x_2</vt:lpstr>
      <vt:lpstr>'301'!OSRRefD21_19x_2</vt:lpstr>
      <vt:lpstr>'310 &amp; 491'!OSRRefD21_19x_2</vt:lpstr>
      <vt:lpstr>'331'!OSRRefD21_19x_2</vt:lpstr>
      <vt:lpstr>'333'!OSRRefD21_19x_2</vt:lpstr>
      <vt:lpstr>'491'!OSRRefD21_19x_2</vt:lpstr>
      <vt:lpstr>'Div 2'!OSRRefD21_19x_2</vt:lpstr>
      <vt:lpstr>'Div 3'!OSRRefD21_19x_2</vt:lpstr>
      <vt:lpstr>'Div 4'!OSRRefD21_19x_2</vt:lpstr>
      <vt:lpstr>Summary!OSRRefD21_19x_2</vt:lpstr>
      <vt:lpstr>'300'!OSRRefD21_19x_3</vt:lpstr>
      <vt:lpstr>'300 &amp; 317'!OSRRefD21_19x_3</vt:lpstr>
      <vt:lpstr>'301'!OSRRefD21_19x_3</vt:lpstr>
      <vt:lpstr>'310 &amp; 491'!OSRRefD21_19x_3</vt:lpstr>
      <vt:lpstr>'331'!OSRRefD21_19x_3</vt:lpstr>
      <vt:lpstr>'333'!OSRRefD21_19x_3</vt:lpstr>
      <vt:lpstr>'491'!OSRRefD21_19x_3</vt:lpstr>
      <vt:lpstr>'Div 2'!OSRRefD21_19x_3</vt:lpstr>
      <vt:lpstr>'Div 3'!OSRRefD21_19x_3</vt:lpstr>
      <vt:lpstr>'Div 4'!OSRRefD21_19x_3</vt:lpstr>
      <vt:lpstr>Summary!OSRRefD21_19x_3</vt:lpstr>
      <vt:lpstr>'300'!OSRRefD21_19x_4</vt:lpstr>
      <vt:lpstr>'300 &amp; 317'!OSRRefD21_19x_4</vt:lpstr>
      <vt:lpstr>'301'!OSRRefD21_19x_4</vt:lpstr>
      <vt:lpstr>'310 &amp; 491'!OSRRefD21_19x_4</vt:lpstr>
      <vt:lpstr>'331'!OSRRefD21_19x_4</vt:lpstr>
      <vt:lpstr>'333'!OSRRefD21_19x_4</vt:lpstr>
      <vt:lpstr>'491'!OSRRefD21_19x_4</vt:lpstr>
      <vt:lpstr>'Div 2'!OSRRefD21_19x_4</vt:lpstr>
      <vt:lpstr>'Div 3'!OSRRefD21_19x_4</vt:lpstr>
      <vt:lpstr>'Div 4'!OSRRefD21_19x_4</vt:lpstr>
      <vt:lpstr>Summary!OSRRefD21_19x_4</vt:lpstr>
      <vt:lpstr>'300'!OSRRefD21_19x_5</vt:lpstr>
      <vt:lpstr>'300 &amp; 317'!OSRRefD21_19x_5</vt:lpstr>
      <vt:lpstr>'301'!OSRRefD21_19x_5</vt:lpstr>
      <vt:lpstr>'310 &amp; 491'!OSRRefD21_19x_5</vt:lpstr>
      <vt:lpstr>'331'!OSRRefD21_19x_5</vt:lpstr>
      <vt:lpstr>'333'!OSRRefD21_19x_5</vt:lpstr>
      <vt:lpstr>'491'!OSRRefD21_19x_5</vt:lpstr>
      <vt:lpstr>'Div 2'!OSRRefD21_19x_5</vt:lpstr>
      <vt:lpstr>'Div 3'!OSRRefD21_19x_5</vt:lpstr>
      <vt:lpstr>'Div 4'!OSRRefD21_19x_5</vt:lpstr>
      <vt:lpstr>Summary!OSRRefD21_19x_5</vt:lpstr>
      <vt:lpstr>'300'!OSRRefD21_19x_6</vt:lpstr>
      <vt:lpstr>'300 &amp; 317'!OSRRefD21_19x_6</vt:lpstr>
      <vt:lpstr>'301'!OSRRefD21_19x_6</vt:lpstr>
      <vt:lpstr>'310 &amp; 491'!OSRRefD21_19x_6</vt:lpstr>
      <vt:lpstr>'331'!OSRRefD21_19x_6</vt:lpstr>
      <vt:lpstr>'333'!OSRRefD21_19x_6</vt:lpstr>
      <vt:lpstr>'491'!OSRRefD21_19x_6</vt:lpstr>
      <vt:lpstr>'Div 2'!OSRRefD21_19x_6</vt:lpstr>
      <vt:lpstr>'Div 3'!OSRRefD21_19x_6</vt:lpstr>
      <vt:lpstr>'Div 4'!OSRRefD21_19x_6</vt:lpstr>
      <vt:lpstr>Summary!OSRRefD21_19x_6</vt:lpstr>
      <vt:lpstr>'300'!OSRRefD21_19x_7</vt:lpstr>
      <vt:lpstr>'300 &amp; 317'!OSRRefD21_19x_7</vt:lpstr>
      <vt:lpstr>'301'!OSRRefD21_19x_7</vt:lpstr>
      <vt:lpstr>'310 &amp; 491'!OSRRefD21_19x_7</vt:lpstr>
      <vt:lpstr>'331'!OSRRefD21_19x_7</vt:lpstr>
      <vt:lpstr>'333'!OSRRefD21_19x_7</vt:lpstr>
      <vt:lpstr>'491'!OSRRefD21_19x_7</vt:lpstr>
      <vt:lpstr>'Div 2'!OSRRefD21_19x_7</vt:lpstr>
      <vt:lpstr>'Div 3'!OSRRefD21_19x_7</vt:lpstr>
      <vt:lpstr>'Div 4'!OSRRefD21_19x_7</vt:lpstr>
      <vt:lpstr>Summary!OSRRefD21_19x_7</vt:lpstr>
      <vt:lpstr>'300'!OSRRefD21_19x_8</vt:lpstr>
      <vt:lpstr>'300 &amp; 317'!OSRRefD21_19x_8</vt:lpstr>
      <vt:lpstr>'301'!OSRRefD21_19x_8</vt:lpstr>
      <vt:lpstr>'310 &amp; 491'!OSRRefD21_19x_8</vt:lpstr>
      <vt:lpstr>'331'!OSRRefD21_19x_8</vt:lpstr>
      <vt:lpstr>'333'!OSRRefD21_19x_8</vt:lpstr>
      <vt:lpstr>'491'!OSRRefD21_19x_8</vt:lpstr>
      <vt:lpstr>'Div 2'!OSRRefD21_19x_8</vt:lpstr>
      <vt:lpstr>'Div 3'!OSRRefD21_19x_8</vt:lpstr>
      <vt:lpstr>'Div 4'!OSRRefD21_19x_8</vt:lpstr>
      <vt:lpstr>Summary!OSRRefD21_19x_8</vt:lpstr>
      <vt:lpstr>'300'!OSRRefD21_19x_9</vt:lpstr>
      <vt:lpstr>'300 &amp; 317'!OSRRefD21_19x_9</vt:lpstr>
      <vt:lpstr>'301'!OSRRefD21_19x_9</vt:lpstr>
      <vt:lpstr>'310 &amp; 491'!OSRRefD21_19x_9</vt:lpstr>
      <vt:lpstr>'331'!OSRRefD21_19x_9</vt:lpstr>
      <vt:lpstr>'333'!OSRRefD21_19x_9</vt:lpstr>
      <vt:lpstr>'491'!OSRRefD21_19x_9</vt:lpstr>
      <vt:lpstr>'Div 2'!OSRRefD21_19x_9</vt:lpstr>
      <vt:lpstr>'Div 3'!OSRRefD21_19x_9</vt:lpstr>
      <vt:lpstr>'Div 4'!OSRRefD21_19x_9</vt:lpstr>
      <vt:lpstr>Summary!OSRRefD21_19x_9</vt:lpstr>
      <vt:lpstr>'200'!OSRRefD21_1x_0</vt:lpstr>
      <vt:lpstr>'201'!OSRRefD21_1x_0</vt:lpstr>
      <vt:lpstr>'202'!OSRRefD21_1x_0</vt:lpstr>
      <vt:lpstr>'203'!OSRRefD21_1x_0</vt:lpstr>
      <vt:lpstr>'204'!OSRRefD21_1x_0</vt:lpstr>
      <vt:lpstr>'205'!OSRRefD21_1x_0</vt:lpstr>
      <vt:lpstr>'206'!OSRRefD21_1x_0</vt:lpstr>
      <vt:lpstr>'300'!OSRRefD21_1x_0</vt:lpstr>
      <vt:lpstr>'300 &amp; 317'!OSRRefD21_1x_0</vt:lpstr>
      <vt:lpstr>'301'!OSRRefD21_1x_0</vt:lpstr>
      <vt:lpstr>'307'!OSRRefD21_1x_0</vt:lpstr>
      <vt:lpstr>'308'!OSRRefD21_1x_0</vt:lpstr>
      <vt:lpstr>'309'!OSRRefD21_1x_0</vt:lpstr>
      <vt:lpstr>'310'!OSRRefD21_1x_0</vt:lpstr>
      <vt:lpstr>'310 &amp; 491'!OSRRefD21_1x_0</vt:lpstr>
      <vt:lpstr>'311'!OSRRefD21_1x_0</vt:lpstr>
      <vt:lpstr>'313'!OSRRefD21_1x_0</vt:lpstr>
      <vt:lpstr>'315'!OSRRefD21_1x_0</vt:lpstr>
      <vt:lpstr>'316'!OSRRefD21_1x_0</vt:lpstr>
      <vt:lpstr>'317'!OSRRefD21_1x_0</vt:lpstr>
      <vt:lpstr>'321'!OSRRefD21_1x_0</vt:lpstr>
      <vt:lpstr>'325'!OSRRefD21_1x_0</vt:lpstr>
      <vt:lpstr>'326'!OSRRefD21_1x_0</vt:lpstr>
      <vt:lpstr>'327'!OSRRefD21_1x_0</vt:lpstr>
      <vt:lpstr>'331'!OSRRefD21_1x_0</vt:lpstr>
      <vt:lpstr>'332'!OSRRefD21_1x_0</vt:lpstr>
      <vt:lpstr>'333'!OSRRefD21_1x_0</vt:lpstr>
      <vt:lpstr>'405'!OSRRefD21_1x_0</vt:lpstr>
      <vt:lpstr>'411'!OSRRefD21_1x_0</vt:lpstr>
      <vt:lpstr>'412'!OSRRefD21_1x_0</vt:lpstr>
      <vt:lpstr>'413'!OSRRefD21_1x_0</vt:lpstr>
      <vt:lpstr>'414'!OSRRefD21_1x_0</vt:lpstr>
      <vt:lpstr>'415'!OSRRefD21_1x_0</vt:lpstr>
      <vt:lpstr>'418'!OSRRefD21_1x_0</vt:lpstr>
      <vt:lpstr>'423'!OSRRefD21_1x_0</vt:lpstr>
      <vt:lpstr>'424'!OSRRefD21_1x_0</vt:lpstr>
      <vt:lpstr>'425'!OSRRefD21_1x_0</vt:lpstr>
      <vt:lpstr>'430'!OSRRefD21_1x_0</vt:lpstr>
      <vt:lpstr>'433'!OSRRefD21_1x_0</vt:lpstr>
      <vt:lpstr>'435'!OSRRefD21_1x_0</vt:lpstr>
      <vt:lpstr>'444'!OSRRefD21_1x_0</vt:lpstr>
      <vt:lpstr>'450'!OSRRefD21_1x_0</vt:lpstr>
      <vt:lpstr>'491'!OSRRefD21_1x_0</vt:lpstr>
      <vt:lpstr>'492'!OSRRefD21_1x_0</vt:lpstr>
      <vt:lpstr>'501'!OSRRefD21_1x_0</vt:lpstr>
      <vt:lpstr>'Div 2'!OSRRefD21_1x_0</vt:lpstr>
      <vt:lpstr>'Div 3'!OSRRefD21_1x_0</vt:lpstr>
      <vt:lpstr>'Div 4'!OSRRefD21_1x_0</vt:lpstr>
      <vt:lpstr>'Div 5'!OSRRefD21_1x_0</vt:lpstr>
      <vt:lpstr>'Div 6'!OSRRefD21_1x_0</vt:lpstr>
      <vt:lpstr>Summary!OSRRefD21_1x_0</vt:lpstr>
      <vt:lpstr>'200'!OSRRefD21_1x_1</vt:lpstr>
      <vt:lpstr>'201'!OSRRefD21_1x_1</vt:lpstr>
      <vt:lpstr>'202'!OSRRefD21_1x_1</vt:lpstr>
      <vt:lpstr>'203'!OSRRefD21_1x_1</vt:lpstr>
      <vt:lpstr>'204'!OSRRefD21_1x_1</vt:lpstr>
      <vt:lpstr>'205'!OSRRefD21_1x_1</vt:lpstr>
      <vt:lpstr>'206'!OSRRefD21_1x_1</vt:lpstr>
      <vt:lpstr>'300'!OSRRefD21_1x_1</vt:lpstr>
      <vt:lpstr>'300 &amp; 317'!OSRRefD21_1x_1</vt:lpstr>
      <vt:lpstr>'301'!OSRRefD21_1x_1</vt:lpstr>
      <vt:lpstr>'307'!OSRRefD21_1x_1</vt:lpstr>
      <vt:lpstr>'308'!OSRRefD21_1x_1</vt:lpstr>
      <vt:lpstr>'309'!OSRRefD21_1x_1</vt:lpstr>
      <vt:lpstr>'310'!OSRRefD21_1x_1</vt:lpstr>
      <vt:lpstr>'310 &amp; 491'!OSRRefD21_1x_1</vt:lpstr>
      <vt:lpstr>'311'!OSRRefD21_1x_1</vt:lpstr>
      <vt:lpstr>'313'!OSRRefD21_1x_1</vt:lpstr>
      <vt:lpstr>'315'!OSRRefD21_1x_1</vt:lpstr>
      <vt:lpstr>'316'!OSRRefD21_1x_1</vt:lpstr>
      <vt:lpstr>'317'!OSRRefD21_1x_1</vt:lpstr>
      <vt:lpstr>'321'!OSRRefD21_1x_1</vt:lpstr>
      <vt:lpstr>'325'!OSRRefD21_1x_1</vt:lpstr>
      <vt:lpstr>'326'!OSRRefD21_1x_1</vt:lpstr>
      <vt:lpstr>'327'!OSRRefD21_1x_1</vt:lpstr>
      <vt:lpstr>'331'!OSRRefD21_1x_1</vt:lpstr>
      <vt:lpstr>'332'!OSRRefD21_1x_1</vt:lpstr>
      <vt:lpstr>'333'!OSRRefD21_1x_1</vt:lpstr>
      <vt:lpstr>'405'!OSRRefD21_1x_1</vt:lpstr>
      <vt:lpstr>'411'!OSRRefD21_1x_1</vt:lpstr>
      <vt:lpstr>'412'!OSRRefD21_1x_1</vt:lpstr>
      <vt:lpstr>'413'!OSRRefD21_1x_1</vt:lpstr>
      <vt:lpstr>'414'!OSRRefD21_1x_1</vt:lpstr>
      <vt:lpstr>'415'!OSRRefD21_1x_1</vt:lpstr>
      <vt:lpstr>'418'!OSRRefD21_1x_1</vt:lpstr>
      <vt:lpstr>'423'!OSRRefD21_1x_1</vt:lpstr>
      <vt:lpstr>'424'!OSRRefD21_1x_1</vt:lpstr>
      <vt:lpstr>'425'!OSRRefD21_1x_1</vt:lpstr>
      <vt:lpstr>'430'!OSRRefD21_1x_1</vt:lpstr>
      <vt:lpstr>'433'!OSRRefD21_1x_1</vt:lpstr>
      <vt:lpstr>'435'!OSRRefD21_1x_1</vt:lpstr>
      <vt:lpstr>'444'!OSRRefD21_1x_1</vt:lpstr>
      <vt:lpstr>'450'!OSRRefD21_1x_1</vt:lpstr>
      <vt:lpstr>'491'!OSRRefD21_1x_1</vt:lpstr>
      <vt:lpstr>'492'!OSRRefD21_1x_1</vt:lpstr>
      <vt:lpstr>'501'!OSRRefD21_1x_1</vt:lpstr>
      <vt:lpstr>'Div 2'!OSRRefD21_1x_1</vt:lpstr>
      <vt:lpstr>'Div 3'!OSRRefD21_1x_1</vt:lpstr>
      <vt:lpstr>'Div 4'!OSRRefD21_1x_1</vt:lpstr>
      <vt:lpstr>'Div 5'!OSRRefD21_1x_1</vt:lpstr>
      <vt:lpstr>'Div 6'!OSRRefD21_1x_1</vt:lpstr>
      <vt:lpstr>Summary!OSRRefD21_1x_1</vt:lpstr>
      <vt:lpstr>'200'!OSRRefD21_1x_2</vt:lpstr>
      <vt:lpstr>'201'!OSRRefD21_1x_2</vt:lpstr>
      <vt:lpstr>'202'!OSRRefD21_1x_2</vt:lpstr>
      <vt:lpstr>'203'!OSRRefD21_1x_2</vt:lpstr>
      <vt:lpstr>'204'!OSRRefD21_1x_2</vt:lpstr>
      <vt:lpstr>'205'!OSRRefD21_1x_2</vt:lpstr>
      <vt:lpstr>'206'!OSRRefD21_1x_2</vt:lpstr>
      <vt:lpstr>'300'!OSRRefD21_1x_2</vt:lpstr>
      <vt:lpstr>'300 &amp; 317'!OSRRefD21_1x_2</vt:lpstr>
      <vt:lpstr>'301'!OSRRefD21_1x_2</vt:lpstr>
      <vt:lpstr>'307'!OSRRefD21_1x_2</vt:lpstr>
      <vt:lpstr>'308'!OSRRefD21_1x_2</vt:lpstr>
      <vt:lpstr>'309'!OSRRefD21_1x_2</vt:lpstr>
      <vt:lpstr>'310'!OSRRefD21_1x_2</vt:lpstr>
      <vt:lpstr>'310 &amp; 491'!OSRRefD21_1x_2</vt:lpstr>
      <vt:lpstr>'311'!OSRRefD21_1x_2</vt:lpstr>
      <vt:lpstr>'313'!OSRRefD21_1x_2</vt:lpstr>
      <vt:lpstr>'315'!OSRRefD21_1x_2</vt:lpstr>
      <vt:lpstr>'316'!OSRRefD21_1x_2</vt:lpstr>
      <vt:lpstr>'317'!OSRRefD21_1x_2</vt:lpstr>
      <vt:lpstr>'321'!OSRRefD21_1x_2</vt:lpstr>
      <vt:lpstr>'325'!OSRRefD21_1x_2</vt:lpstr>
      <vt:lpstr>'326'!OSRRefD21_1x_2</vt:lpstr>
      <vt:lpstr>'327'!OSRRefD21_1x_2</vt:lpstr>
      <vt:lpstr>'331'!OSRRefD21_1x_2</vt:lpstr>
      <vt:lpstr>'332'!OSRRefD21_1x_2</vt:lpstr>
      <vt:lpstr>'333'!OSRRefD21_1x_2</vt:lpstr>
      <vt:lpstr>'405'!OSRRefD21_1x_2</vt:lpstr>
      <vt:lpstr>'411'!OSRRefD21_1x_2</vt:lpstr>
      <vt:lpstr>'412'!OSRRefD21_1x_2</vt:lpstr>
      <vt:lpstr>'413'!OSRRefD21_1x_2</vt:lpstr>
      <vt:lpstr>'414'!OSRRefD21_1x_2</vt:lpstr>
      <vt:lpstr>'415'!OSRRefD21_1x_2</vt:lpstr>
      <vt:lpstr>'418'!OSRRefD21_1x_2</vt:lpstr>
      <vt:lpstr>'423'!OSRRefD21_1x_2</vt:lpstr>
      <vt:lpstr>'424'!OSRRefD21_1x_2</vt:lpstr>
      <vt:lpstr>'425'!OSRRefD21_1x_2</vt:lpstr>
      <vt:lpstr>'430'!OSRRefD21_1x_2</vt:lpstr>
      <vt:lpstr>'433'!OSRRefD21_1x_2</vt:lpstr>
      <vt:lpstr>'435'!OSRRefD21_1x_2</vt:lpstr>
      <vt:lpstr>'444'!OSRRefD21_1x_2</vt:lpstr>
      <vt:lpstr>'450'!OSRRefD21_1x_2</vt:lpstr>
      <vt:lpstr>'491'!OSRRefD21_1x_2</vt:lpstr>
      <vt:lpstr>'492'!OSRRefD21_1x_2</vt:lpstr>
      <vt:lpstr>'501'!OSRRefD21_1x_2</vt:lpstr>
      <vt:lpstr>'Div 2'!OSRRefD21_1x_2</vt:lpstr>
      <vt:lpstr>'Div 3'!OSRRefD21_1x_2</vt:lpstr>
      <vt:lpstr>'Div 4'!OSRRefD21_1x_2</vt:lpstr>
      <vt:lpstr>'Div 5'!OSRRefD21_1x_2</vt:lpstr>
      <vt:lpstr>'Div 6'!OSRRefD21_1x_2</vt:lpstr>
      <vt:lpstr>Summary!OSRRefD21_1x_2</vt:lpstr>
      <vt:lpstr>'200'!OSRRefD21_1x_3</vt:lpstr>
      <vt:lpstr>'201'!OSRRefD21_1x_3</vt:lpstr>
      <vt:lpstr>'202'!OSRRefD21_1x_3</vt:lpstr>
      <vt:lpstr>'203'!OSRRefD21_1x_3</vt:lpstr>
      <vt:lpstr>'204'!OSRRefD21_1x_3</vt:lpstr>
      <vt:lpstr>'205'!OSRRefD21_1x_3</vt:lpstr>
      <vt:lpstr>'206'!OSRRefD21_1x_3</vt:lpstr>
      <vt:lpstr>'300'!OSRRefD21_1x_3</vt:lpstr>
      <vt:lpstr>'300 &amp; 317'!OSRRefD21_1x_3</vt:lpstr>
      <vt:lpstr>'301'!OSRRefD21_1x_3</vt:lpstr>
      <vt:lpstr>'307'!OSRRefD21_1x_3</vt:lpstr>
      <vt:lpstr>'308'!OSRRefD21_1x_3</vt:lpstr>
      <vt:lpstr>'309'!OSRRefD21_1x_3</vt:lpstr>
      <vt:lpstr>'310'!OSRRefD21_1x_3</vt:lpstr>
      <vt:lpstr>'310 &amp; 491'!OSRRefD21_1x_3</vt:lpstr>
      <vt:lpstr>'311'!OSRRefD21_1x_3</vt:lpstr>
      <vt:lpstr>'313'!OSRRefD21_1x_3</vt:lpstr>
      <vt:lpstr>'315'!OSRRefD21_1x_3</vt:lpstr>
      <vt:lpstr>'316'!OSRRefD21_1x_3</vt:lpstr>
      <vt:lpstr>'317'!OSRRefD21_1x_3</vt:lpstr>
      <vt:lpstr>'321'!OSRRefD21_1x_3</vt:lpstr>
      <vt:lpstr>'325'!OSRRefD21_1x_3</vt:lpstr>
      <vt:lpstr>'326'!OSRRefD21_1x_3</vt:lpstr>
      <vt:lpstr>'327'!OSRRefD21_1x_3</vt:lpstr>
      <vt:lpstr>'331'!OSRRefD21_1x_3</vt:lpstr>
      <vt:lpstr>'332'!OSRRefD21_1x_3</vt:lpstr>
      <vt:lpstr>'333'!OSRRefD21_1x_3</vt:lpstr>
      <vt:lpstr>'405'!OSRRefD21_1x_3</vt:lpstr>
      <vt:lpstr>'411'!OSRRefD21_1x_3</vt:lpstr>
      <vt:lpstr>'412'!OSRRefD21_1x_3</vt:lpstr>
      <vt:lpstr>'413'!OSRRefD21_1x_3</vt:lpstr>
      <vt:lpstr>'414'!OSRRefD21_1x_3</vt:lpstr>
      <vt:lpstr>'415'!OSRRefD21_1x_3</vt:lpstr>
      <vt:lpstr>'418'!OSRRefD21_1x_3</vt:lpstr>
      <vt:lpstr>'423'!OSRRefD21_1x_3</vt:lpstr>
      <vt:lpstr>'424'!OSRRefD21_1x_3</vt:lpstr>
      <vt:lpstr>'425'!OSRRefD21_1x_3</vt:lpstr>
      <vt:lpstr>'430'!OSRRefD21_1x_3</vt:lpstr>
      <vt:lpstr>'433'!OSRRefD21_1x_3</vt:lpstr>
      <vt:lpstr>'435'!OSRRefD21_1x_3</vt:lpstr>
      <vt:lpstr>'444'!OSRRefD21_1x_3</vt:lpstr>
      <vt:lpstr>'450'!OSRRefD21_1x_3</vt:lpstr>
      <vt:lpstr>'491'!OSRRefD21_1x_3</vt:lpstr>
      <vt:lpstr>'492'!OSRRefD21_1x_3</vt:lpstr>
      <vt:lpstr>'501'!OSRRefD21_1x_3</vt:lpstr>
      <vt:lpstr>'Div 2'!OSRRefD21_1x_3</vt:lpstr>
      <vt:lpstr>'Div 3'!OSRRefD21_1x_3</vt:lpstr>
      <vt:lpstr>'Div 4'!OSRRefD21_1x_3</vt:lpstr>
      <vt:lpstr>'Div 5'!OSRRefD21_1x_3</vt:lpstr>
      <vt:lpstr>'Div 6'!OSRRefD21_1x_3</vt:lpstr>
      <vt:lpstr>Summary!OSRRefD21_1x_3</vt:lpstr>
      <vt:lpstr>'200'!OSRRefD21_1x_4</vt:lpstr>
      <vt:lpstr>'201'!OSRRefD21_1x_4</vt:lpstr>
      <vt:lpstr>'202'!OSRRefD21_1x_4</vt:lpstr>
      <vt:lpstr>'203'!OSRRefD21_1x_4</vt:lpstr>
      <vt:lpstr>'204'!OSRRefD21_1x_4</vt:lpstr>
      <vt:lpstr>'205'!OSRRefD21_1x_4</vt:lpstr>
      <vt:lpstr>'206'!OSRRefD21_1x_4</vt:lpstr>
      <vt:lpstr>'300'!OSRRefD21_1x_4</vt:lpstr>
      <vt:lpstr>'300 &amp; 317'!OSRRefD21_1x_4</vt:lpstr>
      <vt:lpstr>'301'!OSRRefD21_1x_4</vt:lpstr>
      <vt:lpstr>'307'!OSRRefD21_1x_4</vt:lpstr>
      <vt:lpstr>'308'!OSRRefD21_1x_4</vt:lpstr>
      <vt:lpstr>'309'!OSRRefD21_1x_4</vt:lpstr>
      <vt:lpstr>'310'!OSRRefD21_1x_4</vt:lpstr>
      <vt:lpstr>'310 &amp; 491'!OSRRefD21_1x_4</vt:lpstr>
      <vt:lpstr>'311'!OSRRefD21_1x_4</vt:lpstr>
      <vt:lpstr>'313'!OSRRefD21_1x_4</vt:lpstr>
      <vt:lpstr>'315'!OSRRefD21_1x_4</vt:lpstr>
      <vt:lpstr>'316'!OSRRefD21_1x_4</vt:lpstr>
      <vt:lpstr>'317'!OSRRefD21_1x_4</vt:lpstr>
      <vt:lpstr>'321'!OSRRefD21_1x_4</vt:lpstr>
      <vt:lpstr>'325'!OSRRefD21_1x_4</vt:lpstr>
      <vt:lpstr>'326'!OSRRefD21_1x_4</vt:lpstr>
      <vt:lpstr>'327'!OSRRefD21_1x_4</vt:lpstr>
      <vt:lpstr>'331'!OSRRefD21_1x_4</vt:lpstr>
      <vt:lpstr>'332'!OSRRefD21_1x_4</vt:lpstr>
      <vt:lpstr>'333'!OSRRefD21_1x_4</vt:lpstr>
      <vt:lpstr>'405'!OSRRefD21_1x_4</vt:lpstr>
      <vt:lpstr>'411'!OSRRefD21_1x_4</vt:lpstr>
      <vt:lpstr>'412'!OSRRefD21_1x_4</vt:lpstr>
      <vt:lpstr>'413'!OSRRefD21_1x_4</vt:lpstr>
      <vt:lpstr>'414'!OSRRefD21_1x_4</vt:lpstr>
      <vt:lpstr>'415'!OSRRefD21_1x_4</vt:lpstr>
      <vt:lpstr>'418'!OSRRefD21_1x_4</vt:lpstr>
      <vt:lpstr>'423'!OSRRefD21_1x_4</vt:lpstr>
      <vt:lpstr>'424'!OSRRefD21_1x_4</vt:lpstr>
      <vt:lpstr>'425'!OSRRefD21_1x_4</vt:lpstr>
      <vt:lpstr>'430'!OSRRefD21_1x_4</vt:lpstr>
      <vt:lpstr>'433'!OSRRefD21_1x_4</vt:lpstr>
      <vt:lpstr>'435'!OSRRefD21_1x_4</vt:lpstr>
      <vt:lpstr>'444'!OSRRefD21_1x_4</vt:lpstr>
      <vt:lpstr>'450'!OSRRefD21_1x_4</vt:lpstr>
      <vt:lpstr>'491'!OSRRefD21_1x_4</vt:lpstr>
      <vt:lpstr>'492'!OSRRefD21_1x_4</vt:lpstr>
      <vt:lpstr>'501'!OSRRefD21_1x_4</vt:lpstr>
      <vt:lpstr>'Div 2'!OSRRefD21_1x_4</vt:lpstr>
      <vt:lpstr>'Div 3'!OSRRefD21_1x_4</vt:lpstr>
      <vt:lpstr>'Div 4'!OSRRefD21_1x_4</vt:lpstr>
      <vt:lpstr>'Div 5'!OSRRefD21_1x_4</vt:lpstr>
      <vt:lpstr>'Div 6'!OSRRefD21_1x_4</vt:lpstr>
      <vt:lpstr>Summary!OSRRefD21_1x_4</vt:lpstr>
      <vt:lpstr>'200'!OSRRefD21_1x_5</vt:lpstr>
      <vt:lpstr>'201'!OSRRefD21_1x_5</vt:lpstr>
      <vt:lpstr>'202'!OSRRefD21_1x_5</vt:lpstr>
      <vt:lpstr>'203'!OSRRefD21_1x_5</vt:lpstr>
      <vt:lpstr>'204'!OSRRefD21_1x_5</vt:lpstr>
      <vt:lpstr>'205'!OSRRefD21_1x_5</vt:lpstr>
      <vt:lpstr>'206'!OSRRefD21_1x_5</vt:lpstr>
      <vt:lpstr>'300'!OSRRefD21_1x_5</vt:lpstr>
      <vt:lpstr>'300 &amp; 317'!OSRRefD21_1x_5</vt:lpstr>
      <vt:lpstr>'301'!OSRRefD21_1x_5</vt:lpstr>
      <vt:lpstr>'307'!OSRRefD21_1x_5</vt:lpstr>
      <vt:lpstr>'308'!OSRRefD21_1x_5</vt:lpstr>
      <vt:lpstr>'309'!OSRRefD21_1x_5</vt:lpstr>
      <vt:lpstr>'310'!OSRRefD21_1x_5</vt:lpstr>
      <vt:lpstr>'310 &amp; 491'!OSRRefD21_1x_5</vt:lpstr>
      <vt:lpstr>'311'!OSRRefD21_1x_5</vt:lpstr>
      <vt:lpstr>'313'!OSRRefD21_1x_5</vt:lpstr>
      <vt:lpstr>'315'!OSRRefD21_1x_5</vt:lpstr>
      <vt:lpstr>'316'!OSRRefD21_1x_5</vt:lpstr>
      <vt:lpstr>'317'!OSRRefD21_1x_5</vt:lpstr>
      <vt:lpstr>'321'!OSRRefD21_1x_5</vt:lpstr>
      <vt:lpstr>'325'!OSRRefD21_1x_5</vt:lpstr>
      <vt:lpstr>'326'!OSRRefD21_1x_5</vt:lpstr>
      <vt:lpstr>'327'!OSRRefD21_1x_5</vt:lpstr>
      <vt:lpstr>'331'!OSRRefD21_1x_5</vt:lpstr>
      <vt:lpstr>'332'!OSRRefD21_1x_5</vt:lpstr>
      <vt:lpstr>'333'!OSRRefD21_1x_5</vt:lpstr>
      <vt:lpstr>'405'!OSRRefD21_1x_5</vt:lpstr>
      <vt:lpstr>'411'!OSRRefD21_1x_5</vt:lpstr>
      <vt:lpstr>'412'!OSRRefD21_1x_5</vt:lpstr>
      <vt:lpstr>'413'!OSRRefD21_1x_5</vt:lpstr>
      <vt:lpstr>'414'!OSRRefD21_1x_5</vt:lpstr>
      <vt:lpstr>'415'!OSRRefD21_1x_5</vt:lpstr>
      <vt:lpstr>'418'!OSRRefD21_1x_5</vt:lpstr>
      <vt:lpstr>'423'!OSRRefD21_1x_5</vt:lpstr>
      <vt:lpstr>'424'!OSRRefD21_1x_5</vt:lpstr>
      <vt:lpstr>'425'!OSRRefD21_1x_5</vt:lpstr>
      <vt:lpstr>'430'!OSRRefD21_1x_5</vt:lpstr>
      <vt:lpstr>'433'!OSRRefD21_1x_5</vt:lpstr>
      <vt:lpstr>'435'!OSRRefD21_1x_5</vt:lpstr>
      <vt:lpstr>'444'!OSRRefD21_1x_5</vt:lpstr>
      <vt:lpstr>'450'!OSRRefD21_1x_5</vt:lpstr>
      <vt:lpstr>'491'!OSRRefD21_1x_5</vt:lpstr>
      <vt:lpstr>'492'!OSRRefD21_1x_5</vt:lpstr>
      <vt:lpstr>'501'!OSRRefD21_1x_5</vt:lpstr>
      <vt:lpstr>'Div 2'!OSRRefD21_1x_5</vt:lpstr>
      <vt:lpstr>'Div 3'!OSRRefD21_1x_5</vt:lpstr>
      <vt:lpstr>'Div 4'!OSRRefD21_1x_5</vt:lpstr>
      <vt:lpstr>'Div 5'!OSRRefD21_1x_5</vt:lpstr>
      <vt:lpstr>'Div 6'!OSRRefD21_1x_5</vt:lpstr>
      <vt:lpstr>Summary!OSRRefD21_1x_5</vt:lpstr>
      <vt:lpstr>'200'!OSRRefD21_1x_6</vt:lpstr>
      <vt:lpstr>'201'!OSRRefD21_1x_6</vt:lpstr>
      <vt:lpstr>'202'!OSRRefD21_1x_6</vt:lpstr>
      <vt:lpstr>'203'!OSRRefD21_1x_6</vt:lpstr>
      <vt:lpstr>'204'!OSRRefD21_1x_6</vt:lpstr>
      <vt:lpstr>'205'!OSRRefD21_1x_6</vt:lpstr>
      <vt:lpstr>'206'!OSRRefD21_1x_6</vt:lpstr>
      <vt:lpstr>'300'!OSRRefD21_1x_6</vt:lpstr>
      <vt:lpstr>'300 &amp; 317'!OSRRefD21_1x_6</vt:lpstr>
      <vt:lpstr>'301'!OSRRefD21_1x_6</vt:lpstr>
      <vt:lpstr>'307'!OSRRefD21_1x_6</vt:lpstr>
      <vt:lpstr>'308'!OSRRefD21_1x_6</vt:lpstr>
      <vt:lpstr>'309'!OSRRefD21_1x_6</vt:lpstr>
      <vt:lpstr>'310'!OSRRefD21_1x_6</vt:lpstr>
      <vt:lpstr>'310 &amp; 491'!OSRRefD21_1x_6</vt:lpstr>
      <vt:lpstr>'311'!OSRRefD21_1x_6</vt:lpstr>
      <vt:lpstr>'313'!OSRRefD21_1x_6</vt:lpstr>
      <vt:lpstr>'315'!OSRRefD21_1x_6</vt:lpstr>
      <vt:lpstr>'316'!OSRRefD21_1x_6</vt:lpstr>
      <vt:lpstr>'317'!OSRRefD21_1x_6</vt:lpstr>
      <vt:lpstr>'321'!OSRRefD21_1x_6</vt:lpstr>
      <vt:lpstr>'325'!OSRRefD21_1x_6</vt:lpstr>
      <vt:lpstr>'326'!OSRRefD21_1x_6</vt:lpstr>
      <vt:lpstr>'327'!OSRRefD21_1x_6</vt:lpstr>
      <vt:lpstr>'331'!OSRRefD21_1x_6</vt:lpstr>
      <vt:lpstr>'332'!OSRRefD21_1x_6</vt:lpstr>
      <vt:lpstr>'333'!OSRRefD21_1x_6</vt:lpstr>
      <vt:lpstr>'405'!OSRRefD21_1x_6</vt:lpstr>
      <vt:lpstr>'411'!OSRRefD21_1x_6</vt:lpstr>
      <vt:lpstr>'412'!OSRRefD21_1x_6</vt:lpstr>
      <vt:lpstr>'413'!OSRRefD21_1x_6</vt:lpstr>
      <vt:lpstr>'414'!OSRRefD21_1x_6</vt:lpstr>
      <vt:lpstr>'415'!OSRRefD21_1x_6</vt:lpstr>
      <vt:lpstr>'418'!OSRRefD21_1x_6</vt:lpstr>
      <vt:lpstr>'423'!OSRRefD21_1x_6</vt:lpstr>
      <vt:lpstr>'424'!OSRRefD21_1x_6</vt:lpstr>
      <vt:lpstr>'425'!OSRRefD21_1x_6</vt:lpstr>
      <vt:lpstr>'430'!OSRRefD21_1x_6</vt:lpstr>
      <vt:lpstr>'433'!OSRRefD21_1x_6</vt:lpstr>
      <vt:lpstr>'435'!OSRRefD21_1x_6</vt:lpstr>
      <vt:lpstr>'444'!OSRRefD21_1x_6</vt:lpstr>
      <vt:lpstr>'450'!OSRRefD21_1x_6</vt:lpstr>
      <vt:lpstr>'491'!OSRRefD21_1x_6</vt:lpstr>
      <vt:lpstr>'492'!OSRRefD21_1x_6</vt:lpstr>
      <vt:lpstr>'501'!OSRRefD21_1x_6</vt:lpstr>
      <vt:lpstr>'Div 2'!OSRRefD21_1x_6</vt:lpstr>
      <vt:lpstr>'Div 3'!OSRRefD21_1x_6</vt:lpstr>
      <vt:lpstr>'Div 4'!OSRRefD21_1x_6</vt:lpstr>
      <vt:lpstr>'Div 5'!OSRRefD21_1x_6</vt:lpstr>
      <vt:lpstr>'Div 6'!OSRRefD21_1x_6</vt:lpstr>
      <vt:lpstr>Summary!OSRRefD21_1x_6</vt:lpstr>
      <vt:lpstr>'200'!OSRRefD21_1x_7</vt:lpstr>
      <vt:lpstr>'201'!OSRRefD21_1x_7</vt:lpstr>
      <vt:lpstr>'202'!OSRRefD21_1x_7</vt:lpstr>
      <vt:lpstr>'203'!OSRRefD21_1x_7</vt:lpstr>
      <vt:lpstr>'204'!OSRRefD21_1x_7</vt:lpstr>
      <vt:lpstr>'205'!OSRRefD21_1x_7</vt:lpstr>
      <vt:lpstr>'206'!OSRRefD21_1x_7</vt:lpstr>
      <vt:lpstr>'300'!OSRRefD21_1x_7</vt:lpstr>
      <vt:lpstr>'300 &amp; 317'!OSRRefD21_1x_7</vt:lpstr>
      <vt:lpstr>'301'!OSRRefD21_1x_7</vt:lpstr>
      <vt:lpstr>'307'!OSRRefD21_1x_7</vt:lpstr>
      <vt:lpstr>'308'!OSRRefD21_1x_7</vt:lpstr>
      <vt:lpstr>'309'!OSRRefD21_1x_7</vt:lpstr>
      <vt:lpstr>'310'!OSRRefD21_1x_7</vt:lpstr>
      <vt:lpstr>'310 &amp; 491'!OSRRefD21_1x_7</vt:lpstr>
      <vt:lpstr>'311'!OSRRefD21_1x_7</vt:lpstr>
      <vt:lpstr>'313'!OSRRefD21_1x_7</vt:lpstr>
      <vt:lpstr>'315'!OSRRefD21_1x_7</vt:lpstr>
      <vt:lpstr>'316'!OSRRefD21_1x_7</vt:lpstr>
      <vt:lpstr>'317'!OSRRefD21_1x_7</vt:lpstr>
      <vt:lpstr>'321'!OSRRefD21_1x_7</vt:lpstr>
      <vt:lpstr>'325'!OSRRefD21_1x_7</vt:lpstr>
      <vt:lpstr>'326'!OSRRefD21_1x_7</vt:lpstr>
      <vt:lpstr>'327'!OSRRefD21_1x_7</vt:lpstr>
      <vt:lpstr>'331'!OSRRefD21_1x_7</vt:lpstr>
      <vt:lpstr>'332'!OSRRefD21_1x_7</vt:lpstr>
      <vt:lpstr>'333'!OSRRefD21_1x_7</vt:lpstr>
      <vt:lpstr>'405'!OSRRefD21_1x_7</vt:lpstr>
      <vt:lpstr>'411'!OSRRefD21_1x_7</vt:lpstr>
      <vt:lpstr>'412'!OSRRefD21_1x_7</vt:lpstr>
      <vt:lpstr>'413'!OSRRefD21_1x_7</vt:lpstr>
      <vt:lpstr>'414'!OSRRefD21_1x_7</vt:lpstr>
      <vt:lpstr>'415'!OSRRefD21_1x_7</vt:lpstr>
      <vt:lpstr>'418'!OSRRefD21_1x_7</vt:lpstr>
      <vt:lpstr>'423'!OSRRefD21_1x_7</vt:lpstr>
      <vt:lpstr>'424'!OSRRefD21_1x_7</vt:lpstr>
      <vt:lpstr>'425'!OSRRefD21_1x_7</vt:lpstr>
      <vt:lpstr>'430'!OSRRefD21_1x_7</vt:lpstr>
      <vt:lpstr>'433'!OSRRefD21_1x_7</vt:lpstr>
      <vt:lpstr>'435'!OSRRefD21_1x_7</vt:lpstr>
      <vt:lpstr>'444'!OSRRefD21_1x_7</vt:lpstr>
      <vt:lpstr>'450'!OSRRefD21_1x_7</vt:lpstr>
      <vt:lpstr>'491'!OSRRefD21_1x_7</vt:lpstr>
      <vt:lpstr>'492'!OSRRefD21_1x_7</vt:lpstr>
      <vt:lpstr>'501'!OSRRefD21_1x_7</vt:lpstr>
      <vt:lpstr>'Div 2'!OSRRefD21_1x_7</vt:lpstr>
      <vt:lpstr>'Div 3'!OSRRefD21_1x_7</vt:lpstr>
      <vt:lpstr>'Div 4'!OSRRefD21_1x_7</vt:lpstr>
      <vt:lpstr>'Div 5'!OSRRefD21_1x_7</vt:lpstr>
      <vt:lpstr>'Div 6'!OSRRefD21_1x_7</vt:lpstr>
      <vt:lpstr>Summary!OSRRefD21_1x_7</vt:lpstr>
      <vt:lpstr>'200'!OSRRefD21_1x_8</vt:lpstr>
      <vt:lpstr>'201'!OSRRefD21_1x_8</vt:lpstr>
      <vt:lpstr>'202'!OSRRefD21_1x_8</vt:lpstr>
      <vt:lpstr>'203'!OSRRefD21_1x_8</vt:lpstr>
      <vt:lpstr>'204'!OSRRefD21_1x_8</vt:lpstr>
      <vt:lpstr>'205'!OSRRefD21_1x_8</vt:lpstr>
      <vt:lpstr>'206'!OSRRefD21_1x_8</vt:lpstr>
      <vt:lpstr>'300'!OSRRefD21_1x_8</vt:lpstr>
      <vt:lpstr>'300 &amp; 317'!OSRRefD21_1x_8</vt:lpstr>
      <vt:lpstr>'301'!OSRRefD21_1x_8</vt:lpstr>
      <vt:lpstr>'307'!OSRRefD21_1x_8</vt:lpstr>
      <vt:lpstr>'308'!OSRRefD21_1x_8</vt:lpstr>
      <vt:lpstr>'309'!OSRRefD21_1x_8</vt:lpstr>
      <vt:lpstr>'310'!OSRRefD21_1x_8</vt:lpstr>
      <vt:lpstr>'310 &amp; 491'!OSRRefD21_1x_8</vt:lpstr>
      <vt:lpstr>'311'!OSRRefD21_1x_8</vt:lpstr>
      <vt:lpstr>'313'!OSRRefD21_1x_8</vt:lpstr>
      <vt:lpstr>'315'!OSRRefD21_1x_8</vt:lpstr>
      <vt:lpstr>'316'!OSRRefD21_1x_8</vt:lpstr>
      <vt:lpstr>'317'!OSRRefD21_1x_8</vt:lpstr>
      <vt:lpstr>'321'!OSRRefD21_1x_8</vt:lpstr>
      <vt:lpstr>'325'!OSRRefD21_1x_8</vt:lpstr>
      <vt:lpstr>'326'!OSRRefD21_1x_8</vt:lpstr>
      <vt:lpstr>'327'!OSRRefD21_1x_8</vt:lpstr>
      <vt:lpstr>'331'!OSRRefD21_1x_8</vt:lpstr>
      <vt:lpstr>'332'!OSRRefD21_1x_8</vt:lpstr>
      <vt:lpstr>'333'!OSRRefD21_1x_8</vt:lpstr>
      <vt:lpstr>'405'!OSRRefD21_1x_8</vt:lpstr>
      <vt:lpstr>'411'!OSRRefD21_1x_8</vt:lpstr>
      <vt:lpstr>'412'!OSRRefD21_1x_8</vt:lpstr>
      <vt:lpstr>'413'!OSRRefD21_1x_8</vt:lpstr>
      <vt:lpstr>'414'!OSRRefD21_1x_8</vt:lpstr>
      <vt:lpstr>'415'!OSRRefD21_1x_8</vt:lpstr>
      <vt:lpstr>'418'!OSRRefD21_1x_8</vt:lpstr>
      <vt:lpstr>'423'!OSRRefD21_1x_8</vt:lpstr>
      <vt:lpstr>'424'!OSRRefD21_1x_8</vt:lpstr>
      <vt:lpstr>'425'!OSRRefD21_1x_8</vt:lpstr>
      <vt:lpstr>'430'!OSRRefD21_1x_8</vt:lpstr>
      <vt:lpstr>'433'!OSRRefD21_1x_8</vt:lpstr>
      <vt:lpstr>'435'!OSRRefD21_1x_8</vt:lpstr>
      <vt:lpstr>'444'!OSRRefD21_1x_8</vt:lpstr>
      <vt:lpstr>'450'!OSRRefD21_1x_8</vt:lpstr>
      <vt:lpstr>'491'!OSRRefD21_1x_8</vt:lpstr>
      <vt:lpstr>'492'!OSRRefD21_1x_8</vt:lpstr>
      <vt:lpstr>'501'!OSRRefD21_1x_8</vt:lpstr>
      <vt:lpstr>'Div 2'!OSRRefD21_1x_8</vt:lpstr>
      <vt:lpstr>'Div 3'!OSRRefD21_1x_8</vt:lpstr>
      <vt:lpstr>'Div 4'!OSRRefD21_1x_8</vt:lpstr>
      <vt:lpstr>'Div 5'!OSRRefD21_1x_8</vt:lpstr>
      <vt:lpstr>'Div 6'!OSRRefD21_1x_8</vt:lpstr>
      <vt:lpstr>Summary!OSRRefD21_1x_8</vt:lpstr>
      <vt:lpstr>'200'!OSRRefD21_1x_9</vt:lpstr>
      <vt:lpstr>'201'!OSRRefD21_1x_9</vt:lpstr>
      <vt:lpstr>'202'!OSRRefD21_1x_9</vt:lpstr>
      <vt:lpstr>'203'!OSRRefD21_1x_9</vt:lpstr>
      <vt:lpstr>'204'!OSRRefD21_1x_9</vt:lpstr>
      <vt:lpstr>'205'!OSRRefD21_1x_9</vt:lpstr>
      <vt:lpstr>'206'!OSRRefD21_1x_9</vt:lpstr>
      <vt:lpstr>'300'!OSRRefD21_1x_9</vt:lpstr>
      <vt:lpstr>'300 &amp; 317'!OSRRefD21_1x_9</vt:lpstr>
      <vt:lpstr>'301'!OSRRefD21_1x_9</vt:lpstr>
      <vt:lpstr>'307'!OSRRefD21_1x_9</vt:lpstr>
      <vt:lpstr>'308'!OSRRefD21_1x_9</vt:lpstr>
      <vt:lpstr>'309'!OSRRefD21_1x_9</vt:lpstr>
      <vt:lpstr>'310'!OSRRefD21_1x_9</vt:lpstr>
      <vt:lpstr>'310 &amp; 491'!OSRRefD21_1x_9</vt:lpstr>
      <vt:lpstr>'311'!OSRRefD21_1x_9</vt:lpstr>
      <vt:lpstr>'313'!OSRRefD21_1x_9</vt:lpstr>
      <vt:lpstr>'315'!OSRRefD21_1x_9</vt:lpstr>
      <vt:lpstr>'316'!OSRRefD21_1x_9</vt:lpstr>
      <vt:lpstr>'317'!OSRRefD21_1x_9</vt:lpstr>
      <vt:lpstr>'321'!OSRRefD21_1x_9</vt:lpstr>
      <vt:lpstr>'325'!OSRRefD21_1x_9</vt:lpstr>
      <vt:lpstr>'326'!OSRRefD21_1x_9</vt:lpstr>
      <vt:lpstr>'327'!OSRRefD21_1x_9</vt:lpstr>
      <vt:lpstr>'331'!OSRRefD21_1x_9</vt:lpstr>
      <vt:lpstr>'332'!OSRRefD21_1x_9</vt:lpstr>
      <vt:lpstr>'333'!OSRRefD21_1x_9</vt:lpstr>
      <vt:lpstr>'405'!OSRRefD21_1x_9</vt:lpstr>
      <vt:lpstr>'411'!OSRRefD21_1x_9</vt:lpstr>
      <vt:lpstr>'412'!OSRRefD21_1x_9</vt:lpstr>
      <vt:lpstr>'413'!OSRRefD21_1x_9</vt:lpstr>
      <vt:lpstr>'414'!OSRRefD21_1x_9</vt:lpstr>
      <vt:lpstr>'415'!OSRRefD21_1x_9</vt:lpstr>
      <vt:lpstr>'418'!OSRRefD21_1x_9</vt:lpstr>
      <vt:lpstr>'423'!OSRRefD21_1x_9</vt:lpstr>
      <vt:lpstr>'424'!OSRRefD21_1x_9</vt:lpstr>
      <vt:lpstr>'425'!OSRRefD21_1x_9</vt:lpstr>
      <vt:lpstr>'430'!OSRRefD21_1x_9</vt:lpstr>
      <vt:lpstr>'433'!OSRRefD21_1x_9</vt:lpstr>
      <vt:lpstr>'435'!OSRRefD21_1x_9</vt:lpstr>
      <vt:lpstr>'444'!OSRRefD21_1x_9</vt:lpstr>
      <vt:lpstr>'450'!OSRRefD21_1x_9</vt:lpstr>
      <vt:lpstr>'491'!OSRRefD21_1x_9</vt:lpstr>
      <vt:lpstr>'492'!OSRRefD21_1x_9</vt:lpstr>
      <vt:lpstr>'501'!OSRRefD21_1x_9</vt:lpstr>
      <vt:lpstr>'Div 2'!OSRRefD21_1x_9</vt:lpstr>
      <vt:lpstr>'Div 3'!OSRRefD21_1x_9</vt:lpstr>
      <vt:lpstr>'Div 4'!OSRRefD21_1x_9</vt:lpstr>
      <vt:lpstr>'Div 5'!OSRRefD21_1x_9</vt:lpstr>
      <vt:lpstr>'Div 6'!OSRRefD21_1x_9</vt:lpstr>
      <vt:lpstr>Summary!OSRRefD21_1x_9</vt:lpstr>
      <vt:lpstr>'200'!OSRRefD21_2_0x</vt:lpstr>
      <vt:lpstr>'201'!OSRRefD21_2_0x</vt:lpstr>
      <vt:lpstr>'202'!OSRRefD21_2_0x</vt:lpstr>
      <vt:lpstr>'203'!OSRRefD21_2_0x</vt:lpstr>
      <vt:lpstr>'204'!OSRRefD21_2_0x</vt:lpstr>
      <vt:lpstr>'205'!OSRRefD21_2_0x</vt:lpstr>
      <vt:lpstr>'206'!OSRRefD21_2_0x</vt:lpstr>
      <vt:lpstr>'300'!OSRRefD21_2_0x</vt:lpstr>
      <vt:lpstr>'300 &amp; 317'!OSRRefD21_2_0x</vt:lpstr>
      <vt:lpstr>'301'!OSRRefD21_2_0x</vt:lpstr>
      <vt:lpstr>'307'!OSRRefD21_2_0x</vt:lpstr>
      <vt:lpstr>'308'!OSRRefD21_2_0x</vt:lpstr>
      <vt:lpstr>'309'!OSRRefD21_2_0x</vt:lpstr>
      <vt:lpstr>'310'!OSRRefD21_2_0x</vt:lpstr>
      <vt:lpstr>'310 &amp; 491'!OSRRefD21_2_0x</vt:lpstr>
      <vt:lpstr>'311'!OSRRefD21_2_0x</vt:lpstr>
      <vt:lpstr>'313'!OSRRefD21_2_0x</vt:lpstr>
      <vt:lpstr>'315'!OSRRefD21_2_0x</vt:lpstr>
      <vt:lpstr>'316'!OSRRefD21_2_0x</vt:lpstr>
      <vt:lpstr>'317'!OSRRefD21_2_0x</vt:lpstr>
      <vt:lpstr>'321'!OSRRefD21_2_0x</vt:lpstr>
      <vt:lpstr>'325'!OSRRefD21_2_0x</vt:lpstr>
      <vt:lpstr>'326'!OSRRefD21_2_0x</vt:lpstr>
      <vt:lpstr>'331'!OSRRefD21_2_0x</vt:lpstr>
      <vt:lpstr>'332'!OSRRefD21_2_0x</vt:lpstr>
      <vt:lpstr>'333'!OSRRefD21_2_0x</vt:lpstr>
      <vt:lpstr>'405'!OSRRefD21_2_0x</vt:lpstr>
      <vt:lpstr>'411'!OSRRefD21_2_0x</vt:lpstr>
      <vt:lpstr>'412'!OSRRefD21_2_0x</vt:lpstr>
      <vt:lpstr>'415'!OSRRefD21_2_0x</vt:lpstr>
      <vt:lpstr>'418'!OSRRefD21_2_0x</vt:lpstr>
      <vt:lpstr>'423'!OSRRefD21_2_0x</vt:lpstr>
      <vt:lpstr>'425'!OSRRefD21_2_0x</vt:lpstr>
      <vt:lpstr>'430'!OSRRefD21_2_0x</vt:lpstr>
      <vt:lpstr>'433'!OSRRefD21_2_0x</vt:lpstr>
      <vt:lpstr>'435'!OSRRefD21_2_0x</vt:lpstr>
      <vt:lpstr>'444'!OSRRefD21_2_0x</vt:lpstr>
      <vt:lpstr>'450'!OSRRefD21_2_0x</vt:lpstr>
      <vt:lpstr>'491'!OSRRefD21_2_0x</vt:lpstr>
      <vt:lpstr>'492'!OSRRefD21_2_0x</vt:lpstr>
      <vt:lpstr>'501'!OSRRefD21_2_0x</vt:lpstr>
      <vt:lpstr>'Div 2'!OSRRefD21_2_0x</vt:lpstr>
      <vt:lpstr>'Div 3'!OSRRefD21_2_0x</vt:lpstr>
      <vt:lpstr>'Div 4'!OSRRefD21_2_0x</vt:lpstr>
      <vt:lpstr>'Div 5'!OSRRefD21_2_0x</vt:lpstr>
      <vt:lpstr>'Div 6'!OSRRefD21_2_0x</vt:lpstr>
      <vt:lpstr>Summary!OSRRefD21_2_0x</vt:lpstr>
      <vt:lpstr>'204'!OSRRefD21_2_1x</vt:lpstr>
      <vt:lpstr>'300'!OSRRefD21_20_0x</vt:lpstr>
      <vt:lpstr>'300 &amp; 317'!OSRRefD21_20_0x</vt:lpstr>
      <vt:lpstr>'301'!OSRRefD21_20_0x</vt:lpstr>
      <vt:lpstr>'310 &amp; 491'!OSRRefD21_20_0x</vt:lpstr>
      <vt:lpstr>'331'!OSRRefD21_20_0x</vt:lpstr>
      <vt:lpstr>'333'!OSRRefD21_20_0x</vt:lpstr>
      <vt:lpstr>'491'!OSRRefD21_20_0x</vt:lpstr>
      <vt:lpstr>'Div 3'!OSRRefD21_20_0x</vt:lpstr>
      <vt:lpstr>'Div 4'!OSRRefD21_20_0x</vt:lpstr>
      <vt:lpstr>Summary!OSRRefD21_20_0x</vt:lpstr>
      <vt:lpstr>'300'!OSRRefD21_20_1x</vt:lpstr>
      <vt:lpstr>'300 &amp; 317'!OSRRefD21_20_1x</vt:lpstr>
      <vt:lpstr>'Div 3'!OSRRefD21_20_1x</vt:lpstr>
      <vt:lpstr>Summary!OSRRefD21_20_1x</vt:lpstr>
      <vt:lpstr>'300'!OSRRefD21_20_2x</vt:lpstr>
      <vt:lpstr>'300 &amp; 317'!OSRRefD21_20_2x</vt:lpstr>
      <vt:lpstr>Summary!OSRRefD21_20_2x</vt:lpstr>
      <vt:lpstr>'300'!OSRRefD21_20_3x</vt:lpstr>
      <vt:lpstr>'300 &amp; 317'!OSRRefD21_20_3x</vt:lpstr>
      <vt:lpstr>Summary!OSRRefD21_20_3x</vt:lpstr>
      <vt:lpstr>'300'!OSRRefD21_20_4x</vt:lpstr>
      <vt:lpstr>'300 &amp; 317'!OSRRefD21_20_4x</vt:lpstr>
      <vt:lpstr>Summary!OSRRefD21_20_4x</vt:lpstr>
      <vt:lpstr>'300'!OSRRefD21_20_5x</vt:lpstr>
      <vt:lpstr>'300 &amp; 317'!OSRRefD21_20_5x</vt:lpstr>
      <vt:lpstr>'300'!OSRRefD21_20_6x</vt:lpstr>
      <vt:lpstr>'300 &amp; 317'!OSRRefD21_20_6x</vt:lpstr>
      <vt:lpstr>'300'!OSRRefD21_20x_0</vt:lpstr>
      <vt:lpstr>'300 &amp; 317'!OSRRefD21_20x_0</vt:lpstr>
      <vt:lpstr>'301'!OSRRefD21_20x_0</vt:lpstr>
      <vt:lpstr>'310 &amp; 491'!OSRRefD21_20x_0</vt:lpstr>
      <vt:lpstr>'331'!OSRRefD21_20x_0</vt:lpstr>
      <vt:lpstr>'333'!OSRRefD21_20x_0</vt:lpstr>
      <vt:lpstr>'491'!OSRRefD21_20x_0</vt:lpstr>
      <vt:lpstr>'Div 3'!OSRRefD21_20x_0</vt:lpstr>
      <vt:lpstr>'Div 4'!OSRRefD21_20x_0</vt:lpstr>
      <vt:lpstr>Summary!OSRRefD21_20x_0</vt:lpstr>
      <vt:lpstr>'300'!OSRRefD21_20x_1</vt:lpstr>
      <vt:lpstr>'300 &amp; 317'!OSRRefD21_20x_1</vt:lpstr>
      <vt:lpstr>'301'!OSRRefD21_20x_1</vt:lpstr>
      <vt:lpstr>'310 &amp; 491'!OSRRefD21_20x_1</vt:lpstr>
      <vt:lpstr>'331'!OSRRefD21_20x_1</vt:lpstr>
      <vt:lpstr>'333'!OSRRefD21_20x_1</vt:lpstr>
      <vt:lpstr>'491'!OSRRefD21_20x_1</vt:lpstr>
      <vt:lpstr>'Div 3'!OSRRefD21_20x_1</vt:lpstr>
      <vt:lpstr>'Div 4'!OSRRefD21_20x_1</vt:lpstr>
      <vt:lpstr>Summary!OSRRefD21_20x_1</vt:lpstr>
      <vt:lpstr>'300'!OSRRefD21_20x_2</vt:lpstr>
      <vt:lpstr>'300 &amp; 317'!OSRRefD21_20x_2</vt:lpstr>
      <vt:lpstr>'301'!OSRRefD21_20x_2</vt:lpstr>
      <vt:lpstr>'310 &amp; 491'!OSRRefD21_20x_2</vt:lpstr>
      <vt:lpstr>'331'!OSRRefD21_20x_2</vt:lpstr>
      <vt:lpstr>'333'!OSRRefD21_20x_2</vt:lpstr>
      <vt:lpstr>'491'!OSRRefD21_20x_2</vt:lpstr>
      <vt:lpstr>'Div 3'!OSRRefD21_20x_2</vt:lpstr>
      <vt:lpstr>'Div 4'!OSRRefD21_20x_2</vt:lpstr>
      <vt:lpstr>Summary!OSRRefD21_20x_2</vt:lpstr>
      <vt:lpstr>'300'!OSRRefD21_20x_3</vt:lpstr>
      <vt:lpstr>'300 &amp; 317'!OSRRefD21_20x_3</vt:lpstr>
      <vt:lpstr>'301'!OSRRefD21_20x_3</vt:lpstr>
      <vt:lpstr>'310 &amp; 491'!OSRRefD21_20x_3</vt:lpstr>
      <vt:lpstr>'331'!OSRRefD21_20x_3</vt:lpstr>
      <vt:lpstr>'333'!OSRRefD21_20x_3</vt:lpstr>
      <vt:lpstr>'491'!OSRRefD21_20x_3</vt:lpstr>
      <vt:lpstr>'Div 3'!OSRRefD21_20x_3</vt:lpstr>
      <vt:lpstr>'Div 4'!OSRRefD21_20x_3</vt:lpstr>
      <vt:lpstr>Summary!OSRRefD21_20x_3</vt:lpstr>
      <vt:lpstr>'300'!OSRRefD21_20x_4</vt:lpstr>
      <vt:lpstr>'300 &amp; 317'!OSRRefD21_20x_4</vt:lpstr>
      <vt:lpstr>'301'!OSRRefD21_20x_4</vt:lpstr>
      <vt:lpstr>'310 &amp; 491'!OSRRefD21_20x_4</vt:lpstr>
      <vt:lpstr>'331'!OSRRefD21_20x_4</vt:lpstr>
      <vt:lpstr>'333'!OSRRefD21_20x_4</vt:lpstr>
      <vt:lpstr>'491'!OSRRefD21_20x_4</vt:lpstr>
      <vt:lpstr>'Div 3'!OSRRefD21_20x_4</vt:lpstr>
      <vt:lpstr>'Div 4'!OSRRefD21_20x_4</vt:lpstr>
      <vt:lpstr>Summary!OSRRefD21_20x_4</vt:lpstr>
      <vt:lpstr>'300'!OSRRefD21_20x_5</vt:lpstr>
      <vt:lpstr>'300 &amp; 317'!OSRRefD21_20x_5</vt:lpstr>
      <vt:lpstr>'301'!OSRRefD21_20x_5</vt:lpstr>
      <vt:lpstr>'310 &amp; 491'!OSRRefD21_20x_5</vt:lpstr>
      <vt:lpstr>'331'!OSRRefD21_20x_5</vt:lpstr>
      <vt:lpstr>'333'!OSRRefD21_20x_5</vt:lpstr>
      <vt:lpstr>'491'!OSRRefD21_20x_5</vt:lpstr>
      <vt:lpstr>'Div 3'!OSRRefD21_20x_5</vt:lpstr>
      <vt:lpstr>'Div 4'!OSRRefD21_20x_5</vt:lpstr>
      <vt:lpstr>Summary!OSRRefD21_20x_5</vt:lpstr>
      <vt:lpstr>'300'!OSRRefD21_20x_6</vt:lpstr>
      <vt:lpstr>'300 &amp; 317'!OSRRefD21_20x_6</vt:lpstr>
      <vt:lpstr>'301'!OSRRefD21_20x_6</vt:lpstr>
      <vt:lpstr>'310 &amp; 491'!OSRRefD21_20x_6</vt:lpstr>
      <vt:lpstr>'331'!OSRRefD21_20x_6</vt:lpstr>
      <vt:lpstr>'333'!OSRRefD21_20x_6</vt:lpstr>
      <vt:lpstr>'491'!OSRRefD21_20x_6</vt:lpstr>
      <vt:lpstr>'Div 3'!OSRRefD21_20x_6</vt:lpstr>
      <vt:lpstr>'Div 4'!OSRRefD21_20x_6</vt:lpstr>
      <vt:lpstr>Summary!OSRRefD21_20x_6</vt:lpstr>
      <vt:lpstr>'300'!OSRRefD21_20x_7</vt:lpstr>
      <vt:lpstr>'300 &amp; 317'!OSRRefD21_20x_7</vt:lpstr>
      <vt:lpstr>'301'!OSRRefD21_20x_7</vt:lpstr>
      <vt:lpstr>'310 &amp; 491'!OSRRefD21_20x_7</vt:lpstr>
      <vt:lpstr>'331'!OSRRefD21_20x_7</vt:lpstr>
      <vt:lpstr>'333'!OSRRefD21_20x_7</vt:lpstr>
      <vt:lpstr>'491'!OSRRefD21_20x_7</vt:lpstr>
      <vt:lpstr>'Div 3'!OSRRefD21_20x_7</vt:lpstr>
      <vt:lpstr>'Div 4'!OSRRefD21_20x_7</vt:lpstr>
      <vt:lpstr>Summary!OSRRefD21_20x_7</vt:lpstr>
      <vt:lpstr>'300'!OSRRefD21_20x_8</vt:lpstr>
      <vt:lpstr>'300 &amp; 317'!OSRRefD21_20x_8</vt:lpstr>
      <vt:lpstr>'301'!OSRRefD21_20x_8</vt:lpstr>
      <vt:lpstr>'310 &amp; 491'!OSRRefD21_20x_8</vt:lpstr>
      <vt:lpstr>'331'!OSRRefD21_20x_8</vt:lpstr>
      <vt:lpstr>'333'!OSRRefD21_20x_8</vt:lpstr>
      <vt:lpstr>'491'!OSRRefD21_20x_8</vt:lpstr>
      <vt:lpstr>'Div 3'!OSRRefD21_20x_8</vt:lpstr>
      <vt:lpstr>'Div 4'!OSRRefD21_20x_8</vt:lpstr>
      <vt:lpstr>Summary!OSRRefD21_20x_8</vt:lpstr>
      <vt:lpstr>'300'!OSRRefD21_20x_9</vt:lpstr>
      <vt:lpstr>'300 &amp; 317'!OSRRefD21_20x_9</vt:lpstr>
      <vt:lpstr>'301'!OSRRefD21_20x_9</vt:lpstr>
      <vt:lpstr>'310 &amp; 491'!OSRRefD21_20x_9</vt:lpstr>
      <vt:lpstr>'331'!OSRRefD21_20x_9</vt:lpstr>
      <vt:lpstr>'333'!OSRRefD21_20x_9</vt:lpstr>
      <vt:lpstr>'491'!OSRRefD21_20x_9</vt:lpstr>
      <vt:lpstr>'Div 3'!OSRRefD21_20x_9</vt:lpstr>
      <vt:lpstr>'Div 4'!OSRRefD21_20x_9</vt:lpstr>
      <vt:lpstr>Summary!OSRRefD21_20x_9</vt:lpstr>
      <vt:lpstr>'300'!OSRRefD21_21_0x</vt:lpstr>
      <vt:lpstr>'300 &amp; 317'!OSRRefD21_21_0x</vt:lpstr>
      <vt:lpstr>'301'!OSRRefD21_21_0x</vt:lpstr>
      <vt:lpstr>'331'!OSRRefD21_21_0x</vt:lpstr>
      <vt:lpstr>'333'!OSRRefD21_21_0x</vt:lpstr>
      <vt:lpstr>'Div 3'!OSRRefD21_21_0x</vt:lpstr>
      <vt:lpstr>'Div 4'!OSRRefD21_21_0x</vt:lpstr>
      <vt:lpstr>Summary!OSRRefD21_21_0x</vt:lpstr>
      <vt:lpstr>'300'!OSRRefD21_21_1x</vt:lpstr>
      <vt:lpstr>'300 &amp; 317'!OSRRefD21_21_1x</vt:lpstr>
      <vt:lpstr>'301'!OSRRefD21_21_1x</vt:lpstr>
      <vt:lpstr>'331'!OSRRefD21_21_1x</vt:lpstr>
      <vt:lpstr>'333'!OSRRefD21_21_1x</vt:lpstr>
      <vt:lpstr>'Div 3'!OSRRefD21_21_1x</vt:lpstr>
      <vt:lpstr>'Div 4'!OSRRefD21_21_1x</vt:lpstr>
      <vt:lpstr>Summary!OSRRefD21_21_1x</vt:lpstr>
      <vt:lpstr>'Div 3'!OSRRefD21_21_2x</vt:lpstr>
      <vt:lpstr>'Div 3'!OSRRefD21_21_3x</vt:lpstr>
      <vt:lpstr>'Div 3'!OSRRefD21_21_4x</vt:lpstr>
      <vt:lpstr>'Div 3'!OSRRefD21_21_5x</vt:lpstr>
      <vt:lpstr>'Div 3'!OSRRefD21_21_6x</vt:lpstr>
      <vt:lpstr>'300'!OSRRefD21_21x_0</vt:lpstr>
      <vt:lpstr>'300 &amp; 317'!OSRRefD21_21x_0</vt:lpstr>
      <vt:lpstr>'301'!OSRRefD21_21x_0</vt:lpstr>
      <vt:lpstr>'331'!OSRRefD21_21x_0</vt:lpstr>
      <vt:lpstr>'333'!OSRRefD21_21x_0</vt:lpstr>
      <vt:lpstr>'Div 3'!OSRRefD21_21x_0</vt:lpstr>
      <vt:lpstr>'Div 4'!OSRRefD21_21x_0</vt:lpstr>
      <vt:lpstr>Summary!OSRRefD21_21x_0</vt:lpstr>
      <vt:lpstr>'300'!OSRRefD21_21x_1</vt:lpstr>
      <vt:lpstr>'300 &amp; 317'!OSRRefD21_21x_1</vt:lpstr>
      <vt:lpstr>'301'!OSRRefD21_21x_1</vt:lpstr>
      <vt:lpstr>'331'!OSRRefD21_21x_1</vt:lpstr>
      <vt:lpstr>'333'!OSRRefD21_21x_1</vt:lpstr>
      <vt:lpstr>'Div 3'!OSRRefD21_21x_1</vt:lpstr>
      <vt:lpstr>'Div 4'!OSRRefD21_21x_1</vt:lpstr>
      <vt:lpstr>Summary!OSRRefD21_21x_1</vt:lpstr>
      <vt:lpstr>'300'!OSRRefD21_21x_2</vt:lpstr>
      <vt:lpstr>'300 &amp; 317'!OSRRefD21_21x_2</vt:lpstr>
      <vt:lpstr>'301'!OSRRefD21_21x_2</vt:lpstr>
      <vt:lpstr>'331'!OSRRefD21_21x_2</vt:lpstr>
      <vt:lpstr>'333'!OSRRefD21_21x_2</vt:lpstr>
      <vt:lpstr>'Div 3'!OSRRefD21_21x_2</vt:lpstr>
      <vt:lpstr>'Div 4'!OSRRefD21_21x_2</vt:lpstr>
      <vt:lpstr>Summary!OSRRefD21_21x_2</vt:lpstr>
      <vt:lpstr>'300'!OSRRefD21_21x_3</vt:lpstr>
      <vt:lpstr>'300 &amp; 317'!OSRRefD21_21x_3</vt:lpstr>
      <vt:lpstr>'301'!OSRRefD21_21x_3</vt:lpstr>
      <vt:lpstr>'331'!OSRRefD21_21x_3</vt:lpstr>
      <vt:lpstr>'333'!OSRRefD21_21x_3</vt:lpstr>
      <vt:lpstr>'Div 3'!OSRRefD21_21x_3</vt:lpstr>
      <vt:lpstr>'Div 4'!OSRRefD21_21x_3</vt:lpstr>
      <vt:lpstr>Summary!OSRRefD21_21x_3</vt:lpstr>
      <vt:lpstr>'300'!OSRRefD21_21x_4</vt:lpstr>
      <vt:lpstr>'300 &amp; 317'!OSRRefD21_21x_4</vt:lpstr>
      <vt:lpstr>'301'!OSRRefD21_21x_4</vt:lpstr>
      <vt:lpstr>'331'!OSRRefD21_21x_4</vt:lpstr>
      <vt:lpstr>'333'!OSRRefD21_21x_4</vt:lpstr>
      <vt:lpstr>'Div 3'!OSRRefD21_21x_4</vt:lpstr>
      <vt:lpstr>'Div 4'!OSRRefD21_21x_4</vt:lpstr>
      <vt:lpstr>Summary!OSRRefD21_21x_4</vt:lpstr>
      <vt:lpstr>'300'!OSRRefD21_21x_5</vt:lpstr>
      <vt:lpstr>'300 &amp; 317'!OSRRefD21_21x_5</vt:lpstr>
      <vt:lpstr>'301'!OSRRefD21_21x_5</vt:lpstr>
      <vt:lpstr>'331'!OSRRefD21_21x_5</vt:lpstr>
      <vt:lpstr>'333'!OSRRefD21_21x_5</vt:lpstr>
      <vt:lpstr>'Div 3'!OSRRefD21_21x_5</vt:lpstr>
      <vt:lpstr>'Div 4'!OSRRefD21_21x_5</vt:lpstr>
      <vt:lpstr>Summary!OSRRefD21_21x_5</vt:lpstr>
      <vt:lpstr>'300'!OSRRefD21_21x_6</vt:lpstr>
      <vt:lpstr>'300 &amp; 317'!OSRRefD21_21x_6</vt:lpstr>
      <vt:lpstr>'301'!OSRRefD21_21x_6</vt:lpstr>
      <vt:lpstr>'331'!OSRRefD21_21x_6</vt:lpstr>
      <vt:lpstr>'333'!OSRRefD21_21x_6</vt:lpstr>
      <vt:lpstr>'Div 3'!OSRRefD21_21x_6</vt:lpstr>
      <vt:lpstr>'Div 4'!OSRRefD21_21x_6</vt:lpstr>
      <vt:lpstr>Summary!OSRRefD21_21x_6</vt:lpstr>
      <vt:lpstr>'300'!OSRRefD21_21x_7</vt:lpstr>
      <vt:lpstr>'300 &amp; 317'!OSRRefD21_21x_7</vt:lpstr>
      <vt:lpstr>'301'!OSRRefD21_21x_7</vt:lpstr>
      <vt:lpstr>'331'!OSRRefD21_21x_7</vt:lpstr>
      <vt:lpstr>'333'!OSRRefD21_21x_7</vt:lpstr>
      <vt:lpstr>'Div 3'!OSRRefD21_21x_7</vt:lpstr>
      <vt:lpstr>'Div 4'!OSRRefD21_21x_7</vt:lpstr>
      <vt:lpstr>Summary!OSRRefD21_21x_7</vt:lpstr>
      <vt:lpstr>'300'!OSRRefD21_21x_8</vt:lpstr>
      <vt:lpstr>'300 &amp; 317'!OSRRefD21_21x_8</vt:lpstr>
      <vt:lpstr>'301'!OSRRefD21_21x_8</vt:lpstr>
      <vt:lpstr>'331'!OSRRefD21_21x_8</vt:lpstr>
      <vt:lpstr>'333'!OSRRefD21_21x_8</vt:lpstr>
      <vt:lpstr>'Div 3'!OSRRefD21_21x_8</vt:lpstr>
      <vt:lpstr>'Div 4'!OSRRefD21_21x_8</vt:lpstr>
      <vt:lpstr>Summary!OSRRefD21_21x_8</vt:lpstr>
      <vt:lpstr>'300'!OSRRefD21_21x_9</vt:lpstr>
      <vt:lpstr>'300 &amp; 317'!OSRRefD21_21x_9</vt:lpstr>
      <vt:lpstr>'301'!OSRRefD21_21x_9</vt:lpstr>
      <vt:lpstr>'331'!OSRRefD21_21x_9</vt:lpstr>
      <vt:lpstr>'333'!OSRRefD21_21x_9</vt:lpstr>
      <vt:lpstr>'Div 3'!OSRRefD21_21x_9</vt:lpstr>
      <vt:lpstr>'Div 4'!OSRRefD21_21x_9</vt:lpstr>
      <vt:lpstr>Summary!OSRRefD21_21x_9</vt:lpstr>
      <vt:lpstr>'300'!OSRRefD21_22_0x</vt:lpstr>
      <vt:lpstr>'300 &amp; 317'!OSRRefD21_22_0x</vt:lpstr>
      <vt:lpstr>'301'!OSRRefD21_22_0x</vt:lpstr>
      <vt:lpstr>'331'!OSRRefD21_22_0x</vt:lpstr>
      <vt:lpstr>'333'!OSRRefD21_22_0x</vt:lpstr>
      <vt:lpstr>'Div 3'!OSRRefD21_22_0x</vt:lpstr>
      <vt:lpstr>'Div 4'!OSRRefD21_22_0x</vt:lpstr>
      <vt:lpstr>Summary!OSRRefD21_22_0x</vt:lpstr>
      <vt:lpstr>'Div 3'!OSRRefD21_22_1x</vt:lpstr>
      <vt:lpstr>Summary!OSRRefD21_22_1x</vt:lpstr>
      <vt:lpstr>Summary!OSRRefD21_22_2x</vt:lpstr>
      <vt:lpstr>Summary!OSRRefD21_22_3x</vt:lpstr>
      <vt:lpstr>Summary!OSRRefD21_22_4x</vt:lpstr>
      <vt:lpstr>Summary!OSRRefD21_22_5x</vt:lpstr>
      <vt:lpstr>Summary!OSRRefD21_22_6x</vt:lpstr>
      <vt:lpstr>Summary!OSRRefD21_22_7x</vt:lpstr>
      <vt:lpstr>Summary!OSRRefD21_22_8x</vt:lpstr>
      <vt:lpstr>Summary!OSRRefD21_22_9x</vt:lpstr>
      <vt:lpstr>'300'!OSRRefD21_22x_0</vt:lpstr>
      <vt:lpstr>'300 &amp; 317'!OSRRefD21_22x_0</vt:lpstr>
      <vt:lpstr>'301'!OSRRefD21_22x_0</vt:lpstr>
      <vt:lpstr>'331'!OSRRefD21_22x_0</vt:lpstr>
      <vt:lpstr>'333'!OSRRefD21_22x_0</vt:lpstr>
      <vt:lpstr>'Div 3'!OSRRefD21_22x_0</vt:lpstr>
      <vt:lpstr>'Div 4'!OSRRefD21_22x_0</vt:lpstr>
      <vt:lpstr>Summary!OSRRefD21_22x_0</vt:lpstr>
      <vt:lpstr>'300'!OSRRefD21_22x_1</vt:lpstr>
      <vt:lpstr>'300 &amp; 317'!OSRRefD21_22x_1</vt:lpstr>
      <vt:lpstr>'301'!OSRRefD21_22x_1</vt:lpstr>
      <vt:lpstr>'331'!OSRRefD21_22x_1</vt:lpstr>
      <vt:lpstr>'333'!OSRRefD21_22x_1</vt:lpstr>
      <vt:lpstr>'Div 3'!OSRRefD21_22x_1</vt:lpstr>
      <vt:lpstr>'Div 4'!OSRRefD21_22x_1</vt:lpstr>
      <vt:lpstr>Summary!OSRRefD21_22x_1</vt:lpstr>
      <vt:lpstr>'300'!OSRRefD21_22x_2</vt:lpstr>
      <vt:lpstr>'300 &amp; 317'!OSRRefD21_22x_2</vt:lpstr>
      <vt:lpstr>'301'!OSRRefD21_22x_2</vt:lpstr>
      <vt:lpstr>'331'!OSRRefD21_22x_2</vt:lpstr>
      <vt:lpstr>'333'!OSRRefD21_22x_2</vt:lpstr>
      <vt:lpstr>'Div 3'!OSRRefD21_22x_2</vt:lpstr>
      <vt:lpstr>'Div 4'!OSRRefD21_22x_2</vt:lpstr>
      <vt:lpstr>Summary!OSRRefD21_22x_2</vt:lpstr>
      <vt:lpstr>'300'!OSRRefD21_22x_3</vt:lpstr>
      <vt:lpstr>'300 &amp; 317'!OSRRefD21_22x_3</vt:lpstr>
      <vt:lpstr>'301'!OSRRefD21_22x_3</vt:lpstr>
      <vt:lpstr>'331'!OSRRefD21_22x_3</vt:lpstr>
      <vt:lpstr>'333'!OSRRefD21_22x_3</vt:lpstr>
      <vt:lpstr>'Div 3'!OSRRefD21_22x_3</vt:lpstr>
      <vt:lpstr>'Div 4'!OSRRefD21_22x_3</vt:lpstr>
      <vt:lpstr>Summary!OSRRefD21_22x_3</vt:lpstr>
      <vt:lpstr>'300'!OSRRefD21_22x_4</vt:lpstr>
      <vt:lpstr>'300 &amp; 317'!OSRRefD21_22x_4</vt:lpstr>
      <vt:lpstr>'301'!OSRRefD21_22x_4</vt:lpstr>
      <vt:lpstr>'331'!OSRRefD21_22x_4</vt:lpstr>
      <vt:lpstr>'333'!OSRRefD21_22x_4</vt:lpstr>
      <vt:lpstr>'Div 3'!OSRRefD21_22x_4</vt:lpstr>
      <vt:lpstr>'Div 4'!OSRRefD21_22x_4</vt:lpstr>
      <vt:lpstr>Summary!OSRRefD21_22x_4</vt:lpstr>
      <vt:lpstr>'300'!OSRRefD21_22x_5</vt:lpstr>
      <vt:lpstr>'300 &amp; 317'!OSRRefD21_22x_5</vt:lpstr>
      <vt:lpstr>'301'!OSRRefD21_22x_5</vt:lpstr>
      <vt:lpstr>'331'!OSRRefD21_22x_5</vt:lpstr>
      <vt:lpstr>'333'!OSRRefD21_22x_5</vt:lpstr>
      <vt:lpstr>'Div 3'!OSRRefD21_22x_5</vt:lpstr>
      <vt:lpstr>'Div 4'!OSRRefD21_22x_5</vt:lpstr>
      <vt:lpstr>Summary!OSRRefD21_22x_5</vt:lpstr>
      <vt:lpstr>'300'!OSRRefD21_22x_6</vt:lpstr>
      <vt:lpstr>'300 &amp; 317'!OSRRefD21_22x_6</vt:lpstr>
      <vt:lpstr>'301'!OSRRefD21_22x_6</vt:lpstr>
      <vt:lpstr>'331'!OSRRefD21_22x_6</vt:lpstr>
      <vt:lpstr>'333'!OSRRefD21_22x_6</vt:lpstr>
      <vt:lpstr>'Div 3'!OSRRefD21_22x_6</vt:lpstr>
      <vt:lpstr>'Div 4'!OSRRefD21_22x_6</vt:lpstr>
      <vt:lpstr>Summary!OSRRefD21_22x_6</vt:lpstr>
      <vt:lpstr>'300'!OSRRefD21_22x_7</vt:lpstr>
      <vt:lpstr>'300 &amp; 317'!OSRRefD21_22x_7</vt:lpstr>
      <vt:lpstr>'301'!OSRRefD21_22x_7</vt:lpstr>
      <vt:lpstr>'331'!OSRRefD21_22x_7</vt:lpstr>
      <vt:lpstr>'333'!OSRRefD21_22x_7</vt:lpstr>
      <vt:lpstr>'Div 3'!OSRRefD21_22x_7</vt:lpstr>
      <vt:lpstr>'Div 4'!OSRRefD21_22x_7</vt:lpstr>
      <vt:lpstr>Summary!OSRRefD21_22x_7</vt:lpstr>
      <vt:lpstr>'300'!OSRRefD21_22x_8</vt:lpstr>
      <vt:lpstr>'300 &amp; 317'!OSRRefD21_22x_8</vt:lpstr>
      <vt:lpstr>'301'!OSRRefD21_22x_8</vt:lpstr>
      <vt:lpstr>'331'!OSRRefD21_22x_8</vt:lpstr>
      <vt:lpstr>'333'!OSRRefD21_22x_8</vt:lpstr>
      <vt:lpstr>'Div 3'!OSRRefD21_22x_8</vt:lpstr>
      <vt:lpstr>'Div 4'!OSRRefD21_22x_8</vt:lpstr>
      <vt:lpstr>Summary!OSRRefD21_22x_8</vt:lpstr>
      <vt:lpstr>'300'!OSRRefD21_22x_9</vt:lpstr>
      <vt:lpstr>'300 &amp; 317'!OSRRefD21_22x_9</vt:lpstr>
      <vt:lpstr>'301'!OSRRefD21_22x_9</vt:lpstr>
      <vt:lpstr>'331'!OSRRefD21_22x_9</vt:lpstr>
      <vt:lpstr>'333'!OSRRefD21_22x_9</vt:lpstr>
      <vt:lpstr>'Div 3'!OSRRefD21_22x_9</vt:lpstr>
      <vt:lpstr>'Div 4'!OSRRefD21_22x_9</vt:lpstr>
      <vt:lpstr>Summary!OSRRefD21_22x_9</vt:lpstr>
      <vt:lpstr>'300'!OSRRefD21_23_0x</vt:lpstr>
      <vt:lpstr>'300 &amp; 317'!OSRRefD21_23_0x</vt:lpstr>
      <vt:lpstr>'Div 3'!OSRRefD21_23_0x</vt:lpstr>
      <vt:lpstr>Summary!OSRRefD21_23_0x</vt:lpstr>
      <vt:lpstr>'300'!OSRRefD21_23_1x</vt:lpstr>
      <vt:lpstr>'300 &amp; 317'!OSRRefD21_23_1x</vt:lpstr>
      <vt:lpstr>Summary!OSRRefD21_23_1x</vt:lpstr>
      <vt:lpstr>'300'!OSRRefD21_23_2x</vt:lpstr>
      <vt:lpstr>'300 &amp; 317'!OSRRefD21_23_2x</vt:lpstr>
      <vt:lpstr>'300'!OSRRefD21_23x_0</vt:lpstr>
      <vt:lpstr>'300 &amp; 317'!OSRRefD21_23x_0</vt:lpstr>
      <vt:lpstr>'Div 3'!OSRRefD21_23x_0</vt:lpstr>
      <vt:lpstr>Summary!OSRRefD21_23x_0</vt:lpstr>
      <vt:lpstr>'300'!OSRRefD21_23x_1</vt:lpstr>
      <vt:lpstr>'300 &amp; 317'!OSRRefD21_23x_1</vt:lpstr>
      <vt:lpstr>'Div 3'!OSRRefD21_23x_1</vt:lpstr>
      <vt:lpstr>Summary!OSRRefD21_23x_1</vt:lpstr>
      <vt:lpstr>'300'!OSRRefD21_23x_2</vt:lpstr>
      <vt:lpstr>'300 &amp; 317'!OSRRefD21_23x_2</vt:lpstr>
      <vt:lpstr>'Div 3'!OSRRefD21_23x_2</vt:lpstr>
      <vt:lpstr>Summary!OSRRefD21_23x_2</vt:lpstr>
      <vt:lpstr>'300'!OSRRefD21_23x_3</vt:lpstr>
      <vt:lpstr>'300 &amp; 317'!OSRRefD21_23x_3</vt:lpstr>
      <vt:lpstr>'Div 3'!OSRRefD21_23x_3</vt:lpstr>
      <vt:lpstr>Summary!OSRRefD21_23x_3</vt:lpstr>
      <vt:lpstr>'300'!OSRRefD21_23x_4</vt:lpstr>
      <vt:lpstr>'300 &amp; 317'!OSRRefD21_23x_4</vt:lpstr>
      <vt:lpstr>'Div 3'!OSRRefD21_23x_4</vt:lpstr>
      <vt:lpstr>Summary!OSRRefD21_23x_4</vt:lpstr>
      <vt:lpstr>'300'!OSRRefD21_23x_5</vt:lpstr>
      <vt:lpstr>'300 &amp; 317'!OSRRefD21_23x_5</vt:lpstr>
      <vt:lpstr>'Div 3'!OSRRefD21_23x_5</vt:lpstr>
      <vt:lpstr>Summary!OSRRefD21_23x_5</vt:lpstr>
      <vt:lpstr>'300'!OSRRefD21_23x_6</vt:lpstr>
      <vt:lpstr>'300 &amp; 317'!OSRRefD21_23x_6</vt:lpstr>
      <vt:lpstr>'Div 3'!OSRRefD21_23x_6</vt:lpstr>
      <vt:lpstr>Summary!OSRRefD21_23x_6</vt:lpstr>
      <vt:lpstr>'300'!OSRRefD21_23x_7</vt:lpstr>
      <vt:lpstr>'300 &amp; 317'!OSRRefD21_23x_7</vt:lpstr>
      <vt:lpstr>'Div 3'!OSRRefD21_23x_7</vt:lpstr>
      <vt:lpstr>Summary!OSRRefD21_23x_7</vt:lpstr>
      <vt:lpstr>'300'!OSRRefD21_23x_8</vt:lpstr>
      <vt:lpstr>'300 &amp; 317'!OSRRefD21_23x_8</vt:lpstr>
      <vt:lpstr>'Div 3'!OSRRefD21_23x_8</vt:lpstr>
      <vt:lpstr>Summary!OSRRefD21_23x_8</vt:lpstr>
      <vt:lpstr>'300'!OSRRefD21_23x_9</vt:lpstr>
      <vt:lpstr>'300 &amp; 317'!OSRRefD21_23x_9</vt:lpstr>
      <vt:lpstr>'Div 3'!OSRRefD21_23x_9</vt:lpstr>
      <vt:lpstr>Summary!OSRRefD21_23x_9</vt:lpstr>
      <vt:lpstr>'300'!OSRRefD21_24_0x</vt:lpstr>
      <vt:lpstr>'300 &amp; 317'!OSRRefD21_24_0x</vt:lpstr>
      <vt:lpstr>'Div 3'!OSRRefD21_24_0x</vt:lpstr>
      <vt:lpstr>Summary!OSRRefD21_24_0x</vt:lpstr>
      <vt:lpstr>'Div 3'!OSRRefD21_24_1x</vt:lpstr>
      <vt:lpstr>'Div 3'!OSRRefD21_24_2x</vt:lpstr>
      <vt:lpstr>'300'!OSRRefD21_24x_0</vt:lpstr>
      <vt:lpstr>'300 &amp; 317'!OSRRefD21_24x_0</vt:lpstr>
      <vt:lpstr>'Div 3'!OSRRefD21_24x_0</vt:lpstr>
      <vt:lpstr>Summary!OSRRefD21_24x_0</vt:lpstr>
      <vt:lpstr>'300'!OSRRefD21_24x_1</vt:lpstr>
      <vt:lpstr>'300 &amp; 317'!OSRRefD21_24x_1</vt:lpstr>
      <vt:lpstr>'Div 3'!OSRRefD21_24x_1</vt:lpstr>
      <vt:lpstr>Summary!OSRRefD21_24x_1</vt:lpstr>
      <vt:lpstr>'300'!OSRRefD21_24x_2</vt:lpstr>
      <vt:lpstr>'300 &amp; 317'!OSRRefD21_24x_2</vt:lpstr>
      <vt:lpstr>'Div 3'!OSRRefD21_24x_2</vt:lpstr>
      <vt:lpstr>Summary!OSRRefD21_24x_2</vt:lpstr>
      <vt:lpstr>'300'!OSRRefD21_24x_3</vt:lpstr>
      <vt:lpstr>'300 &amp; 317'!OSRRefD21_24x_3</vt:lpstr>
      <vt:lpstr>'Div 3'!OSRRefD21_24x_3</vt:lpstr>
      <vt:lpstr>Summary!OSRRefD21_24x_3</vt:lpstr>
      <vt:lpstr>'300'!OSRRefD21_24x_4</vt:lpstr>
      <vt:lpstr>'300 &amp; 317'!OSRRefD21_24x_4</vt:lpstr>
      <vt:lpstr>'Div 3'!OSRRefD21_24x_4</vt:lpstr>
      <vt:lpstr>Summary!OSRRefD21_24x_4</vt:lpstr>
      <vt:lpstr>'300'!OSRRefD21_24x_5</vt:lpstr>
      <vt:lpstr>'300 &amp; 317'!OSRRefD21_24x_5</vt:lpstr>
      <vt:lpstr>'Div 3'!OSRRefD21_24x_5</vt:lpstr>
      <vt:lpstr>Summary!OSRRefD21_24x_5</vt:lpstr>
      <vt:lpstr>'300'!OSRRefD21_24x_6</vt:lpstr>
      <vt:lpstr>'300 &amp; 317'!OSRRefD21_24x_6</vt:lpstr>
      <vt:lpstr>'Div 3'!OSRRefD21_24x_6</vt:lpstr>
      <vt:lpstr>Summary!OSRRefD21_24x_6</vt:lpstr>
      <vt:lpstr>'300'!OSRRefD21_24x_7</vt:lpstr>
      <vt:lpstr>'300 &amp; 317'!OSRRefD21_24x_7</vt:lpstr>
      <vt:lpstr>'Div 3'!OSRRefD21_24x_7</vt:lpstr>
      <vt:lpstr>Summary!OSRRefD21_24x_7</vt:lpstr>
      <vt:lpstr>'300'!OSRRefD21_24x_8</vt:lpstr>
      <vt:lpstr>'300 &amp; 317'!OSRRefD21_24x_8</vt:lpstr>
      <vt:lpstr>'Div 3'!OSRRefD21_24x_8</vt:lpstr>
      <vt:lpstr>Summary!OSRRefD21_24x_8</vt:lpstr>
      <vt:lpstr>'300'!OSRRefD21_24x_9</vt:lpstr>
      <vt:lpstr>'300 &amp; 317'!OSRRefD21_24x_9</vt:lpstr>
      <vt:lpstr>'Div 3'!OSRRefD21_24x_9</vt:lpstr>
      <vt:lpstr>Summary!OSRRefD21_24x_9</vt:lpstr>
      <vt:lpstr>'Div 3'!OSRRefD21_25_0x</vt:lpstr>
      <vt:lpstr>Summary!OSRRefD21_25_0x</vt:lpstr>
      <vt:lpstr>Summary!OSRRefD21_25_1x</vt:lpstr>
      <vt:lpstr>Summary!OSRRefD21_25_2x</vt:lpstr>
      <vt:lpstr>'Div 3'!OSRRefD21_25x_0</vt:lpstr>
      <vt:lpstr>Summary!OSRRefD21_25x_0</vt:lpstr>
      <vt:lpstr>'Div 3'!OSRRefD21_25x_1</vt:lpstr>
      <vt:lpstr>Summary!OSRRefD21_25x_1</vt:lpstr>
      <vt:lpstr>'Div 3'!OSRRefD21_25x_2</vt:lpstr>
      <vt:lpstr>Summary!OSRRefD21_25x_2</vt:lpstr>
      <vt:lpstr>'Div 3'!OSRRefD21_25x_3</vt:lpstr>
      <vt:lpstr>Summary!OSRRefD21_25x_3</vt:lpstr>
      <vt:lpstr>'Div 3'!OSRRefD21_25x_4</vt:lpstr>
      <vt:lpstr>Summary!OSRRefD21_25x_4</vt:lpstr>
      <vt:lpstr>'Div 3'!OSRRefD21_25x_5</vt:lpstr>
      <vt:lpstr>Summary!OSRRefD21_25x_5</vt:lpstr>
      <vt:lpstr>'Div 3'!OSRRefD21_25x_6</vt:lpstr>
      <vt:lpstr>Summary!OSRRefD21_25x_6</vt:lpstr>
      <vt:lpstr>'Div 3'!OSRRefD21_25x_7</vt:lpstr>
      <vt:lpstr>Summary!OSRRefD21_25x_7</vt:lpstr>
      <vt:lpstr>'Div 3'!OSRRefD21_25x_8</vt:lpstr>
      <vt:lpstr>Summary!OSRRefD21_25x_8</vt:lpstr>
      <vt:lpstr>'Div 3'!OSRRefD21_25x_9</vt:lpstr>
      <vt:lpstr>Summary!OSRRefD21_25x_9</vt:lpstr>
      <vt:lpstr>Summary!OSRRefD21_26_0x</vt:lpstr>
      <vt:lpstr>Summary!OSRRefD21_26x_0</vt:lpstr>
      <vt:lpstr>Summary!OSRRefD21_26x_1</vt:lpstr>
      <vt:lpstr>Summary!OSRRefD21_26x_2</vt:lpstr>
      <vt:lpstr>Summary!OSRRefD21_26x_3</vt:lpstr>
      <vt:lpstr>Summary!OSRRefD21_26x_4</vt:lpstr>
      <vt:lpstr>Summary!OSRRefD21_26x_5</vt:lpstr>
      <vt:lpstr>Summary!OSRRefD21_26x_6</vt:lpstr>
      <vt:lpstr>Summary!OSRRefD21_26x_7</vt:lpstr>
      <vt:lpstr>Summary!OSRRefD21_26x_8</vt:lpstr>
      <vt:lpstr>Summary!OSRRefD21_26x_9</vt:lpstr>
      <vt:lpstr>'200'!OSRRefD21_2x_0</vt:lpstr>
      <vt:lpstr>'201'!OSRRefD21_2x_0</vt:lpstr>
      <vt:lpstr>'202'!OSRRefD21_2x_0</vt:lpstr>
      <vt:lpstr>'203'!OSRRefD21_2x_0</vt:lpstr>
      <vt:lpstr>'204'!OSRRefD21_2x_0</vt:lpstr>
      <vt:lpstr>'205'!OSRRefD21_2x_0</vt:lpstr>
      <vt:lpstr>'206'!OSRRefD21_2x_0</vt:lpstr>
      <vt:lpstr>'300'!OSRRefD21_2x_0</vt:lpstr>
      <vt:lpstr>'300 &amp; 317'!OSRRefD21_2x_0</vt:lpstr>
      <vt:lpstr>'301'!OSRRefD21_2x_0</vt:lpstr>
      <vt:lpstr>'307'!OSRRefD21_2x_0</vt:lpstr>
      <vt:lpstr>'308'!OSRRefD21_2x_0</vt:lpstr>
      <vt:lpstr>'309'!OSRRefD21_2x_0</vt:lpstr>
      <vt:lpstr>'310'!OSRRefD21_2x_0</vt:lpstr>
      <vt:lpstr>'310 &amp; 491'!OSRRefD21_2x_0</vt:lpstr>
      <vt:lpstr>'311'!OSRRefD21_2x_0</vt:lpstr>
      <vt:lpstr>'313'!OSRRefD21_2x_0</vt:lpstr>
      <vt:lpstr>'315'!OSRRefD21_2x_0</vt:lpstr>
      <vt:lpstr>'316'!OSRRefD21_2x_0</vt:lpstr>
      <vt:lpstr>'317'!OSRRefD21_2x_0</vt:lpstr>
      <vt:lpstr>'321'!OSRRefD21_2x_0</vt:lpstr>
      <vt:lpstr>'325'!OSRRefD21_2x_0</vt:lpstr>
      <vt:lpstr>'326'!OSRRefD21_2x_0</vt:lpstr>
      <vt:lpstr>'331'!OSRRefD21_2x_0</vt:lpstr>
      <vt:lpstr>'332'!OSRRefD21_2x_0</vt:lpstr>
      <vt:lpstr>'333'!OSRRefD21_2x_0</vt:lpstr>
      <vt:lpstr>'405'!OSRRefD21_2x_0</vt:lpstr>
      <vt:lpstr>'411'!OSRRefD21_2x_0</vt:lpstr>
      <vt:lpstr>'412'!OSRRefD21_2x_0</vt:lpstr>
      <vt:lpstr>'415'!OSRRefD21_2x_0</vt:lpstr>
      <vt:lpstr>'418'!OSRRefD21_2x_0</vt:lpstr>
      <vt:lpstr>'423'!OSRRefD21_2x_0</vt:lpstr>
      <vt:lpstr>'425'!OSRRefD21_2x_0</vt:lpstr>
      <vt:lpstr>'430'!OSRRefD21_2x_0</vt:lpstr>
      <vt:lpstr>'433'!OSRRefD21_2x_0</vt:lpstr>
      <vt:lpstr>'435'!OSRRefD21_2x_0</vt:lpstr>
      <vt:lpstr>'444'!OSRRefD21_2x_0</vt:lpstr>
      <vt:lpstr>'450'!OSRRefD21_2x_0</vt:lpstr>
      <vt:lpstr>'491'!OSRRefD21_2x_0</vt:lpstr>
      <vt:lpstr>'492'!OSRRefD21_2x_0</vt:lpstr>
      <vt:lpstr>'501'!OSRRefD21_2x_0</vt:lpstr>
      <vt:lpstr>'Div 2'!OSRRefD21_2x_0</vt:lpstr>
      <vt:lpstr>'Div 3'!OSRRefD21_2x_0</vt:lpstr>
      <vt:lpstr>'Div 4'!OSRRefD21_2x_0</vt:lpstr>
      <vt:lpstr>'Div 5'!OSRRefD21_2x_0</vt:lpstr>
      <vt:lpstr>'Div 6'!OSRRefD21_2x_0</vt:lpstr>
      <vt:lpstr>Summary!OSRRefD21_2x_0</vt:lpstr>
      <vt:lpstr>'200'!OSRRefD21_2x_1</vt:lpstr>
      <vt:lpstr>'201'!OSRRefD21_2x_1</vt:lpstr>
      <vt:lpstr>'202'!OSRRefD21_2x_1</vt:lpstr>
      <vt:lpstr>'203'!OSRRefD21_2x_1</vt:lpstr>
      <vt:lpstr>'204'!OSRRefD21_2x_1</vt:lpstr>
      <vt:lpstr>'205'!OSRRefD21_2x_1</vt:lpstr>
      <vt:lpstr>'206'!OSRRefD21_2x_1</vt:lpstr>
      <vt:lpstr>'300'!OSRRefD21_2x_1</vt:lpstr>
      <vt:lpstr>'300 &amp; 317'!OSRRefD21_2x_1</vt:lpstr>
      <vt:lpstr>'301'!OSRRefD21_2x_1</vt:lpstr>
      <vt:lpstr>'307'!OSRRefD21_2x_1</vt:lpstr>
      <vt:lpstr>'308'!OSRRefD21_2x_1</vt:lpstr>
      <vt:lpstr>'309'!OSRRefD21_2x_1</vt:lpstr>
      <vt:lpstr>'310'!OSRRefD21_2x_1</vt:lpstr>
      <vt:lpstr>'310 &amp; 491'!OSRRefD21_2x_1</vt:lpstr>
      <vt:lpstr>'311'!OSRRefD21_2x_1</vt:lpstr>
      <vt:lpstr>'313'!OSRRefD21_2x_1</vt:lpstr>
      <vt:lpstr>'315'!OSRRefD21_2x_1</vt:lpstr>
      <vt:lpstr>'316'!OSRRefD21_2x_1</vt:lpstr>
      <vt:lpstr>'317'!OSRRefD21_2x_1</vt:lpstr>
      <vt:lpstr>'321'!OSRRefD21_2x_1</vt:lpstr>
      <vt:lpstr>'325'!OSRRefD21_2x_1</vt:lpstr>
      <vt:lpstr>'326'!OSRRefD21_2x_1</vt:lpstr>
      <vt:lpstr>'331'!OSRRefD21_2x_1</vt:lpstr>
      <vt:lpstr>'332'!OSRRefD21_2x_1</vt:lpstr>
      <vt:lpstr>'333'!OSRRefD21_2x_1</vt:lpstr>
      <vt:lpstr>'405'!OSRRefD21_2x_1</vt:lpstr>
      <vt:lpstr>'411'!OSRRefD21_2x_1</vt:lpstr>
      <vt:lpstr>'412'!OSRRefD21_2x_1</vt:lpstr>
      <vt:lpstr>'415'!OSRRefD21_2x_1</vt:lpstr>
      <vt:lpstr>'418'!OSRRefD21_2x_1</vt:lpstr>
      <vt:lpstr>'423'!OSRRefD21_2x_1</vt:lpstr>
      <vt:lpstr>'425'!OSRRefD21_2x_1</vt:lpstr>
      <vt:lpstr>'430'!OSRRefD21_2x_1</vt:lpstr>
      <vt:lpstr>'433'!OSRRefD21_2x_1</vt:lpstr>
      <vt:lpstr>'435'!OSRRefD21_2x_1</vt:lpstr>
      <vt:lpstr>'444'!OSRRefD21_2x_1</vt:lpstr>
      <vt:lpstr>'450'!OSRRefD21_2x_1</vt:lpstr>
      <vt:lpstr>'491'!OSRRefD21_2x_1</vt:lpstr>
      <vt:lpstr>'492'!OSRRefD21_2x_1</vt:lpstr>
      <vt:lpstr>'501'!OSRRefD21_2x_1</vt:lpstr>
      <vt:lpstr>'Div 2'!OSRRefD21_2x_1</vt:lpstr>
      <vt:lpstr>'Div 3'!OSRRefD21_2x_1</vt:lpstr>
      <vt:lpstr>'Div 4'!OSRRefD21_2x_1</vt:lpstr>
      <vt:lpstr>'Div 5'!OSRRefD21_2x_1</vt:lpstr>
      <vt:lpstr>'Div 6'!OSRRefD21_2x_1</vt:lpstr>
      <vt:lpstr>Summary!OSRRefD21_2x_1</vt:lpstr>
      <vt:lpstr>'200'!OSRRefD21_2x_2</vt:lpstr>
      <vt:lpstr>'201'!OSRRefD21_2x_2</vt:lpstr>
      <vt:lpstr>'202'!OSRRefD21_2x_2</vt:lpstr>
      <vt:lpstr>'203'!OSRRefD21_2x_2</vt:lpstr>
      <vt:lpstr>'204'!OSRRefD21_2x_2</vt:lpstr>
      <vt:lpstr>'205'!OSRRefD21_2x_2</vt:lpstr>
      <vt:lpstr>'206'!OSRRefD21_2x_2</vt:lpstr>
      <vt:lpstr>'300'!OSRRefD21_2x_2</vt:lpstr>
      <vt:lpstr>'300 &amp; 317'!OSRRefD21_2x_2</vt:lpstr>
      <vt:lpstr>'301'!OSRRefD21_2x_2</vt:lpstr>
      <vt:lpstr>'307'!OSRRefD21_2x_2</vt:lpstr>
      <vt:lpstr>'308'!OSRRefD21_2x_2</vt:lpstr>
      <vt:lpstr>'309'!OSRRefD21_2x_2</vt:lpstr>
      <vt:lpstr>'310'!OSRRefD21_2x_2</vt:lpstr>
      <vt:lpstr>'310 &amp; 491'!OSRRefD21_2x_2</vt:lpstr>
      <vt:lpstr>'311'!OSRRefD21_2x_2</vt:lpstr>
      <vt:lpstr>'313'!OSRRefD21_2x_2</vt:lpstr>
      <vt:lpstr>'315'!OSRRefD21_2x_2</vt:lpstr>
      <vt:lpstr>'316'!OSRRefD21_2x_2</vt:lpstr>
      <vt:lpstr>'317'!OSRRefD21_2x_2</vt:lpstr>
      <vt:lpstr>'321'!OSRRefD21_2x_2</vt:lpstr>
      <vt:lpstr>'325'!OSRRefD21_2x_2</vt:lpstr>
      <vt:lpstr>'326'!OSRRefD21_2x_2</vt:lpstr>
      <vt:lpstr>'331'!OSRRefD21_2x_2</vt:lpstr>
      <vt:lpstr>'332'!OSRRefD21_2x_2</vt:lpstr>
      <vt:lpstr>'333'!OSRRefD21_2x_2</vt:lpstr>
      <vt:lpstr>'405'!OSRRefD21_2x_2</vt:lpstr>
      <vt:lpstr>'411'!OSRRefD21_2x_2</vt:lpstr>
      <vt:lpstr>'412'!OSRRefD21_2x_2</vt:lpstr>
      <vt:lpstr>'415'!OSRRefD21_2x_2</vt:lpstr>
      <vt:lpstr>'418'!OSRRefD21_2x_2</vt:lpstr>
      <vt:lpstr>'423'!OSRRefD21_2x_2</vt:lpstr>
      <vt:lpstr>'425'!OSRRefD21_2x_2</vt:lpstr>
      <vt:lpstr>'430'!OSRRefD21_2x_2</vt:lpstr>
      <vt:lpstr>'433'!OSRRefD21_2x_2</vt:lpstr>
      <vt:lpstr>'435'!OSRRefD21_2x_2</vt:lpstr>
      <vt:lpstr>'444'!OSRRefD21_2x_2</vt:lpstr>
      <vt:lpstr>'450'!OSRRefD21_2x_2</vt:lpstr>
      <vt:lpstr>'491'!OSRRefD21_2x_2</vt:lpstr>
      <vt:lpstr>'492'!OSRRefD21_2x_2</vt:lpstr>
      <vt:lpstr>'501'!OSRRefD21_2x_2</vt:lpstr>
      <vt:lpstr>'Div 2'!OSRRefD21_2x_2</vt:lpstr>
      <vt:lpstr>'Div 3'!OSRRefD21_2x_2</vt:lpstr>
      <vt:lpstr>'Div 4'!OSRRefD21_2x_2</vt:lpstr>
      <vt:lpstr>'Div 5'!OSRRefD21_2x_2</vt:lpstr>
      <vt:lpstr>'Div 6'!OSRRefD21_2x_2</vt:lpstr>
      <vt:lpstr>Summary!OSRRefD21_2x_2</vt:lpstr>
      <vt:lpstr>'200'!OSRRefD21_2x_3</vt:lpstr>
      <vt:lpstr>'201'!OSRRefD21_2x_3</vt:lpstr>
      <vt:lpstr>'202'!OSRRefD21_2x_3</vt:lpstr>
      <vt:lpstr>'203'!OSRRefD21_2x_3</vt:lpstr>
      <vt:lpstr>'204'!OSRRefD21_2x_3</vt:lpstr>
      <vt:lpstr>'205'!OSRRefD21_2x_3</vt:lpstr>
      <vt:lpstr>'206'!OSRRefD21_2x_3</vt:lpstr>
      <vt:lpstr>'300'!OSRRefD21_2x_3</vt:lpstr>
      <vt:lpstr>'300 &amp; 317'!OSRRefD21_2x_3</vt:lpstr>
      <vt:lpstr>'301'!OSRRefD21_2x_3</vt:lpstr>
      <vt:lpstr>'307'!OSRRefD21_2x_3</vt:lpstr>
      <vt:lpstr>'308'!OSRRefD21_2x_3</vt:lpstr>
      <vt:lpstr>'309'!OSRRefD21_2x_3</vt:lpstr>
      <vt:lpstr>'310'!OSRRefD21_2x_3</vt:lpstr>
      <vt:lpstr>'310 &amp; 491'!OSRRefD21_2x_3</vt:lpstr>
      <vt:lpstr>'311'!OSRRefD21_2x_3</vt:lpstr>
      <vt:lpstr>'313'!OSRRefD21_2x_3</vt:lpstr>
      <vt:lpstr>'315'!OSRRefD21_2x_3</vt:lpstr>
      <vt:lpstr>'316'!OSRRefD21_2x_3</vt:lpstr>
      <vt:lpstr>'317'!OSRRefD21_2x_3</vt:lpstr>
      <vt:lpstr>'321'!OSRRefD21_2x_3</vt:lpstr>
      <vt:lpstr>'325'!OSRRefD21_2x_3</vt:lpstr>
      <vt:lpstr>'326'!OSRRefD21_2x_3</vt:lpstr>
      <vt:lpstr>'331'!OSRRefD21_2x_3</vt:lpstr>
      <vt:lpstr>'332'!OSRRefD21_2x_3</vt:lpstr>
      <vt:lpstr>'333'!OSRRefD21_2x_3</vt:lpstr>
      <vt:lpstr>'405'!OSRRefD21_2x_3</vt:lpstr>
      <vt:lpstr>'411'!OSRRefD21_2x_3</vt:lpstr>
      <vt:lpstr>'412'!OSRRefD21_2x_3</vt:lpstr>
      <vt:lpstr>'415'!OSRRefD21_2x_3</vt:lpstr>
      <vt:lpstr>'418'!OSRRefD21_2x_3</vt:lpstr>
      <vt:lpstr>'423'!OSRRefD21_2x_3</vt:lpstr>
      <vt:lpstr>'425'!OSRRefD21_2x_3</vt:lpstr>
      <vt:lpstr>'430'!OSRRefD21_2x_3</vt:lpstr>
      <vt:lpstr>'433'!OSRRefD21_2x_3</vt:lpstr>
      <vt:lpstr>'435'!OSRRefD21_2x_3</vt:lpstr>
      <vt:lpstr>'444'!OSRRefD21_2x_3</vt:lpstr>
      <vt:lpstr>'450'!OSRRefD21_2x_3</vt:lpstr>
      <vt:lpstr>'491'!OSRRefD21_2x_3</vt:lpstr>
      <vt:lpstr>'492'!OSRRefD21_2x_3</vt:lpstr>
      <vt:lpstr>'501'!OSRRefD21_2x_3</vt:lpstr>
      <vt:lpstr>'Div 2'!OSRRefD21_2x_3</vt:lpstr>
      <vt:lpstr>'Div 3'!OSRRefD21_2x_3</vt:lpstr>
      <vt:lpstr>'Div 4'!OSRRefD21_2x_3</vt:lpstr>
      <vt:lpstr>'Div 5'!OSRRefD21_2x_3</vt:lpstr>
      <vt:lpstr>'Div 6'!OSRRefD21_2x_3</vt:lpstr>
      <vt:lpstr>Summary!OSRRefD21_2x_3</vt:lpstr>
      <vt:lpstr>'200'!OSRRefD21_2x_4</vt:lpstr>
      <vt:lpstr>'201'!OSRRefD21_2x_4</vt:lpstr>
      <vt:lpstr>'202'!OSRRefD21_2x_4</vt:lpstr>
      <vt:lpstr>'203'!OSRRefD21_2x_4</vt:lpstr>
      <vt:lpstr>'204'!OSRRefD21_2x_4</vt:lpstr>
      <vt:lpstr>'205'!OSRRefD21_2x_4</vt:lpstr>
      <vt:lpstr>'206'!OSRRefD21_2x_4</vt:lpstr>
      <vt:lpstr>'300'!OSRRefD21_2x_4</vt:lpstr>
      <vt:lpstr>'300 &amp; 317'!OSRRefD21_2x_4</vt:lpstr>
      <vt:lpstr>'301'!OSRRefD21_2x_4</vt:lpstr>
      <vt:lpstr>'307'!OSRRefD21_2x_4</vt:lpstr>
      <vt:lpstr>'308'!OSRRefD21_2x_4</vt:lpstr>
      <vt:lpstr>'309'!OSRRefD21_2x_4</vt:lpstr>
      <vt:lpstr>'310'!OSRRefD21_2x_4</vt:lpstr>
      <vt:lpstr>'310 &amp; 491'!OSRRefD21_2x_4</vt:lpstr>
      <vt:lpstr>'311'!OSRRefD21_2x_4</vt:lpstr>
      <vt:lpstr>'313'!OSRRefD21_2x_4</vt:lpstr>
      <vt:lpstr>'315'!OSRRefD21_2x_4</vt:lpstr>
      <vt:lpstr>'316'!OSRRefD21_2x_4</vt:lpstr>
      <vt:lpstr>'317'!OSRRefD21_2x_4</vt:lpstr>
      <vt:lpstr>'321'!OSRRefD21_2x_4</vt:lpstr>
      <vt:lpstr>'325'!OSRRefD21_2x_4</vt:lpstr>
      <vt:lpstr>'326'!OSRRefD21_2x_4</vt:lpstr>
      <vt:lpstr>'331'!OSRRefD21_2x_4</vt:lpstr>
      <vt:lpstr>'332'!OSRRefD21_2x_4</vt:lpstr>
      <vt:lpstr>'333'!OSRRefD21_2x_4</vt:lpstr>
      <vt:lpstr>'405'!OSRRefD21_2x_4</vt:lpstr>
      <vt:lpstr>'411'!OSRRefD21_2x_4</vt:lpstr>
      <vt:lpstr>'412'!OSRRefD21_2x_4</vt:lpstr>
      <vt:lpstr>'415'!OSRRefD21_2x_4</vt:lpstr>
      <vt:lpstr>'418'!OSRRefD21_2x_4</vt:lpstr>
      <vt:lpstr>'423'!OSRRefD21_2x_4</vt:lpstr>
      <vt:lpstr>'425'!OSRRefD21_2x_4</vt:lpstr>
      <vt:lpstr>'430'!OSRRefD21_2x_4</vt:lpstr>
      <vt:lpstr>'433'!OSRRefD21_2x_4</vt:lpstr>
      <vt:lpstr>'435'!OSRRefD21_2x_4</vt:lpstr>
      <vt:lpstr>'444'!OSRRefD21_2x_4</vt:lpstr>
      <vt:lpstr>'450'!OSRRefD21_2x_4</vt:lpstr>
      <vt:lpstr>'491'!OSRRefD21_2x_4</vt:lpstr>
      <vt:lpstr>'492'!OSRRefD21_2x_4</vt:lpstr>
      <vt:lpstr>'501'!OSRRefD21_2x_4</vt:lpstr>
      <vt:lpstr>'Div 2'!OSRRefD21_2x_4</vt:lpstr>
      <vt:lpstr>'Div 3'!OSRRefD21_2x_4</vt:lpstr>
      <vt:lpstr>'Div 4'!OSRRefD21_2x_4</vt:lpstr>
      <vt:lpstr>'Div 5'!OSRRefD21_2x_4</vt:lpstr>
      <vt:lpstr>'Div 6'!OSRRefD21_2x_4</vt:lpstr>
      <vt:lpstr>Summary!OSRRefD21_2x_4</vt:lpstr>
      <vt:lpstr>'200'!OSRRefD21_2x_5</vt:lpstr>
      <vt:lpstr>'201'!OSRRefD21_2x_5</vt:lpstr>
      <vt:lpstr>'202'!OSRRefD21_2x_5</vt:lpstr>
      <vt:lpstr>'203'!OSRRefD21_2x_5</vt:lpstr>
      <vt:lpstr>'204'!OSRRefD21_2x_5</vt:lpstr>
      <vt:lpstr>'205'!OSRRefD21_2x_5</vt:lpstr>
      <vt:lpstr>'206'!OSRRefD21_2x_5</vt:lpstr>
      <vt:lpstr>'300'!OSRRefD21_2x_5</vt:lpstr>
      <vt:lpstr>'300 &amp; 317'!OSRRefD21_2x_5</vt:lpstr>
      <vt:lpstr>'301'!OSRRefD21_2x_5</vt:lpstr>
      <vt:lpstr>'307'!OSRRefD21_2x_5</vt:lpstr>
      <vt:lpstr>'308'!OSRRefD21_2x_5</vt:lpstr>
      <vt:lpstr>'309'!OSRRefD21_2x_5</vt:lpstr>
      <vt:lpstr>'310'!OSRRefD21_2x_5</vt:lpstr>
      <vt:lpstr>'310 &amp; 491'!OSRRefD21_2x_5</vt:lpstr>
      <vt:lpstr>'311'!OSRRefD21_2x_5</vt:lpstr>
      <vt:lpstr>'313'!OSRRefD21_2x_5</vt:lpstr>
      <vt:lpstr>'315'!OSRRefD21_2x_5</vt:lpstr>
      <vt:lpstr>'316'!OSRRefD21_2x_5</vt:lpstr>
      <vt:lpstr>'317'!OSRRefD21_2x_5</vt:lpstr>
      <vt:lpstr>'321'!OSRRefD21_2x_5</vt:lpstr>
      <vt:lpstr>'325'!OSRRefD21_2x_5</vt:lpstr>
      <vt:lpstr>'326'!OSRRefD21_2x_5</vt:lpstr>
      <vt:lpstr>'331'!OSRRefD21_2x_5</vt:lpstr>
      <vt:lpstr>'332'!OSRRefD21_2x_5</vt:lpstr>
      <vt:lpstr>'333'!OSRRefD21_2x_5</vt:lpstr>
      <vt:lpstr>'405'!OSRRefD21_2x_5</vt:lpstr>
      <vt:lpstr>'411'!OSRRefD21_2x_5</vt:lpstr>
      <vt:lpstr>'412'!OSRRefD21_2x_5</vt:lpstr>
      <vt:lpstr>'415'!OSRRefD21_2x_5</vt:lpstr>
      <vt:lpstr>'418'!OSRRefD21_2x_5</vt:lpstr>
      <vt:lpstr>'423'!OSRRefD21_2x_5</vt:lpstr>
      <vt:lpstr>'425'!OSRRefD21_2x_5</vt:lpstr>
      <vt:lpstr>'430'!OSRRefD21_2x_5</vt:lpstr>
      <vt:lpstr>'433'!OSRRefD21_2x_5</vt:lpstr>
      <vt:lpstr>'435'!OSRRefD21_2x_5</vt:lpstr>
      <vt:lpstr>'444'!OSRRefD21_2x_5</vt:lpstr>
      <vt:lpstr>'450'!OSRRefD21_2x_5</vt:lpstr>
      <vt:lpstr>'491'!OSRRefD21_2x_5</vt:lpstr>
      <vt:lpstr>'492'!OSRRefD21_2x_5</vt:lpstr>
      <vt:lpstr>'501'!OSRRefD21_2x_5</vt:lpstr>
      <vt:lpstr>'Div 2'!OSRRefD21_2x_5</vt:lpstr>
      <vt:lpstr>'Div 3'!OSRRefD21_2x_5</vt:lpstr>
      <vt:lpstr>'Div 4'!OSRRefD21_2x_5</vt:lpstr>
      <vt:lpstr>'Div 5'!OSRRefD21_2x_5</vt:lpstr>
      <vt:lpstr>'Div 6'!OSRRefD21_2x_5</vt:lpstr>
      <vt:lpstr>Summary!OSRRefD21_2x_5</vt:lpstr>
      <vt:lpstr>'200'!OSRRefD21_2x_6</vt:lpstr>
      <vt:lpstr>'201'!OSRRefD21_2x_6</vt:lpstr>
      <vt:lpstr>'202'!OSRRefD21_2x_6</vt:lpstr>
      <vt:lpstr>'203'!OSRRefD21_2x_6</vt:lpstr>
      <vt:lpstr>'204'!OSRRefD21_2x_6</vt:lpstr>
      <vt:lpstr>'205'!OSRRefD21_2x_6</vt:lpstr>
      <vt:lpstr>'206'!OSRRefD21_2x_6</vt:lpstr>
      <vt:lpstr>'300'!OSRRefD21_2x_6</vt:lpstr>
      <vt:lpstr>'300 &amp; 317'!OSRRefD21_2x_6</vt:lpstr>
      <vt:lpstr>'301'!OSRRefD21_2x_6</vt:lpstr>
      <vt:lpstr>'307'!OSRRefD21_2x_6</vt:lpstr>
      <vt:lpstr>'308'!OSRRefD21_2x_6</vt:lpstr>
      <vt:lpstr>'309'!OSRRefD21_2x_6</vt:lpstr>
      <vt:lpstr>'310'!OSRRefD21_2x_6</vt:lpstr>
      <vt:lpstr>'310 &amp; 491'!OSRRefD21_2x_6</vt:lpstr>
      <vt:lpstr>'311'!OSRRefD21_2x_6</vt:lpstr>
      <vt:lpstr>'313'!OSRRefD21_2x_6</vt:lpstr>
      <vt:lpstr>'315'!OSRRefD21_2x_6</vt:lpstr>
      <vt:lpstr>'316'!OSRRefD21_2x_6</vt:lpstr>
      <vt:lpstr>'317'!OSRRefD21_2x_6</vt:lpstr>
      <vt:lpstr>'321'!OSRRefD21_2x_6</vt:lpstr>
      <vt:lpstr>'325'!OSRRefD21_2x_6</vt:lpstr>
      <vt:lpstr>'326'!OSRRefD21_2x_6</vt:lpstr>
      <vt:lpstr>'331'!OSRRefD21_2x_6</vt:lpstr>
      <vt:lpstr>'332'!OSRRefD21_2x_6</vt:lpstr>
      <vt:lpstr>'333'!OSRRefD21_2x_6</vt:lpstr>
      <vt:lpstr>'405'!OSRRefD21_2x_6</vt:lpstr>
      <vt:lpstr>'411'!OSRRefD21_2x_6</vt:lpstr>
      <vt:lpstr>'412'!OSRRefD21_2x_6</vt:lpstr>
      <vt:lpstr>'415'!OSRRefD21_2x_6</vt:lpstr>
      <vt:lpstr>'418'!OSRRefD21_2x_6</vt:lpstr>
      <vt:lpstr>'423'!OSRRefD21_2x_6</vt:lpstr>
      <vt:lpstr>'425'!OSRRefD21_2x_6</vt:lpstr>
      <vt:lpstr>'430'!OSRRefD21_2x_6</vt:lpstr>
      <vt:lpstr>'433'!OSRRefD21_2x_6</vt:lpstr>
      <vt:lpstr>'435'!OSRRefD21_2x_6</vt:lpstr>
      <vt:lpstr>'444'!OSRRefD21_2x_6</vt:lpstr>
      <vt:lpstr>'450'!OSRRefD21_2x_6</vt:lpstr>
      <vt:lpstr>'491'!OSRRefD21_2x_6</vt:lpstr>
      <vt:lpstr>'492'!OSRRefD21_2x_6</vt:lpstr>
      <vt:lpstr>'501'!OSRRefD21_2x_6</vt:lpstr>
      <vt:lpstr>'Div 2'!OSRRefD21_2x_6</vt:lpstr>
      <vt:lpstr>'Div 3'!OSRRefD21_2x_6</vt:lpstr>
      <vt:lpstr>'Div 4'!OSRRefD21_2x_6</vt:lpstr>
      <vt:lpstr>'Div 5'!OSRRefD21_2x_6</vt:lpstr>
      <vt:lpstr>'Div 6'!OSRRefD21_2x_6</vt:lpstr>
      <vt:lpstr>Summary!OSRRefD21_2x_6</vt:lpstr>
      <vt:lpstr>'200'!OSRRefD21_2x_7</vt:lpstr>
      <vt:lpstr>'201'!OSRRefD21_2x_7</vt:lpstr>
      <vt:lpstr>'202'!OSRRefD21_2x_7</vt:lpstr>
      <vt:lpstr>'203'!OSRRefD21_2x_7</vt:lpstr>
      <vt:lpstr>'204'!OSRRefD21_2x_7</vt:lpstr>
      <vt:lpstr>'205'!OSRRefD21_2x_7</vt:lpstr>
      <vt:lpstr>'206'!OSRRefD21_2x_7</vt:lpstr>
      <vt:lpstr>'300'!OSRRefD21_2x_7</vt:lpstr>
      <vt:lpstr>'300 &amp; 317'!OSRRefD21_2x_7</vt:lpstr>
      <vt:lpstr>'301'!OSRRefD21_2x_7</vt:lpstr>
      <vt:lpstr>'307'!OSRRefD21_2x_7</vt:lpstr>
      <vt:lpstr>'308'!OSRRefD21_2x_7</vt:lpstr>
      <vt:lpstr>'309'!OSRRefD21_2x_7</vt:lpstr>
      <vt:lpstr>'310'!OSRRefD21_2x_7</vt:lpstr>
      <vt:lpstr>'310 &amp; 491'!OSRRefD21_2x_7</vt:lpstr>
      <vt:lpstr>'311'!OSRRefD21_2x_7</vt:lpstr>
      <vt:lpstr>'313'!OSRRefD21_2x_7</vt:lpstr>
      <vt:lpstr>'315'!OSRRefD21_2x_7</vt:lpstr>
      <vt:lpstr>'316'!OSRRefD21_2x_7</vt:lpstr>
      <vt:lpstr>'317'!OSRRefD21_2x_7</vt:lpstr>
      <vt:lpstr>'321'!OSRRefD21_2x_7</vt:lpstr>
      <vt:lpstr>'325'!OSRRefD21_2x_7</vt:lpstr>
      <vt:lpstr>'326'!OSRRefD21_2x_7</vt:lpstr>
      <vt:lpstr>'331'!OSRRefD21_2x_7</vt:lpstr>
      <vt:lpstr>'332'!OSRRefD21_2x_7</vt:lpstr>
      <vt:lpstr>'333'!OSRRefD21_2x_7</vt:lpstr>
      <vt:lpstr>'405'!OSRRefD21_2x_7</vt:lpstr>
      <vt:lpstr>'411'!OSRRefD21_2x_7</vt:lpstr>
      <vt:lpstr>'412'!OSRRefD21_2x_7</vt:lpstr>
      <vt:lpstr>'415'!OSRRefD21_2x_7</vt:lpstr>
      <vt:lpstr>'418'!OSRRefD21_2x_7</vt:lpstr>
      <vt:lpstr>'423'!OSRRefD21_2x_7</vt:lpstr>
      <vt:lpstr>'425'!OSRRefD21_2x_7</vt:lpstr>
      <vt:lpstr>'430'!OSRRefD21_2x_7</vt:lpstr>
      <vt:lpstr>'433'!OSRRefD21_2x_7</vt:lpstr>
      <vt:lpstr>'435'!OSRRefD21_2x_7</vt:lpstr>
      <vt:lpstr>'444'!OSRRefD21_2x_7</vt:lpstr>
      <vt:lpstr>'450'!OSRRefD21_2x_7</vt:lpstr>
      <vt:lpstr>'491'!OSRRefD21_2x_7</vt:lpstr>
      <vt:lpstr>'492'!OSRRefD21_2x_7</vt:lpstr>
      <vt:lpstr>'501'!OSRRefD21_2x_7</vt:lpstr>
      <vt:lpstr>'Div 2'!OSRRefD21_2x_7</vt:lpstr>
      <vt:lpstr>'Div 3'!OSRRefD21_2x_7</vt:lpstr>
      <vt:lpstr>'Div 4'!OSRRefD21_2x_7</vt:lpstr>
      <vt:lpstr>'Div 5'!OSRRefD21_2x_7</vt:lpstr>
      <vt:lpstr>'Div 6'!OSRRefD21_2x_7</vt:lpstr>
      <vt:lpstr>Summary!OSRRefD21_2x_7</vt:lpstr>
      <vt:lpstr>'200'!OSRRefD21_2x_8</vt:lpstr>
      <vt:lpstr>'201'!OSRRefD21_2x_8</vt:lpstr>
      <vt:lpstr>'202'!OSRRefD21_2x_8</vt:lpstr>
      <vt:lpstr>'203'!OSRRefD21_2x_8</vt:lpstr>
      <vt:lpstr>'204'!OSRRefD21_2x_8</vt:lpstr>
      <vt:lpstr>'205'!OSRRefD21_2x_8</vt:lpstr>
      <vt:lpstr>'206'!OSRRefD21_2x_8</vt:lpstr>
      <vt:lpstr>'300'!OSRRefD21_2x_8</vt:lpstr>
      <vt:lpstr>'300 &amp; 317'!OSRRefD21_2x_8</vt:lpstr>
      <vt:lpstr>'301'!OSRRefD21_2x_8</vt:lpstr>
      <vt:lpstr>'307'!OSRRefD21_2x_8</vt:lpstr>
      <vt:lpstr>'308'!OSRRefD21_2x_8</vt:lpstr>
      <vt:lpstr>'309'!OSRRefD21_2x_8</vt:lpstr>
      <vt:lpstr>'310'!OSRRefD21_2x_8</vt:lpstr>
      <vt:lpstr>'310 &amp; 491'!OSRRefD21_2x_8</vt:lpstr>
      <vt:lpstr>'311'!OSRRefD21_2x_8</vt:lpstr>
      <vt:lpstr>'313'!OSRRefD21_2x_8</vt:lpstr>
      <vt:lpstr>'315'!OSRRefD21_2x_8</vt:lpstr>
      <vt:lpstr>'316'!OSRRefD21_2x_8</vt:lpstr>
      <vt:lpstr>'317'!OSRRefD21_2x_8</vt:lpstr>
      <vt:lpstr>'321'!OSRRefD21_2x_8</vt:lpstr>
      <vt:lpstr>'325'!OSRRefD21_2x_8</vt:lpstr>
      <vt:lpstr>'326'!OSRRefD21_2x_8</vt:lpstr>
      <vt:lpstr>'331'!OSRRefD21_2x_8</vt:lpstr>
      <vt:lpstr>'332'!OSRRefD21_2x_8</vt:lpstr>
      <vt:lpstr>'333'!OSRRefD21_2x_8</vt:lpstr>
      <vt:lpstr>'405'!OSRRefD21_2x_8</vt:lpstr>
      <vt:lpstr>'411'!OSRRefD21_2x_8</vt:lpstr>
      <vt:lpstr>'412'!OSRRefD21_2x_8</vt:lpstr>
      <vt:lpstr>'415'!OSRRefD21_2x_8</vt:lpstr>
      <vt:lpstr>'418'!OSRRefD21_2x_8</vt:lpstr>
      <vt:lpstr>'423'!OSRRefD21_2x_8</vt:lpstr>
      <vt:lpstr>'425'!OSRRefD21_2x_8</vt:lpstr>
      <vt:lpstr>'430'!OSRRefD21_2x_8</vt:lpstr>
      <vt:lpstr>'433'!OSRRefD21_2x_8</vt:lpstr>
      <vt:lpstr>'435'!OSRRefD21_2x_8</vt:lpstr>
      <vt:lpstr>'444'!OSRRefD21_2x_8</vt:lpstr>
      <vt:lpstr>'450'!OSRRefD21_2x_8</vt:lpstr>
      <vt:lpstr>'491'!OSRRefD21_2x_8</vt:lpstr>
      <vt:lpstr>'492'!OSRRefD21_2x_8</vt:lpstr>
      <vt:lpstr>'501'!OSRRefD21_2x_8</vt:lpstr>
      <vt:lpstr>'Div 2'!OSRRefD21_2x_8</vt:lpstr>
      <vt:lpstr>'Div 3'!OSRRefD21_2x_8</vt:lpstr>
      <vt:lpstr>'Div 4'!OSRRefD21_2x_8</vt:lpstr>
      <vt:lpstr>'Div 5'!OSRRefD21_2x_8</vt:lpstr>
      <vt:lpstr>'Div 6'!OSRRefD21_2x_8</vt:lpstr>
      <vt:lpstr>Summary!OSRRefD21_2x_8</vt:lpstr>
      <vt:lpstr>'200'!OSRRefD21_2x_9</vt:lpstr>
      <vt:lpstr>'201'!OSRRefD21_2x_9</vt:lpstr>
      <vt:lpstr>'202'!OSRRefD21_2x_9</vt:lpstr>
      <vt:lpstr>'203'!OSRRefD21_2x_9</vt:lpstr>
      <vt:lpstr>'204'!OSRRefD21_2x_9</vt:lpstr>
      <vt:lpstr>'205'!OSRRefD21_2x_9</vt:lpstr>
      <vt:lpstr>'206'!OSRRefD21_2x_9</vt:lpstr>
      <vt:lpstr>'300'!OSRRefD21_2x_9</vt:lpstr>
      <vt:lpstr>'300 &amp; 317'!OSRRefD21_2x_9</vt:lpstr>
      <vt:lpstr>'301'!OSRRefD21_2x_9</vt:lpstr>
      <vt:lpstr>'307'!OSRRefD21_2x_9</vt:lpstr>
      <vt:lpstr>'308'!OSRRefD21_2x_9</vt:lpstr>
      <vt:lpstr>'309'!OSRRefD21_2x_9</vt:lpstr>
      <vt:lpstr>'310'!OSRRefD21_2x_9</vt:lpstr>
      <vt:lpstr>'310 &amp; 491'!OSRRefD21_2x_9</vt:lpstr>
      <vt:lpstr>'311'!OSRRefD21_2x_9</vt:lpstr>
      <vt:lpstr>'313'!OSRRefD21_2x_9</vt:lpstr>
      <vt:lpstr>'315'!OSRRefD21_2x_9</vt:lpstr>
      <vt:lpstr>'316'!OSRRefD21_2x_9</vt:lpstr>
      <vt:lpstr>'317'!OSRRefD21_2x_9</vt:lpstr>
      <vt:lpstr>'321'!OSRRefD21_2x_9</vt:lpstr>
      <vt:lpstr>'325'!OSRRefD21_2x_9</vt:lpstr>
      <vt:lpstr>'326'!OSRRefD21_2x_9</vt:lpstr>
      <vt:lpstr>'331'!OSRRefD21_2x_9</vt:lpstr>
      <vt:lpstr>'332'!OSRRefD21_2x_9</vt:lpstr>
      <vt:lpstr>'333'!OSRRefD21_2x_9</vt:lpstr>
      <vt:lpstr>'405'!OSRRefD21_2x_9</vt:lpstr>
      <vt:lpstr>'411'!OSRRefD21_2x_9</vt:lpstr>
      <vt:lpstr>'412'!OSRRefD21_2x_9</vt:lpstr>
      <vt:lpstr>'415'!OSRRefD21_2x_9</vt:lpstr>
      <vt:lpstr>'418'!OSRRefD21_2x_9</vt:lpstr>
      <vt:lpstr>'423'!OSRRefD21_2x_9</vt:lpstr>
      <vt:lpstr>'425'!OSRRefD21_2x_9</vt:lpstr>
      <vt:lpstr>'430'!OSRRefD21_2x_9</vt:lpstr>
      <vt:lpstr>'433'!OSRRefD21_2x_9</vt:lpstr>
      <vt:lpstr>'435'!OSRRefD21_2x_9</vt:lpstr>
      <vt:lpstr>'444'!OSRRefD21_2x_9</vt:lpstr>
      <vt:lpstr>'450'!OSRRefD21_2x_9</vt:lpstr>
      <vt:lpstr>'491'!OSRRefD21_2x_9</vt:lpstr>
      <vt:lpstr>'492'!OSRRefD21_2x_9</vt:lpstr>
      <vt:lpstr>'501'!OSRRefD21_2x_9</vt:lpstr>
      <vt:lpstr>'Div 2'!OSRRefD21_2x_9</vt:lpstr>
      <vt:lpstr>'Div 3'!OSRRefD21_2x_9</vt:lpstr>
      <vt:lpstr>'Div 4'!OSRRefD21_2x_9</vt:lpstr>
      <vt:lpstr>'Div 5'!OSRRefD21_2x_9</vt:lpstr>
      <vt:lpstr>'Div 6'!OSRRefD21_2x_9</vt:lpstr>
      <vt:lpstr>Summary!OSRRefD21_2x_9</vt:lpstr>
      <vt:lpstr>'200'!OSRRefD21_3_0x</vt:lpstr>
      <vt:lpstr>'201'!OSRRefD21_3_0x</vt:lpstr>
      <vt:lpstr>'202'!OSRRefD21_3_0x</vt:lpstr>
      <vt:lpstr>'203'!OSRRefD21_3_0x</vt:lpstr>
      <vt:lpstr>'204'!OSRRefD21_3_0x</vt:lpstr>
      <vt:lpstr>'205'!OSRRefD21_3_0x</vt:lpstr>
      <vt:lpstr>'206'!OSRRefD21_3_0x</vt:lpstr>
      <vt:lpstr>'300'!OSRRefD21_3_0x</vt:lpstr>
      <vt:lpstr>'300 &amp; 317'!OSRRefD21_3_0x</vt:lpstr>
      <vt:lpstr>'301'!OSRRefD21_3_0x</vt:lpstr>
      <vt:lpstr>'307'!OSRRefD21_3_0x</vt:lpstr>
      <vt:lpstr>'308'!OSRRefD21_3_0x</vt:lpstr>
      <vt:lpstr>'309'!OSRRefD21_3_0x</vt:lpstr>
      <vt:lpstr>'310'!OSRRefD21_3_0x</vt:lpstr>
      <vt:lpstr>'310 &amp; 491'!OSRRefD21_3_0x</vt:lpstr>
      <vt:lpstr>'311'!OSRRefD21_3_0x</vt:lpstr>
      <vt:lpstr>'315'!OSRRefD21_3_0x</vt:lpstr>
      <vt:lpstr>'316'!OSRRefD21_3_0x</vt:lpstr>
      <vt:lpstr>'317'!OSRRefD21_3_0x</vt:lpstr>
      <vt:lpstr>'321'!OSRRefD21_3_0x</vt:lpstr>
      <vt:lpstr>'325'!OSRRefD21_3_0x</vt:lpstr>
      <vt:lpstr>'326'!OSRRefD21_3_0x</vt:lpstr>
      <vt:lpstr>'331'!OSRRefD21_3_0x</vt:lpstr>
      <vt:lpstr>'332'!OSRRefD21_3_0x</vt:lpstr>
      <vt:lpstr>'333'!OSRRefD21_3_0x</vt:lpstr>
      <vt:lpstr>'405'!OSRRefD21_3_0x</vt:lpstr>
      <vt:lpstr>'411'!OSRRefD21_3_0x</vt:lpstr>
      <vt:lpstr>'412'!OSRRefD21_3_0x</vt:lpstr>
      <vt:lpstr>'415'!OSRRefD21_3_0x</vt:lpstr>
      <vt:lpstr>'418'!OSRRefD21_3_0x</vt:lpstr>
      <vt:lpstr>'423'!OSRRefD21_3_0x</vt:lpstr>
      <vt:lpstr>'425'!OSRRefD21_3_0x</vt:lpstr>
      <vt:lpstr>'430'!OSRRefD21_3_0x</vt:lpstr>
      <vt:lpstr>'433'!OSRRefD21_3_0x</vt:lpstr>
      <vt:lpstr>'435'!OSRRefD21_3_0x</vt:lpstr>
      <vt:lpstr>'444'!OSRRefD21_3_0x</vt:lpstr>
      <vt:lpstr>'450'!OSRRefD21_3_0x</vt:lpstr>
      <vt:lpstr>'491'!OSRRefD21_3_0x</vt:lpstr>
      <vt:lpstr>'492'!OSRRefD21_3_0x</vt:lpstr>
      <vt:lpstr>'501'!OSRRefD21_3_0x</vt:lpstr>
      <vt:lpstr>'Div 2'!OSRRefD21_3_0x</vt:lpstr>
      <vt:lpstr>'Div 3'!OSRRefD21_3_0x</vt:lpstr>
      <vt:lpstr>'Div 4'!OSRRefD21_3_0x</vt:lpstr>
      <vt:lpstr>'Div 5'!OSRRefD21_3_0x</vt:lpstr>
      <vt:lpstr>'Div 6'!OSRRefD21_3_0x</vt:lpstr>
      <vt:lpstr>Summary!OSRRefD21_3_0x</vt:lpstr>
      <vt:lpstr>'206'!OSRRefD21_3_1x</vt:lpstr>
      <vt:lpstr>'411'!OSRRefD21_3_1x</vt:lpstr>
      <vt:lpstr>'200'!OSRRefD21_3x_0</vt:lpstr>
      <vt:lpstr>'201'!OSRRefD21_3x_0</vt:lpstr>
      <vt:lpstr>'202'!OSRRefD21_3x_0</vt:lpstr>
      <vt:lpstr>'203'!OSRRefD21_3x_0</vt:lpstr>
      <vt:lpstr>'204'!OSRRefD21_3x_0</vt:lpstr>
      <vt:lpstr>'205'!OSRRefD21_3x_0</vt:lpstr>
      <vt:lpstr>'206'!OSRRefD21_3x_0</vt:lpstr>
      <vt:lpstr>'300'!OSRRefD21_3x_0</vt:lpstr>
      <vt:lpstr>'300 &amp; 317'!OSRRefD21_3x_0</vt:lpstr>
      <vt:lpstr>'301'!OSRRefD21_3x_0</vt:lpstr>
      <vt:lpstr>'307'!OSRRefD21_3x_0</vt:lpstr>
      <vt:lpstr>'308'!OSRRefD21_3x_0</vt:lpstr>
      <vt:lpstr>'309'!OSRRefD21_3x_0</vt:lpstr>
      <vt:lpstr>'310'!OSRRefD21_3x_0</vt:lpstr>
      <vt:lpstr>'310 &amp; 491'!OSRRefD21_3x_0</vt:lpstr>
      <vt:lpstr>'311'!OSRRefD21_3x_0</vt:lpstr>
      <vt:lpstr>'315'!OSRRefD21_3x_0</vt:lpstr>
      <vt:lpstr>'316'!OSRRefD21_3x_0</vt:lpstr>
      <vt:lpstr>'317'!OSRRefD21_3x_0</vt:lpstr>
      <vt:lpstr>'321'!OSRRefD21_3x_0</vt:lpstr>
      <vt:lpstr>'325'!OSRRefD21_3x_0</vt:lpstr>
      <vt:lpstr>'326'!OSRRefD21_3x_0</vt:lpstr>
      <vt:lpstr>'331'!OSRRefD21_3x_0</vt:lpstr>
      <vt:lpstr>'332'!OSRRefD21_3x_0</vt:lpstr>
      <vt:lpstr>'333'!OSRRefD21_3x_0</vt:lpstr>
      <vt:lpstr>'405'!OSRRefD21_3x_0</vt:lpstr>
      <vt:lpstr>'411'!OSRRefD21_3x_0</vt:lpstr>
      <vt:lpstr>'412'!OSRRefD21_3x_0</vt:lpstr>
      <vt:lpstr>'415'!OSRRefD21_3x_0</vt:lpstr>
      <vt:lpstr>'418'!OSRRefD21_3x_0</vt:lpstr>
      <vt:lpstr>'423'!OSRRefD21_3x_0</vt:lpstr>
      <vt:lpstr>'425'!OSRRefD21_3x_0</vt:lpstr>
      <vt:lpstr>'430'!OSRRefD21_3x_0</vt:lpstr>
      <vt:lpstr>'433'!OSRRefD21_3x_0</vt:lpstr>
      <vt:lpstr>'435'!OSRRefD21_3x_0</vt:lpstr>
      <vt:lpstr>'444'!OSRRefD21_3x_0</vt:lpstr>
      <vt:lpstr>'450'!OSRRefD21_3x_0</vt:lpstr>
      <vt:lpstr>'491'!OSRRefD21_3x_0</vt:lpstr>
      <vt:lpstr>'492'!OSRRefD21_3x_0</vt:lpstr>
      <vt:lpstr>'501'!OSRRefD21_3x_0</vt:lpstr>
      <vt:lpstr>'Div 2'!OSRRefD21_3x_0</vt:lpstr>
      <vt:lpstr>'Div 3'!OSRRefD21_3x_0</vt:lpstr>
      <vt:lpstr>'Div 4'!OSRRefD21_3x_0</vt:lpstr>
      <vt:lpstr>'Div 5'!OSRRefD21_3x_0</vt:lpstr>
      <vt:lpstr>'Div 6'!OSRRefD21_3x_0</vt:lpstr>
      <vt:lpstr>Summary!OSRRefD21_3x_0</vt:lpstr>
      <vt:lpstr>'200'!OSRRefD21_3x_1</vt:lpstr>
      <vt:lpstr>'201'!OSRRefD21_3x_1</vt:lpstr>
      <vt:lpstr>'202'!OSRRefD21_3x_1</vt:lpstr>
      <vt:lpstr>'203'!OSRRefD21_3x_1</vt:lpstr>
      <vt:lpstr>'204'!OSRRefD21_3x_1</vt:lpstr>
      <vt:lpstr>'205'!OSRRefD21_3x_1</vt:lpstr>
      <vt:lpstr>'206'!OSRRefD21_3x_1</vt:lpstr>
      <vt:lpstr>'300'!OSRRefD21_3x_1</vt:lpstr>
      <vt:lpstr>'300 &amp; 317'!OSRRefD21_3x_1</vt:lpstr>
      <vt:lpstr>'301'!OSRRefD21_3x_1</vt:lpstr>
      <vt:lpstr>'307'!OSRRefD21_3x_1</vt:lpstr>
      <vt:lpstr>'308'!OSRRefD21_3x_1</vt:lpstr>
      <vt:lpstr>'309'!OSRRefD21_3x_1</vt:lpstr>
      <vt:lpstr>'310'!OSRRefD21_3x_1</vt:lpstr>
      <vt:lpstr>'310 &amp; 491'!OSRRefD21_3x_1</vt:lpstr>
      <vt:lpstr>'311'!OSRRefD21_3x_1</vt:lpstr>
      <vt:lpstr>'315'!OSRRefD21_3x_1</vt:lpstr>
      <vt:lpstr>'316'!OSRRefD21_3x_1</vt:lpstr>
      <vt:lpstr>'317'!OSRRefD21_3x_1</vt:lpstr>
      <vt:lpstr>'321'!OSRRefD21_3x_1</vt:lpstr>
      <vt:lpstr>'325'!OSRRefD21_3x_1</vt:lpstr>
      <vt:lpstr>'326'!OSRRefD21_3x_1</vt:lpstr>
      <vt:lpstr>'331'!OSRRefD21_3x_1</vt:lpstr>
      <vt:lpstr>'332'!OSRRefD21_3x_1</vt:lpstr>
      <vt:lpstr>'333'!OSRRefD21_3x_1</vt:lpstr>
      <vt:lpstr>'405'!OSRRefD21_3x_1</vt:lpstr>
      <vt:lpstr>'411'!OSRRefD21_3x_1</vt:lpstr>
      <vt:lpstr>'412'!OSRRefD21_3x_1</vt:lpstr>
      <vt:lpstr>'415'!OSRRefD21_3x_1</vt:lpstr>
      <vt:lpstr>'418'!OSRRefD21_3x_1</vt:lpstr>
      <vt:lpstr>'423'!OSRRefD21_3x_1</vt:lpstr>
      <vt:lpstr>'425'!OSRRefD21_3x_1</vt:lpstr>
      <vt:lpstr>'430'!OSRRefD21_3x_1</vt:lpstr>
      <vt:lpstr>'433'!OSRRefD21_3x_1</vt:lpstr>
      <vt:lpstr>'435'!OSRRefD21_3x_1</vt:lpstr>
      <vt:lpstr>'444'!OSRRefD21_3x_1</vt:lpstr>
      <vt:lpstr>'450'!OSRRefD21_3x_1</vt:lpstr>
      <vt:lpstr>'491'!OSRRefD21_3x_1</vt:lpstr>
      <vt:lpstr>'492'!OSRRefD21_3x_1</vt:lpstr>
      <vt:lpstr>'501'!OSRRefD21_3x_1</vt:lpstr>
      <vt:lpstr>'Div 2'!OSRRefD21_3x_1</vt:lpstr>
      <vt:lpstr>'Div 3'!OSRRefD21_3x_1</vt:lpstr>
      <vt:lpstr>'Div 4'!OSRRefD21_3x_1</vt:lpstr>
      <vt:lpstr>'Div 5'!OSRRefD21_3x_1</vt:lpstr>
      <vt:lpstr>'Div 6'!OSRRefD21_3x_1</vt:lpstr>
      <vt:lpstr>Summary!OSRRefD21_3x_1</vt:lpstr>
      <vt:lpstr>'200'!OSRRefD21_3x_2</vt:lpstr>
      <vt:lpstr>'201'!OSRRefD21_3x_2</vt:lpstr>
      <vt:lpstr>'202'!OSRRefD21_3x_2</vt:lpstr>
      <vt:lpstr>'203'!OSRRefD21_3x_2</vt:lpstr>
      <vt:lpstr>'204'!OSRRefD21_3x_2</vt:lpstr>
      <vt:lpstr>'205'!OSRRefD21_3x_2</vt:lpstr>
      <vt:lpstr>'206'!OSRRefD21_3x_2</vt:lpstr>
      <vt:lpstr>'300'!OSRRefD21_3x_2</vt:lpstr>
      <vt:lpstr>'300 &amp; 317'!OSRRefD21_3x_2</vt:lpstr>
      <vt:lpstr>'301'!OSRRefD21_3x_2</vt:lpstr>
      <vt:lpstr>'307'!OSRRefD21_3x_2</vt:lpstr>
      <vt:lpstr>'308'!OSRRefD21_3x_2</vt:lpstr>
      <vt:lpstr>'309'!OSRRefD21_3x_2</vt:lpstr>
      <vt:lpstr>'310'!OSRRefD21_3x_2</vt:lpstr>
      <vt:lpstr>'310 &amp; 491'!OSRRefD21_3x_2</vt:lpstr>
      <vt:lpstr>'311'!OSRRefD21_3x_2</vt:lpstr>
      <vt:lpstr>'315'!OSRRefD21_3x_2</vt:lpstr>
      <vt:lpstr>'316'!OSRRefD21_3x_2</vt:lpstr>
      <vt:lpstr>'317'!OSRRefD21_3x_2</vt:lpstr>
      <vt:lpstr>'321'!OSRRefD21_3x_2</vt:lpstr>
      <vt:lpstr>'325'!OSRRefD21_3x_2</vt:lpstr>
      <vt:lpstr>'326'!OSRRefD21_3x_2</vt:lpstr>
      <vt:lpstr>'331'!OSRRefD21_3x_2</vt:lpstr>
      <vt:lpstr>'332'!OSRRefD21_3x_2</vt:lpstr>
      <vt:lpstr>'333'!OSRRefD21_3x_2</vt:lpstr>
      <vt:lpstr>'405'!OSRRefD21_3x_2</vt:lpstr>
      <vt:lpstr>'411'!OSRRefD21_3x_2</vt:lpstr>
      <vt:lpstr>'412'!OSRRefD21_3x_2</vt:lpstr>
      <vt:lpstr>'415'!OSRRefD21_3x_2</vt:lpstr>
      <vt:lpstr>'418'!OSRRefD21_3x_2</vt:lpstr>
      <vt:lpstr>'423'!OSRRefD21_3x_2</vt:lpstr>
      <vt:lpstr>'425'!OSRRefD21_3x_2</vt:lpstr>
      <vt:lpstr>'430'!OSRRefD21_3x_2</vt:lpstr>
      <vt:lpstr>'433'!OSRRefD21_3x_2</vt:lpstr>
      <vt:lpstr>'435'!OSRRefD21_3x_2</vt:lpstr>
      <vt:lpstr>'444'!OSRRefD21_3x_2</vt:lpstr>
      <vt:lpstr>'450'!OSRRefD21_3x_2</vt:lpstr>
      <vt:lpstr>'491'!OSRRefD21_3x_2</vt:lpstr>
      <vt:lpstr>'492'!OSRRefD21_3x_2</vt:lpstr>
      <vt:lpstr>'501'!OSRRefD21_3x_2</vt:lpstr>
      <vt:lpstr>'Div 2'!OSRRefD21_3x_2</vt:lpstr>
      <vt:lpstr>'Div 3'!OSRRefD21_3x_2</vt:lpstr>
      <vt:lpstr>'Div 4'!OSRRefD21_3x_2</vt:lpstr>
      <vt:lpstr>'Div 5'!OSRRefD21_3x_2</vt:lpstr>
      <vt:lpstr>'Div 6'!OSRRefD21_3x_2</vt:lpstr>
      <vt:lpstr>Summary!OSRRefD21_3x_2</vt:lpstr>
      <vt:lpstr>'200'!OSRRefD21_3x_3</vt:lpstr>
      <vt:lpstr>'201'!OSRRefD21_3x_3</vt:lpstr>
      <vt:lpstr>'202'!OSRRefD21_3x_3</vt:lpstr>
      <vt:lpstr>'203'!OSRRefD21_3x_3</vt:lpstr>
      <vt:lpstr>'204'!OSRRefD21_3x_3</vt:lpstr>
      <vt:lpstr>'205'!OSRRefD21_3x_3</vt:lpstr>
      <vt:lpstr>'206'!OSRRefD21_3x_3</vt:lpstr>
      <vt:lpstr>'300'!OSRRefD21_3x_3</vt:lpstr>
      <vt:lpstr>'300 &amp; 317'!OSRRefD21_3x_3</vt:lpstr>
      <vt:lpstr>'301'!OSRRefD21_3x_3</vt:lpstr>
      <vt:lpstr>'307'!OSRRefD21_3x_3</vt:lpstr>
      <vt:lpstr>'308'!OSRRefD21_3x_3</vt:lpstr>
      <vt:lpstr>'309'!OSRRefD21_3x_3</vt:lpstr>
      <vt:lpstr>'310'!OSRRefD21_3x_3</vt:lpstr>
      <vt:lpstr>'310 &amp; 491'!OSRRefD21_3x_3</vt:lpstr>
      <vt:lpstr>'311'!OSRRefD21_3x_3</vt:lpstr>
      <vt:lpstr>'315'!OSRRefD21_3x_3</vt:lpstr>
      <vt:lpstr>'316'!OSRRefD21_3x_3</vt:lpstr>
      <vt:lpstr>'317'!OSRRefD21_3x_3</vt:lpstr>
      <vt:lpstr>'321'!OSRRefD21_3x_3</vt:lpstr>
      <vt:lpstr>'325'!OSRRefD21_3x_3</vt:lpstr>
      <vt:lpstr>'326'!OSRRefD21_3x_3</vt:lpstr>
      <vt:lpstr>'331'!OSRRefD21_3x_3</vt:lpstr>
      <vt:lpstr>'332'!OSRRefD21_3x_3</vt:lpstr>
      <vt:lpstr>'333'!OSRRefD21_3x_3</vt:lpstr>
      <vt:lpstr>'405'!OSRRefD21_3x_3</vt:lpstr>
      <vt:lpstr>'411'!OSRRefD21_3x_3</vt:lpstr>
      <vt:lpstr>'412'!OSRRefD21_3x_3</vt:lpstr>
      <vt:lpstr>'415'!OSRRefD21_3x_3</vt:lpstr>
      <vt:lpstr>'418'!OSRRefD21_3x_3</vt:lpstr>
      <vt:lpstr>'423'!OSRRefD21_3x_3</vt:lpstr>
      <vt:lpstr>'425'!OSRRefD21_3x_3</vt:lpstr>
      <vt:lpstr>'430'!OSRRefD21_3x_3</vt:lpstr>
      <vt:lpstr>'433'!OSRRefD21_3x_3</vt:lpstr>
      <vt:lpstr>'435'!OSRRefD21_3x_3</vt:lpstr>
      <vt:lpstr>'444'!OSRRefD21_3x_3</vt:lpstr>
      <vt:lpstr>'450'!OSRRefD21_3x_3</vt:lpstr>
      <vt:lpstr>'491'!OSRRefD21_3x_3</vt:lpstr>
      <vt:lpstr>'492'!OSRRefD21_3x_3</vt:lpstr>
      <vt:lpstr>'501'!OSRRefD21_3x_3</vt:lpstr>
      <vt:lpstr>'Div 2'!OSRRefD21_3x_3</vt:lpstr>
      <vt:lpstr>'Div 3'!OSRRefD21_3x_3</vt:lpstr>
      <vt:lpstr>'Div 4'!OSRRefD21_3x_3</vt:lpstr>
      <vt:lpstr>'Div 5'!OSRRefD21_3x_3</vt:lpstr>
      <vt:lpstr>'Div 6'!OSRRefD21_3x_3</vt:lpstr>
      <vt:lpstr>Summary!OSRRefD21_3x_3</vt:lpstr>
      <vt:lpstr>'200'!OSRRefD21_3x_4</vt:lpstr>
      <vt:lpstr>'201'!OSRRefD21_3x_4</vt:lpstr>
      <vt:lpstr>'202'!OSRRefD21_3x_4</vt:lpstr>
      <vt:lpstr>'203'!OSRRefD21_3x_4</vt:lpstr>
      <vt:lpstr>'204'!OSRRefD21_3x_4</vt:lpstr>
      <vt:lpstr>'205'!OSRRefD21_3x_4</vt:lpstr>
      <vt:lpstr>'206'!OSRRefD21_3x_4</vt:lpstr>
      <vt:lpstr>'300'!OSRRefD21_3x_4</vt:lpstr>
      <vt:lpstr>'300 &amp; 317'!OSRRefD21_3x_4</vt:lpstr>
      <vt:lpstr>'301'!OSRRefD21_3x_4</vt:lpstr>
      <vt:lpstr>'307'!OSRRefD21_3x_4</vt:lpstr>
      <vt:lpstr>'308'!OSRRefD21_3x_4</vt:lpstr>
      <vt:lpstr>'309'!OSRRefD21_3x_4</vt:lpstr>
      <vt:lpstr>'310'!OSRRefD21_3x_4</vt:lpstr>
      <vt:lpstr>'310 &amp; 491'!OSRRefD21_3x_4</vt:lpstr>
      <vt:lpstr>'311'!OSRRefD21_3x_4</vt:lpstr>
      <vt:lpstr>'315'!OSRRefD21_3x_4</vt:lpstr>
      <vt:lpstr>'316'!OSRRefD21_3x_4</vt:lpstr>
      <vt:lpstr>'317'!OSRRefD21_3x_4</vt:lpstr>
      <vt:lpstr>'321'!OSRRefD21_3x_4</vt:lpstr>
      <vt:lpstr>'325'!OSRRefD21_3x_4</vt:lpstr>
      <vt:lpstr>'326'!OSRRefD21_3x_4</vt:lpstr>
      <vt:lpstr>'331'!OSRRefD21_3x_4</vt:lpstr>
      <vt:lpstr>'332'!OSRRefD21_3x_4</vt:lpstr>
      <vt:lpstr>'333'!OSRRefD21_3x_4</vt:lpstr>
      <vt:lpstr>'405'!OSRRefD21_3x_4</vt:lpstr>
      <vt:lpstr>'411'!OSRRefD21_3x_4</vt:lpstr>
      <vt:lpstr>'412'!OSRRefD21_3x_4</vt:lpstr>
      <vt:lpstr>'415'!OSRRefD21_3x_4</vt:lpstr>
      <vt:lpstr>'418'!OSRRefD21_3x_4</vt:lpstr>
      <vt:lpstr>'423'!OSRRefD21_3x_4</vt:lpstr>
      <vt:lpstr>'425'!OSRRefD21_3x_4</vt:lpstr>
      <vt:lpstr>'430'!OSRRefD21_3x_4</vt:lpstr>
      <vt:lpstr>'433'!OSRRefD21_3x_4</vt:lpstr>
      <vt:lpstr>'435'!OSRRefD21_3x_4</vt:lpstr>
      <vt:lpstr>'444'!OSRRefD21_3x_4</vt:lpstr>
      <vt:lpstr>'450'!OSRRefD21_3x_4</vt:lpstr>
      <vt:lpstr>'491'!OSRRefD21_3x_4</vt:lpstr>
      <vt:lpstr>'492'!OSRRefD21_3x_4</vt:lpstr>
      <vt:lpstr>'501'!OSRRefD21_3x_4</vt:lpstr>
      <vt:lpstr>'Div 2'!OSRRefD21_3x_4</vt:lpstr>
      <vt:lpstr>'Div 3'!OSRRefD21_3x_4</vt:lpstr>
      <vt:lpstr>'Div 4'!OSRRefD21_3x_4</vt:lpstr>
      <vt:lpstr>'Div 5'!OSRRefD21_3x_4</vt:lpstr>
      <vt:lpstr>'Div 6'!OSRRefD21_3x_4</vt:lpstr>
      <vt:lpstr>Summary!OSRRefD21_3x_4</vt:lpstr>
      <vt:lpstr>'200'!OSRRefD21_3x_5</vt:lpstr>
      <vt:lpstr>'201'!OSRRefD21_3x_5</vt:lpstr>
      <vt:lpstr>'202'!OSRRefD21_3x_5</vt:lpstr>
      <vt:lpstr>'203'!OSRRefD21_3x_5</vt:lpstr>
      <vt:lpstr>'204'!OSRRefD21_3x_5</vt:lpstr>
      <vt:lpstr>'205'!OSRRefD21_3x_5</vt:lpstr>
      <vt:lpstr>'206'!OSRRefD21_3x_5</vt:lpstr>
      <vt:lpstr>'300'!OSRRefD21_3x_5</vt:lpstr>
      <vt:lpstr>'300 &amp; 317'!OSRRefD21_3x_5</vt:lpstr>
      <vt:lpstr>'301'!OSRRefD21_3x_5</vt:lpstr>
      <vt:lpstr>'307'!OSRRefD21_3x_5</vt:lpstr>
      <vt:lpstr>'308'!OSRRefD21_3x_5</vt:lpstr>
      <vt:lpstr>'309'!OSRRefD21_3x_5</vt:lpstr>
      <vt:lpstr>'310'!OSRRefD21_3x_5</vt:lpstr>
      <vt:lpstr>'310 &amp; 491'!OSRRefD21_3x_5</vt:lpstr>
      <vt:lpstr>'311'!OSRRefD21_3x_5</vt:lpstr>
      <vt:lpstr>'315'!OSRRefD21_3x_5</vt:lpstr>
      <vt:lpstr>'316'!OSRRefD21_3x_5</vt:lpstr>
      <vt:lpstr>'317'!OSRRefD21_3x_5</vt:lpstr>
      <vt:lpstr>'321'!OSRRefD21_3x_5</vt:lpstr>
      <vt:lpstr>'325'!OSRRefD21_3x_5</vt:lpstr>
      <vt:lpstr>'326'!OSRRefD21_3x_5</vt:lpstr>
      <vt:lpstr>'331'!OSRRefD21_3x_5</vt:lpstr>
      <vt:lpstr>'332'!OSRRefD21_3x_5</vt:lpstr>
      <vt:lpstr>'333'!OSRRefD21_3x_5</vt:lpstr>
      <vt:lpstr>'405'!OSRRefD21_3x_5</vt:lpstr>
      <vt:lpstr>'411'!OSRRefD21_3x_5</vt:lpstr>
      <vt:lpstr>'412'!OSRRefD21_3x_5</vt:lpstr>
      <vt:lpstr>'415'!OSRRefD21_3x_5</vt:lpstr>
      <vt:lpstr>'418'!OSRRefD21_3x_5</vt:lpstr>
      <vt:lpstr>'423'!OSRRefD21_3x_5</vt:lpstr>
      <vt:lpstr>'425'!OSRRefD21_3x_5</vt:lpstr>
      <vt:lpstr>'430'!OSRRefD21_3x_5</vt:lpstr>
      <vt:lpstr>'433'!OSRRefD21_3x_5</vt:lpstr>
      <vt:lpstr>'435'!OSRRefD21_3x_5</vt:lpstr>
      <vt:lpstr>'444'!OSRRefD21_3x_5</vt:lpstr>
      <vt:lpstr>'450'!OSRRefD21_3x_5</vt:lpstr>
      <vt:lpstr>'491'!OSRRefD21_3x_5</vt:lpstr>
      <vt:lpstr>'492'!OSRRefD21_3x_5</vt:lpstr>
      <vt:lpstr>'501'!OSRRefD21_3x_5</vt:lpstr>
      <vt:lpstr>'Div 2'!OSRRefD21_3x_5</vt:lpstr>
      <vt:lpstr>'Div 3'!OSRRefD21_3x_5</vt:lpstr>
      <vt:lpstr>'Div 4'!OSRRefD21_3x_5</vt:lpstr>
      <vt:lpstr>'Div 5'!OSRRefD21_3x_5</vt:lpstr>
      <vt:lpstr>'Div 6'!OSRRefD21_3x_5</vt:lpstr>
      <vt:lpstr>Summary!OSRRefD21_3x_5</vt:lpstr>
      <vt:lpstr>'200'!OSRRefD21_3x_6</vt:lpstr>
      <vt:lpstr>'201'!OSRRefD21_3x_6</vt:lpstr>
      <vt:lpstr>'202'!OSRRefD21_3x_6</vt:lpstr>
      <vt:lpstr>'203'!OSRRefD21_3x_6</vt:lpstr>
      <vt:lpstr>'204'!OSRRefD21_3x_6</vt:lpstr>
      <vt:lpstr>'205'!OSRRefD21_3x_6</vt:lpstr>
      <vt:lpstr>'206'!OSRRefD21_3x_6</vt:lpstr>
      <vt:lpstr>'300'!OSRRefD21_3x_6</vt:lpstr>
      <vt:lpstr>'300 &amp; 317'!OSRRefD21_3x_6</vt:lpstr>
      <vt:lpstr>'301'!OSRRefD21_3x_6</vt:lpstr>
      <vt:lpstr>'307'!OSRRefD21_3x_6</vt:lpstr>
      <vt:lpstr>'308'!OSRRefD21_3x_6</vt:lpstr>
      <vt:lpstr>'309'!OSRRefD21_3x_6</vt:lpstr>
      <vt:lpstr>'310'!OSRRefD21_3x_6</vt:lpstr>
      <vt:lpstr>'310 &amp; 491'!OSRRefD21_3x_6</vt:lpstr>
      <vt:lpstr>'311'!OSRRefD21_3x_6</vt:lpstr>
      <vt:lpstr>'315'!OSRRefD21_3x_6</vt:lpstr>
      <vt:lpstr>'316'!OSRRefD21_3x_6</vt:lpstr>
      <vt:lpstr>'317'!OSRRefD21_3x_6</vt:lpstr>
      <vt:lpstr>'321'!OSRRefD21_3x_6</vt:lpstr>
      <vt:lpstr>'325'!OSRRefD21_3x_6</vt:lpstr>
      <vt:lpstr>'326'!OSRRefD21_3x_6</vt:lpstr>
      <vt:lpstr>'331'!OSRRefD21_3x_6</vt:lpstr>
      <vt:lpstr>'332'!OSRRefD21_3x_6</vt:lpstr>
      <vt:lpstr>'333'!OSRRefD21_3x_6</vt:lpstr>
      <vt:lpstr>'405'!OSRRefD21_3x_6</vt:lpstr>
      <vt:lpstr>'411'!OSRRefD21_3x_6</vt:lpstr>
      <vt:lpstr>'412'!OSRRefD21_3x_6</vt:lpstr>
      <vt:lpstr>'415'!OSRRefD21_3x_6</vt:lpstr>
      <vt:lpstr>'418'!OSRRefD21_3x_6</vt:lpstr>
      <vt:lpstr>'423'!OSRRefD21_3x_6</vt:lpstr>
      <vt:lpstr>'425'!OSRRefD21_3x_6</vt:lpstr>
      <vt:lpstr>'430'!OSRRefD21_3x_6</vt:lpstr>
      <vt:lpstr>'433'!OSRRefD21_3x_6</vt:lpstr>
      <vt:lpstr>'435'!OSRRefD21_3x_6</vt:lpstr>
      <vt:lpstr>'444'!OSRRefD21_3x_6</vt:lpstr>
      <vt:lpstr>'450'!OSRRefD21_3x_6</vt:lpstr>
      <vt:lpstr>'491'!OSRRefD21_3x_6</vt:lpstr>
      <vt:lpstr>'492'!OSRRefD21_3x_6</vt:lpstr>
      <vt:lpstr>'501'!OSRRefD21_3x_6</vt:lpstr>
      <vt:lpstr>'Div 2'!OSRRefD21_3x_6</vt:lpstr>
      <vt:lpstr>'Div 3'!OSRRefD21_3x_6</vt:lpstr>
      <vt:lpstr>'Div 4'!OSRRefD21_3x_6</vt:lpstr>
      <vt:lpstr>'Div 5'!OSRRefD21_3x_6</vt:lpstr>
      <vt:lpstr>'Div 6'!OSRRefD21_3x_6</vt:lpstr>
      <vt:lpstr>Summary!OSRRefD21_3x_6</vt:lpstr>
      <vt:lpstr>'200'!OSRRefD21_3x_7</vt:lpstr>
      <vt:lpstr>'201'!OSRRefD21_3x_7</vt:lpstr>
      <vt:lpstr>'202'!OSRRefD21_3x_7</vt:lpstr>
      <vt:lpstr>'203'!OSRRefD21_3x_7</vt:lpstr>
      <vt:lpstr>'204'!OSRRefD21_3x_7</vt:lpstr>
      <vt:lpstr>'205'!OSRRefD21_3x_7</vt:lpstr>
      <vt:lpstr>'206'!OSRRefD21_3x_7</vt:lpstr>
      <vt:lpstr>'300'!OSRRefD21_3x_7</vt:lpstr>
      <vt:lpstr>'300 &amp; 317'!OSRRefD21_3x_7</vt:lpstr>
      <vt:lpstr>'301'!OSRRefD21_3x_7</vt:lpstr>
      <vt:lpstr>'307'!OSRRefD21_3x_7</vt:lpstr>
      <vt:lpstr>'308'!OSRRefD21_3x_7</vt:lpstr>
      <vt:lpstr>'309'!OSRRefD21_3x_7</vt:lpstr>
      <vt:lpstr>'310'!OSRRefD21_3x_7</vt:lpstr>
      <vt:lpstr>'310 &amp; 491'!OSRRefD21_3x_7</vt:lpstr>
      <vt:lpstr>'311'!OSRRefD21_3x_7</vt:lpstr>
      <vt:lpstr>'315'!OSRRefD21_3x_7</vt:lpstr>
      <vt:lpstr>'316'!OSRRefD21_3x_7</vt:lpstr>
      <vt:lpstr>'317'!OSRRefD21_3x_7</vt:lpstr>
      <vt:lpstr>'321'!OSRRefD21_3x_7</vt:lpstr>
      <vt:lpstr>'325'!OSRRefD21_3x_7</vt:lpstr>
      <vt:lpstr>'326'!OSRRefD21_3x_7</vt:lpstr>
      <vt:lpstr>'331'!OSRRefD21_3x_7</vt:lpstr>
      <vt:lpstr>'332'!OSRRefD21_3x_7</vt:lpstr>
      <vt:lpstr>'333'!OSRRefD21_3x_7</vt:lpstr>
      <vt:lpstr>'405'!OSRRefD21_3x_7</vt:lpstr>
      <vt:lpstr>'411'!OSRRefD21_3x_7</vt:lpstr>
      <vt:lpstr>'412'!OSRRefD21_3x_7</vt:lpstr>
      <vt:lpstr>'415'!OSRRefD21_3x_7</vt:lpstr>
      <vt:lpstr>'418'!OSRRefD21_3x_7</vt:lpstr>
      <vt:lpstr>'423'!OSRRefD21_3x_7</vt:lpstr>
      <vt:lpstr>'425'!OSRRefD21_3x_7</vt:lpstr>
      <vt:lpstr>'430'!OSRRefD21_3x_7</vt:lpstr>
      <vt:lpstr>'433'!OSRRefD21_3x_7</vt:lpstr>
      <vt:lpstr>'435'!OSRRefD21_3x_7</vt:lpstr>
      <vt:lpstr>'444'!OSRRefD21_3x_7</vt:lpstr>
      <vt:lpstr>'450'!OSRRefD21_3x_7</vt:lpstr>
      <vt:lpstr>'491'!OSRRefD21_3x_7</vt:lpstr>
      <vt:lpstr>'492'!OSRRefD21_3x_7</vt:lpstr>
      <vt:lpstr>'501'!OSRRefD21_3x_7</vt:lpstr>
      <vt:lpstr>'Div 2'!OSRRefD21_3x_7</vt:lpstr>
      <vt:lpstr>'Div 3'!OSRRefD21_3x_7</vt:lpstr>
      <vt:lpstr>'Div 4'!OSRRefD21_3x_7</vt:lpstr>
      <vt:lpstr>'Div 5'!OSRRefD21_3x_7</vt:lpstr>
      <vt:lpstr>'Div 6'!OSRRefD21_3x_7</vt:lpstr>
      <vt:lpstr>Summary!OSRRefD21_3x_7</vt:lpstr>
      <vt:lpstr>'200'!OSRRefD21_3x_8</vt:lpstr>
      <vt:lpstr>'201'!OSRRefD21_3x_8</vt:lpstr>
      <vt:lpstr>'202'!OSRRefD21_3x_8</vt:lpstr>
      <vt:lpstr>'203'!OSRRefD21_3x_8</vt:lpstr>
      <vt:lpstr>'204'!OSRRefD21_3x_8</vt:lpstr>
      <vt:lpstr>'205'!OSRRefD21_3x_8</vt:lpstr>
      <vt:lpstr>'206'!OSRRefD21_3x_8</vt:lpstr>
      <vt:lpstr>'300'!OSRRefD21_3x_8</vt:lpstr>
      <vt:lpstr>'300 &amp; 317'!OSRRefD21_3x_8</vt:lpstr>
      <vt:lpstr>'301'!OSRRefD21_3x_8</vt:lpstr>
      <vt:lpstr>'307'!OSRRefD21_3x_8</vt:lpstr>
      <vt:lpstr>'308'!OSRRefD21_3x_8</vt:lpstr>
      <vt:lpstr>'309'!OSRRefD21_3x_8</vt:lpstr>
      <vt:lpstr>'310'!OSRRefD21_3x_8</vt:lpstr>
      <vt:lpstr>'310 &amp; 491'!OSRRefD21_3x_8</vt:lpstr>
      <vt:lpstr>'311'!OSRRefD21_3x_8</vt:lpstr>
      <vt:lpstr>'315'!OSRRefD21_3x_8</vt:lpstr>
      <vt:lpstr>'316'!OSRRefD21_3x_8</vt:lpstr>
      <vt:lpstr>'317'!OSRRefD21_3x_8</vt:lpstr>
      <vt:lpstr>'321'!OSRRefD21_3x_8</vt:lpstr>
      <vt:lpstr>'325'!OSRRefD21_3x_8</vt:lpstr>
      <vt:lpstr>'326'!OSRRefD21_3x_8</vt:lpstr>
      <vt:lpstr>'331'!OSRRefD21_3x_8</vt:lpstr>
      <vt:lpstr>'332'!OSRRefD21_3x_8</vt:lpstr>
      <vt:lpstr>'333'!OSRRefD21_3x_8</vt:lpstr>
      <vt:lpstr>'405'!OSRRefD21_3x_8</vt:lpstr>
      <vt:lpstr>'411'!OSRRefD21_3x_8</vt:lpstr>
      <vt:lpstr>'412'!OSRRefD21_3x_8</vt:lpstr>
      <vt:lpstr>'415'!OSRRefD21_3x_8</vt:lpstr>
      <vt:lpstr>'418'!OSRRefD21_3x_8</vt:lpstr>
      <vt:lpstr>'423'!OSRRefD21_3x_8</vt:lpstr>
      <vt:lpstr>'425'!OSRRefD21_3x_8</vt:lpstr>
      <vt:lpstr>'430'!OSRRefD21_3x_8</vt:lpstr>
      <vt:lpstr>'433'!OSRRefD21_3x_8</vt:lpstr>
      <vt:lpstr>'435'!OSRRefD21_3x_8</vt:lpstr>
      <vt:lpstr>'444'!OSRRefD21_3x_8</vt:lpstr>
      <vt:lpstr>'450'!OSRRefD21_3x_8</vt:lpstr>
      <vt:lpstr>'491'!OSRRefD21_3x_8</vt:lpstr>
      <vt:lpstr>'492'!OSRRefD21_3x_8</vt:lpstr>
      <vt:lpstr>'501'!OSRRefD21_3x_8</vt:lpstr>
      <vt:lpstr>'Div 2'!OSRRefD21_3x_8</vt:lpstr>
      <vt:lpstr>'Div 3'!OSRRefD21_3x_8</vt:lpstr>
      <vt:lpstr>'Div 4'!OSRRefD21_3x_8</vt:lpstr>
      <vt:lpstr>'Div 5'!OSRRefD21_3x_8</vt:lpstr>
      <vt:lpstr>'Div 6'!OSRRefD21_3x_8</vt:lpstr>
      <vt:lpstr>Summary!OSRRefD21_3x_8</vt:lpstr>
      <vt:lpstr>'200'!OSRRefD21_3x_9</vt:lpstr>
      <vt:lpstr>'201'!OSRRefD21_3x_9</vt:lpstr>
      <vt:lpstr>'202'!OSRRefD21_3x_9</vt:lpstr>
      <vt:lpstr>'203'!OSRRefD21_3x_9</vt:lpstr>
      <vt:lpstr>'204'!OSRRefD21_3x_9</vt:lpstr>
      <vt:lpstr>'205'!OSRRefD21_3x_9</vt:lpstr>
      <vt:lpstr>'206'!OSRRefD21_3x_9</vt:lpstr>
      <vt:lpstr>'300'!OSRRefD21_3x_9</vt:lpstr>
      <vt:lpstr>'300 &amp; 317'!OSRRefD21_3x_9</vt:lpstr>
      <vt:lpstr>'301'!OSRRefD21_3x_9</vt:lpstr>
      <vt:lpstr>'307'!OSRRefD21_3x_9</vt:lpstr>
      <vt:lpstr>'308'!OSRRefD21_3x_9</vt:lpstr>
      <vt:lpstr>'309'!OSRRefD21_3x_9</vt:lpstr>
      <vt:lpstr>'310'!OSRRefD21_3x_9</vt:lpstr>
      <vt:lpstr>'310 &amp; 491'!OSRRefD21_3x_9</vt:lpstr>
      <vt:lpstr>'311'!OSRRefD21_3x_9</vt:lpstr>
      <vt:lpstr>'315'!OSRRefD21_3x_9</vt:lpstr>
      <vt:lpstr>'316'!OSRRefD21_3x_9</vt:lpstr>
      <vt:lpstr>'317'!OSRRefD21_3x_9</vt:lpstr>
      <vt:lpstr>'321'!OSRRefD21_3x_9</vt:lpstr>
      <vt:lpstr>'325'!OSRRefD21_3x_9</vt:lpstr>
      <vt:lpstr>'326'!OSRRefD21_3x_9</vt:lpstr>
      <vt:lpstr>'331'!OSRRefD21_3x_9</vt:lpstr>
      <vt:lpstr>'332'!OSRRefD21_3x_9</vt:lpstr>
      <vt:lpstr>'333'!OSRRefD21_3x_9</vt:lpstr>
      <vt:lpstr>'405'!OSRRefD21_3x_9</vt:lpstr>
      <vt:lpstr>'411'!OSRRefD21_3x_9</vt:lpstr>
      <vt:lpstr>'412'!OSRRefD21_3x_9</vt:lpstr>
      <vt:lpstr>'415'!OSRRefD21_3x_9</vt:lpstr>
      <vt:lpstr>'418'!OSRRefD21_3x_9</vt:lpstr>
      <vt:lpstr>'423'!OSRRefD21_3x_9</vt:lpstr>
      <vt:lpstr>'425'!OSRRefD21_3x_9</vt:lpstr>
      <vt:lpstr>'430'!OSRRefD21_3x_9</vt:lpstr>
      <vt:lpstr>'433'!OSRRefD21_3x_9</vt:lpstr>
      <vt:lpstr>'435'!OSRRefD21_3x_9</vt:lpstr>
      <vt:lpstr>'444'!OSRRefD21_3x_9</vt:lpstr>
      <vt:lpstr>'450'!OSRRefD21_3x_9</vt:lpstr>
      <vt:lpstr>'491'!OSRRefD21_3x_9</vt:lpstr>
      <vt:lpstr>'492'!OSRRefD21_3x_9</vt:lpstr>
      <vt:lpstr>'501'!OSRRefD21_3x_9</vt:lpstr>
      <vt:lpstr>'Div 2'!OSRRefD21_3x_9</vt:lpstr>
      <vt:lpstr>'Div 3'!OSRRefD21_3x_9</vt:lpstr>
      <vt:lpstr>'Div 4'!OSRRefD21_3x_9</vt:lpstr>
      <vt:lpstr>'Div 5'!OSRRefD21_3x_9</vt:lpstr>
      <vt:lpstr>'Div 6'!OSRRefD21_3x_9</vt:lpstr>
      <vt:lpstr>Summary!OSRRefD21_3x_9</vt:lpstr>
      <vt:lpstr>'201'!OSRRefD21_4_0x</vt:lpstr>
      <vt:lpstr>'202'!OSRRefD21_4_0x</vt:lpstr>
      <vt:lpstr>'203'!OSRRefD21_4_0x</vt:lpstr>
      <vt:lpstr>'204'!OSRRefD21_4_0x</vt:lpstr>
      <vt:lpstr>'205'!OSRRefD21_4_0x</vt:lpstr>
      <vt:lpstr>'206'!OSRRefD21_4_0x</vt:lpstr>
      <vt:lpstr>'300'!OSRRefD21_4_0x</vt:lpstr>
      <vt:lpstr>'300 &amp; 317'!OSRRefD21_4_0x</vt:lpstr>
      <vt:lpstr>'301'!OSRRefD21_4_0x</vt:lpstr>
      <vt:lpstr>'307'!OSRRefD21_4_0x</vt:lpstr>
      <vt:lpstr>'308'!OSRRefD21_4_0x</vt:lpstr>
      <vt:lpstr>'309'!OSRRefD21_4_0x</vt:lpstr>
      <vt:lpstr>'310'!OSRRefD21_4_0x</vt:lpstr>
      <vt:lpstr>'310 &amp; 491'!OSRRefD21_4_0x</vt:lpstr>
      <vt:lpstr>'311'!OSRRefD21_4_0x</vt:lpstr>
      <vt:lpstr>'315'!OSRRefD21_4_0x</vt:lpstr>
      <vt:lpstr>'316'!OSRRefD21_4_0x</vt:lpstr>
      <vt:lpstr>'317'!OSRRefD21_4_0x</vt:lpstr>
      <vt:lpstr>'321'!OSRRefD21_4_0x</vt:lpstr>
      <vt:lpstr>'325'!OSRRefD21_4_0x</vt:lpstr>
      <vt:lpstr>'326'!OSRRefD21_4_0x</vt:lpstr>
      <vt:lpstr>'331'!OSRRefD21_4_0x</vt:lpstr>
      <vt:lpstr>'332'!OSRRefD21_4_0x</vt:lpstr>
      <vt:lpstr>'333'!OSRRefD21_4_0x</vt:lpstr>
      <vt:lpstr>'405'!OSRRefD21_4_0x</vt:lpstr>
      <vt:lpstr>'411'!OSRRefD21_4_0x</vt:lpstr>
      <vt:lpstr>'415'!OSRRefD21_4_0x</vt:lpstr>
      <vt:lpstr>'418'!OSRRefD21_4_0x</vt:lpstr>
      <vt:lpstr>'423'!OSRRefD21_4_0x</vt:lpstr>
      <vt:lpstr>'425'!OSRRefD21_4_0x</vt:lpstr>
      <vt:lpstr>'430'!OSRRefD21_4_0x</vt:lpstr>
      <vt:lpstr>'433'!OSRRefD21_4_0x</vt:lpstr>
      <vt:lpstr>'435'!OSRRefD21_4_0x</vt:lpstr>
      <vt:lpstr>'444'!OSRRefD21_4_0x</vt:lpstr>
      <vt:lpstr>'450'!OSRRefD21_4_0x</vt:lpstr>
      <vt:lpstr>'491'!OSRRefD21_4_0x</vt:lpstr>
      <vt:lpstr>'492'!OSRRefD21_4_0x</vt:lpstr>
      <vt:lpstr>'501'!OSRRefD21_4_0x</vt:lpstr>
      <vt:lpstr>'Div 2'!OSRRefD21_4_0x</vt:lpstr>
      <vt:lpstr>'Div 3'!OSRRefD21_4_0x</vt:lpstr>
      <vt:lpstr>'Div 4'!OSRRefD21_4_0x</vt:lpstr>
      <vt:lpstr>'Div 5'!OSRRefD21_4_0x</vt:lpstr>
      <vt:lpstr>'Div 6'!OSRRefD21_4_0x</vt:lpstr>
      <vt:lpstr>Summary!OSRRefD21_4_0x</vt:lpstr>
      <vt:lpstr>'204'!OSRRefD21_4_1x</vt:lpstr>
      <vt:lpstr>'205'!OSRRefD21_4_1x</vt:lpstr>
      <vt:lpstr>'418'!OSRRefD21_4_1x</vt:lpstr>
      <vt:lpstr>'204'!OSRRefD21_4_2x</vt:lpstr>
      <vt:lpstr>'204'!OSRRefD21_4_3x</vt:lpstr>
      <vt:lpstr>'201'!OSRRefD21_4x_0</vt:lpstr>
      <vt:lpstr>'202'!OSRRefD21_4x_0</vt:lpstr>
      <vt:lpstr>'203'!OSRRefD21_4x_0</vt:lpstr>
      <vt:lpstr>'204'!OSRRefD21_4x_0</vt:lpstr>
      <vt:lpstr>'205'!OSRRefD21_4x_0</vt:lpstr>
      <vt:lpstr>'206'!OSRRefD21_4x_0</vt:lpstr>
      <vt:lpstr>'300'!OSRRefD21_4x_0</vt:lpstr>
      <vt:lpstr>'300 &amp; 317'!OSRRefD21_4x_0</vt:lpstr>
      <vt:lpstr>'301'!OSRRefD21_4x_0</vt:lpstr>
      <vt:lpstr>'307'!OSRRefD21_4x_0</vt:lpstr>
      <vt:lpstr>'308'!OSRRefD21_4x_0</vt:lpstr>
      <vt:lpstr>'309'!OSRRefD21_4x_0</vt:lpstr>
      <vt:lpstr>'310'!OSRRefD21_4x_0</vt:lpstr>
      <vt:lpstr>'310 &amp; 491'!OSRRefD21_4x_0</vt:lpstr>
      <vt:lpstr>'311'!OSRRefD21_4x_0</vt:lpstr>
      <vt:lpstr>'315'!OSRRefD21_4x_0</vt:lpstr>
      <vt:lpstr>'316'!OSRRefD21_4x_0</vt:lpstr>
      <vt:lpstr>'317'!OSRRefD21_4x_0</vt:lpstr>
      <vt:lpstr>'321'!OSRRefD21_4x_0</vt:lpstr>
      <vt:lpstr>'325'!OSRRefD21_4x_0</vt:lpstr>
      <vt:lpstr>'326'!OSRRefD21_4x_0</vt:lpstr>
      <vt:lpstr>'331'!OSRRefD21_4x_0</vt:lpstr>
      <vt:lpstr>'332'!OSRRefD21_4x_0</vt:lpstr>
      <vt:lpstr>'333'!OSRRefD21_4x_0</vt:lpstr>
      <vt:lpstr>'405'!OSRRefD21_4x_0</vt:lpstr>
      <vt:lpstr>'411'!OSRRefD21_4x_0</vt:lpstr>
      <vt:lpstr>'415'!OSRRefD21_4x_0</vt:lpstr>
      <vt:lpstr>'418'!OSRRefD21_4x_0</vt:lpstr>
      <vt:lpstr>'423'!OSRRefD21_4x_0</vt:lpstr>
      <vt:lpstr>'425'!OSRRefD21_4x_0</vt:lpstr>
      <vt:lpstr>'430'!OSRRefD21_4x_0</vt:lpstr>
      <vt:lpstr>'433'!OSRRefD21_4x_0</vt:lpstr>
      <vt:lpstr>'435'!OSRRefD21_4x_0</vt:lpstr>
      <vt:lpstr>'444'!OSRRefD21_4x_0</vt:lpstr>
      <vt:lpstr>'450'!OSRRefD21_4x_0</vt:lpstr>
      <vt:lpstr>'491'!OSRRefD21_4x_0</vt:lpstr>
      <vt:lpstr>'492'!OSRRefD21_4x_0</vt:lpstr>
      <vt:lpstr>'501'!OSRRefD21_4x_0</vt:lpstr>
      <vt:lpstr>'Div 2'!OSRRefD21_4x_0</vt:lpstr>
      <vt:lpstr>'Div 3'!OSRRefD21_4x_0</vt:lpstr>
      <vt:lpstr>'Div 4'!OSRRefD21_4x_0</vt:lpstr>
      <vt:lpstr>'Div 5'!OSRRefD21_4x_0</vt:lpstr>
      <vt:lpstr>'Div 6'!OSRRefD21_4x_0</vt:lpstr>
      <vt:lpstr>Summary!OSRRefD21_4x_0</vt:lpstr>
      <vt:lpstr>'201'!OSRRefD21_4x_1</vt:lpstr>
      <vt:lpstr>'202'!OSRRefD21_4x_1</vt:lpstr>
      <vt:lpstr>'203'!OSRRefD21_4x_1</vt:lpstr>
      <vt:lpstr>'204'!OSRRefD21_4x_1</vt:lpstr>
      <vt:lpstr>'205'!OSRRefD21_4x_1</vt:lpstr>
      <vt:lpstr>'206'!OSRRefD21_4x_1</vt:lpstr>
      <vt:lpstr>'300'!OSRRefD21_4x_1</vt:lpstr>
      <vt:lpstr>'300 &amp; 317'!OSRRefD21_4x_1</vt:lpstr>
      <vt:lpstr>'301'!OSRRefD21_4x_1</vt:lpstr>
      <vt:lpstr>'307'!OSRRefD21_4x_1</vt:lpstr>
      <vt:lpstr>'308'!OSRRefD21_4x_1</vt:lpstr>
      <vt:lpstr>'309'!OSRRefD21_4x_1</vt:lpstr>
      <vt:lpstr>'310'!OSRRefD21_4x_1</vt:lpstr>
      <vt:lpstr>'310 &amp; 491'!OSRRefD21_4x_1</vt:lpstr>
      <vt:lpstr>'311'!OSRRefD21_4x_1</vt:lpstr>
      <vt:lpstr>'315'!OSRRefD21_4x_1</vt:lpstr>
      <vt:lpstr>'316'!OSRRefD21_4x_1</vt:lpstr>
      <vt:lpstr>'317'!OSRRefD21_4x_1</vt:lpstr>
      <vt:lpstr>'321'!OSRRefD21_4x_1</vt:lpstr>
      <vt:lpstr>'325'!OSRRefD21_4x_1</vt:lpstr>
      <vt:lpstr>'326'!OSRRefD21_4x_1</vt:lpstr>
      <vt:lpstr>'331'!OSRRefD21_4x_1</vt:lpstr>
      <vt:lpstr>'332'!OSRRefD21_4x_1</vt:lpstr>
      <vt:lpstr>'333'!OSRRefD21_4x_1</vt:lpstr>
      <vt:lpstr>'405'!OSRRefD21_4x_1</vt:lpstr>
      <vt:lpstr>'411'!OSRRefD21_4x_1</vt:lpstr>
      <vt:lpstr>'415'!OSRRefD21_4x_1</vt:lpstr>
      <vt:lpstr>'418'!OSRRefD21_4x_1</vt:lpstr>
      <vt:lpstr>'423'!OSRRefD21_4x_1</vt:lpstr>
      <vt:lpstr>'425'!OSRRefD21_4x_1</vt:lpstr>
      <vt:lpstr>'430'!OSRRefD21_4x_1</vt:lpstr>
      <vt:lpstr>'433'!OSRRefD21_4x_1</vt:lpstr>
      <vt:lpstr>'435'!OSRRefD21_4x_1</vt:lpstr>
      <vt:lpstr>'444'!OSRRefD21_4x_1</vt:lpstr>
      <vt:lpstr>'450'!OSRRefD21_4x_1</vt:lpstr>
      <vt:lpstr>'491'!OSRRefD21_4x_1</vt:lpstr>
      <vt:lpstr>'492'!OSRRefD21_4x_1</vt:lpstr>
      <vt:lpstr>'501'!OSRRefD21_4x_1</vt:lpstr>
      <vt:lpstr>'Div 2'!OSRRefD21_4x_1</vt:lpstr>
      <vt:lpstr>'Div 3'!OSRRefD21_4x_1</vt:lpstr>
      <vt:lpstr>'Div 4'!OSRRefD21_4x_1</vt:lpstr>
      <vt:lpstr>'Div 5'!OSRRefD21_4x_1</vt:lpstr>
      <vt:lpstr>'Div 6'!OSRRefD21_4x_1</vt:lpstr>
      <vt:lpstr>Summary!OSRRefD21_4x_1</vt:lpstr>
      <vt:lpstr>'201'!OSRRefD21_4x_2</vt:lpstr>
      <vt:lpstr>'202'!OSRRefD21_4x_2</vt:lpstr>
      <vt:lpstr>'203'!OSRRefD21_4x_2</vt:lpstr>
      <vt:lpstr>'204'!OSRRefD21_4x_2</vt:lpstr>
      <vt:lpstr>'205'!OSRRefD21_4x_2</vt:lpstr>
      <vt:lpstr>'206'!OSRRefD21_4x_2</vt:lpstr>
      <vt:lpstr>'300'!OSRRefD21_4x_2</vt:lpstr>
      <vt:lpstr>'300 &amp; 317'!OSRRefD21_4x_2</vt:lpstr>
      <vt:lpstr>'301'!OSRRefD21_4x_2</vt:lpstr>
      <vt:lpstr>'307'!OSRRefD21_4x_2</vt:lpstr>
      <vt:lpstr>'308'!OSRRefD21_4x_2</vt:lpstr>
      <vt:lpstr>'309'!OSRRefD21_4x_2</vt:lpstr>
      <vt:lpstr>'310'!OSRRefD21_4x_2</vt:lpstr>
      <vt:lpstr>'310 &amp; 491'!OSRRefD21_4x_2</vt:lpstr>
      <vt:lpstr>'311'!OSRRefD21_4x_2</vt:lpstr>
      <vt:lpstr>'315'!OSRRefD21_4x_2</vt:lpstr>
      <vt:lpstr>'316'!OSRRefD21_4x_2</vt:lpstr>
      <vt:lpstr>'317'!OSRRefD21_4x_2</vt:lpstr>
      <vt:lpstr>'321'!OSRRefD21_4x_2</vt:lpstr>
      <vt:lpstr>'325'!OSRRefD21_4x_2</vt:lpstr>
      <vt:lpstr>'326'!OSRRefD21_4x_2</vt:lpstr>
      <vt:lpstr>'331'!OSRRefD21_4x_2</vt:lpstr>
      <vt:lpstr>'332'!OSRRefD21_4x_2</vt:lpstr>
      <vt:lpstr>'333'!OSRRefD21_4x_2</vt:lpstr>
      <vt:lpstr>'405'!OSRRefD21_4x_2</vt:lpstr>
      <vt:lpstr>'411'!OSRRefD21_4x_2</vt:lpstr>
      <vt:lpstr>'415'!OSRRefD21_4x_2</vt:lpstr>
      <vt:lpstr>'418'!OSRRefD21_4x_2</vt:lpstr>
      <vt:lpstr>'423'!OSRRefD21_4x_2</vt:lpstr>
      <vt:lpstr>'425'!OSRRefD21_4x_2</vt:lpstr>
      <vt:lpstr>'430'!OSRRefD21_4x_2</vt:lpstr>
      <vt:lpstr>'433'!OSRRefD21_4x_2</vt:lpstr>
      <vt:lpstr>'435'!OSRRefD21_4x_2</vt:lpstr>
      <vt:lpstr>'444'!OSRRefD21_4x_2</vt:lpstr>
      <vt:lpstr>'450'!OSRRefD21_4x_2</vt:lpstr>
      <vt:lpstr>'491'!OSRRefD21_4x_2</vt:lpstr>
      <vt:lpstr>'492'!OSRRefD21_4x_2</vt:lpstr>
      <vt:lpstr>'501'!OSRRefD21_4x_2</vt:lpstr>
      <vt:lpstr>'Div 2'!OSRRefD21_4x_2</vt:lpstr>
      <vt:lpstr>'Div 3'!OSRRefD21_4x_2</vt:lpstr>
      <vt:lpstr>'Div 4'!OSRRefD21_4x_2</vt:lpstr>
      <vt:lpstr>'Div 5'!OSRRefD21_4x_2</vt:lpstr>
      <vt:lpstr>'Div 6'!OSRRefD21_4x_2</vt:lpstr>
      <vt:lpstr>Summary!OSRRefD21_4x_2</vt:lpstr>
      <vt:lpstr>'201'!OSRRefD21_4x_3</vt:lpstr>
      <vt:lpstr>'202'!OSRRefD21_4x_3</vt:lpstr>
      <vt:lpstr>'203'!OSRRefD21_4x_3</vt:lpstr>
      <vt:lpstr>'204'!OSRRefD21_4x_3</vt:lpstr>
      <vt:lpstr>'205'!OSRRefD21_4x_3</vt:lpstr>
      <vt:lpstr>'206'!OSRRefD21_4x_3</vt:lpstr>
      <vt:lpstr>'300'!OSRRefD21_4x_3</vt:lpstr>
      <vt:lpstr>'300 &amp; 317'!OSRRefD21_4x_3</vt:lpstr>
      <vt:lpstr>'301'!OSRRefD21_4x_3</vt:lpstr>
      <vt:lpstr>'307'!OSRRefD21_4x_3</vt:lpstr>
      <vt:lpstr>'308'!OSRRefD21_4x_3</vt:lpstr>
      <vt:lpstr>'309'!OSRRefD21_4x_3</vt:lpstr>
      <vt:lpstr>'310'!OSRRefD21_4x_3</vt:lpstr>
      <vt:lpstr>'310 &amp; 491'!OSRRefD21_4x_3</vt:lpstr>
      <vt:lpstr>'311'!OSRRefD21_4x_3</vt:lpstr>
      <vt:lpstr>'315'!OSRRefD21_4x_3</vt:lpstr>
      <vt:lpstr>'316'!OSRRefD21_4x_3</vt:lpstr>
      <vt:lpstr>'317'!OSRRefD21_4x_3</vt:lpstr>
      <vt:lpstr>'321'!OSRRefD21_4x_3</vt:lpstr>
      <vt:lpstr>'325'!OSRRefD21_4x_3</vt:lpstr>
      <vt:lpstr>'326'!OSRRefD21_4x_3</vt:lpstr>
      <vt:lpstr>'331'!OSRRefD21_4x_3</vt:lpstr>
      <vt:lpstr>'332'!OSRRefD21_4x_3</vt:lpstr>
      <vt:lpstr>'333'!OSRRefD21_4x_3</vt:lpstr>
      <vt:lpstr>'405'!OSRRefD21_4x_3</vt:lpstr>
      <vt:lpstr>'411'!OSRRefD21_4x_3</vt:lpstr>
      <vt:lpstr>'415'!OSRRefD21_4x_3</vt:lpstr>
      <vt:lpstr>'418'!OSRRefD21_4x_3</vt:lpstr>
      <vt:lpstr>'423'!OSRRefD21_4x_3</vt:lpstr>
      <vt:lpstr>'425'!OSRRefD21_4x_3</vt:lpstr>
      <vt:lpstr>'430'!OSRRefD21_4x_3</vt:lpstr>
      <vt:lpstr>'433'!OSRRefD21_4x_3</vt:lpstr>
      <vt:lpstr>'435'!OSRRefD21_4x_3</vt:lpstr>
      <vt:lpstr>'444'!OSRRefD21_4x_3</vt:lpstr>
      <vt:lpstr>'450'!OSRRefD21_4x_3</vt:lpstr>
      <vt:lpstr>'491'!OSRRefD21_4x_3</vt:lpstr>
      <vt:lpstr>'492'!OSRRefD21_4x_3</vt:lpstr>
      <vt:lpstr>'501'!OSRRefD21_4x_3</vt:lpstr>
      <vt:lpstr>'Div 2'!OSRRefD21_4x_3</vt:lpstr>
      <vt:lpstr>'Div 3'!OSRRefD21_4x_3</vt:lpstr>
      <vt:lpstr>'Div 4'!OSRRefD21_4x_3</vt:lpstr>
      <vt:lpstr>'Div 5'!OSRRefD21_4x_3</vt:lpstr>
      <vt:lpstr>'Div 6'!OSRRefD21_4x_3</vt:lpstr>
      <vt:lpstr>Summary!OSRRefD21_4x_3</vt:lpstr>
      <vt:lpstr>'201'!OSRRefD21_4x_4</vt:lpstr>
      <vt:lpstr>'202'!OSRRefD21_4x_4</vt:lpstr>
      <vt:lpstr>'203'!OSRRefD21_4x_4</vt:lpstr>
      <vt:lpstr>'204'!OSRRefD21_4x_4</vt:lpstr>
      <vt:lpstr>'205'!OSRRefD21_4x_4</vt:lpstr>
      <vt:lpstr>'206'!OSRRefD21_4x_4</vt:lpstr>
      <vt:lpstr>'300'!OSRRefD21_4x_4</vt:lpstr>
      <vt:lpstr>'300 &amp; 317'!OSRRefD21_4x_4</vt:lpstr>
      <vt:lpstr>'301'!OSRRefD21_4x_4</vt:lpstr>
      <vt:lpstr>'307'!OSRRefD21_4x_4</vt:lpstr>
      <vt:lpstr>'308'!OSRRefD21_4x_4</vt:lpstr>
      <vt:lpstr>'309'!OSRRefD21_4x_4</vt:lpstr>
      <vt:lpstr>'310'!OSRRefD21_4x_4</vt:lpstr>
      <vt:lpstr>'310 &amp; 491'!OSRRefD21_4x_4</vt:lpstr>
      <vt:lpstr>'311'!OSRRefD21_4x_4</vt:lpstr>
      <vt:lpstr>'315'!OSRRefD21_4x_4</vt:lpstr>
      <vt:lpstr>'316'!OSRRefD21_4x_4</vt:lpstr>
      <vt:lpstr>'317'!OSRRefD21_4x_4</vt:lpstr>
      <vt:lpstr>'321'!OSRRefD21_4x_4</vt:lpstr>
      <vt:lpstr>'325'!OSRRefD21_4x_4</vt:lpstr>
      <vt:lpstr>'326'!OSRRefD21_4x_4</vt:lpstr>
      <vt:lpstr>'331'!OSRRefD21_4x_4</vt:lpstr>
      <vt:lpstr>'332'!OSRRefD21_4x_4</vt:lpstr>
      <vt:lpstr>'333'!OSRRefD21_4x_4</vt:lpstr>
      <vt:lpstr>'405'!OSRRefD21_4x_4</vt:lpstr>
      <vt:lpstr>'411'!OSRRefD21_4x_4</vt:lpstr>
      <vt:lpstr>'415'!OSRRefD21_4x_4</vt:lpstr>
      <vt:lpstr>'418'!OSRRefD21_4x_4</vt:lpstr>
      <vt:lpstr>'423'!OSRRefD21_4x_4</vt:lpstr>
      <vt:lpstr>'425'!OSRRefD21_4x_4</vt:lpstr>
      <vt:lpstr>'430'!OSRRefD21_4x_4</vt:lpstr>
      <vt:lpstr>'433'!OSRRefD21_4x_4</vt:lpstr>
      <vt:lpstr>'435'!OSRRefD21_4x_4</vt:lpstr>
      <vt:lpstr>'444'!OSRRefD21_4x_4</vt:lpstr>
      <vt:lpstr>'450'!OSRRefD21_4x_4</vt:lpstr>
      <vt:lpstr>'491'!OSRRefD21_4x_4</vt:lpstr>
      <vt:lpstr>'492'!OSRRefD21_4x_4</vt:lpstr>
      <vt:lpstr>'501'!OSRRefD21_4x_4</vt:lpstr>
      <vt:lpstr>'Div 2'!OSRRefD21_4x_4</vt:lpstr>
      <vt:lpstr>'Div 3'!OSRRefD21_4x_4</vt:lpstr>
      <vt:lpstr>'Div 4'!OSRRefD21_4x_4</vt:lpstr>
      <vt:lpstr>'Div 5'!OSRRefD21_4x_4</vt:lpstr>
      <vt:lpstr>'Div 6'!OSRRefD21_4x_4</vt:lpstr>
      <vt:lpstr>Summary!OSRRefD21_4x_4</vt:lpstr>
      <vt:lpstr>'201'!OSRRefD21_4x_5</vt:lpstr>
      <vt:lpstr>'202'!OSRRefD21_4x_5</vt:lpstr>
      <vt:lpstr>'203'!OSRRefD21_4x_5</vt:lpstr>
      <vt:lpstr>'204'!OSRRefD21_4x_5</vt:lpstr>
      <vt:lpstr>'205'!OSRRefD21_4x_5</vt:lpstr>
      <vt:lpstr>'206'!OSRRefD21_4x_5</vt:lpstr>
      <vt:lpstr>'300'!OSRRefD21_4x_5</vt:lpstr>
      <vt:lpstr>'300 &amp; 317'!OSRRefD21_4x_5</vt:lpstr>
      <vt:lpstr>'301'!OSRRefD21_4x_5</vt:lpstr>
      <vt:lpstr>'307'!OSRRefD21_4x_5</vt:lpstr>
      <vt:lpstr>'308'!OSRRefD21_4x_5</vt:lpstr>
      <vt:lpstr>'309'!OSRRefD21_4x_5</vt:lpstr>
      <vt:lpstr>'310'!OSRRefD21_4x_5</vt:lpstr>
      <vt:lpstr>'310 &amp; 491'!OSRRefD21_4x_5</vt:lpstr>
      <vt:lpstr>'311'!OSRRefD21_4x_5</vt:lpstr>
      <vt:lpstr>'315'!OSRRefD21_4x_5</vt:lpstr>
      <vt:lpstr>'316'!OSRRefD21_4x_5</vt:lpstr>
      <vt:lpstr>'317'!OSRRefD21_4x_5</vt:lpstr>
      <vt:lpstr>'321'!OSRRefD21_4x_5</vt:lpstr>
      <vt:lpstr>'325'!OSRRefD21_4x_5</vt:lpstr>
      <vt:lpstr>'326'!OSRRefD21_4x_5</vt:lpstr>
      <vt:lpstr>'331'!OSRRefD21_4x_5</vt:lpstr>
      <vt:lpstr>'332'!OSRRefD21_4x_5</vt:lpstr>
      <vt:lpstr>'333'!OSRRefD21_4x_5</vt:lpstr>
      <vt:lpstr>'405'!OSRRefD21_4x_5</vt:lpstr>
      <vt:lpstr>'411'!OSRRefD21_4x_5</vt:lpstr>
      <vt:lpstr>'415'!OSRRefD21_4x_5</vt:lpstr>
      <vt:lpstr>'418'!OSRRefD21_4x_5</vt:lpstr>
      <vt:lpstr>'423'!OSRRefD21_4x_5</vt:lpstr>
      <vt:lpstr>'425'!OSRRefD21_4x_5</vt:lpstr>
      <vt:lpstr>'430'!OSRRefD21_4x_5</vt:lpstr>
      <vt:lpstr>'433'!OSRRefD21_4x_5</vt:lpstr>
      <vt:lpstr>'435'!OSRRefD21_4x_5</vt:lpstr>
      <vt:lpstr>'444'!OSRRefD21_4x_5</vt:lpstr>
      <vt:lpstr>'450'!OSRRefD21_4x_5</vt:lpstr>
      <vt:lpstr>'491'!OSRRefD21_4x_5</vt:lpstr>
      <vt:lpstr>'492'!OSRRefD21_4x_5</vt:lpstr>
      <vt:lpstr>'501'!OSRRefD21_4x_5</vt:lpstr>
      <vt:lpstr>'Div 2'!OSRRefD21_4x_5</vt:lpstr>
      <vt:lpstr>'Div 3'!OSRRefD21_4x_5</vt:lpstr>
      <vt:lpstr>'Div 4'!OSRRefD21_4x_5</vt:lpstr>
      <vt:lpstr>'Div 5'!OSRRefD21_4x_5</vt:lpstr>
      <vt:lpstr>'Div 6'!OSRRefD21_4x_5</vt:lpstr>
      <vt:lpstr>Summary!OSRRefD21_4x_5</vt:lpstr>
      <vt:lpstr>'201'!OSRRefD21_4x_6</vt:lpstr>
      <vt:lpstr>'202'!OSRRefD21_4x_6</vt:lpstr>
      <vt:lpstr>'203'!OSRRefD21_4x_6</vt:lpstr>
      <vt:lpstr>'204'!OSRRefD21_4x_6</vt:lpstr>
      <vt:lpstr>'205'!OSRRefD21_4x_6</vt:lpstr>
      <vt:lpstr>'206'!OSRRefD21_4x_6</vt:lpstr>
      <vt:lpstr>'300'!OSRRefD21_4x_6</vt:lpstr>
      <vt:lpstr>'300 &amp; 317'!OSRRefD21_4x_6</vt:lpstr>
      <vt:lpstr>'301'!OSRRefD21_4x_6</vt:lpstr>
      <vt:lpstr>'307'!OSRRefD21_4x_6</vt:lpstr>
      <vt:lpstr>'308'!OSRRefD21_4x_6</vt:lpstr>
      <vt:lpstr>'309'!OSRRefD21_4x_6</vt:lpstr>
      <vt:lpstr>'310'!OSRRefD21_4x_6</vt:lpstr>
      <vt:lpstr>'310 &amp; 491'!OSRRefD21_4x_6</vt:lpstr>
      <vt:lpstr>'311'!OSRRefD21_4x_6</vt:lpstr>
      <vt:lpstr>'315'!OSRRefD21_4x_6</vt:lpstr>
      <vt:lpstr>'316'!OSRRefD21_4x_6</vt:lpstr>
      <vt:lpstr>'317'!OSRRefD21_4x_6</vt:lpstr>
      <vt:lpstr>'321'!OSRRefD21_4x_6</vt:lpstr>
      <vt:lpstr>'325'!OSRRefD21_4x_6</vt:lpstr>
      <vt:lpstr>'326'!OSRRefD21_4x_6</vt:lpstr>
      <vt:lpstr>'331'!OSRRefD21_4x_6</vt:lpstr>
      <vt:lpstr>'332'!OSRRefD21_4x_6</vt:lpstr>
      <vt:lpstr>'333'!OSRRefD21_4x_6</vt:lpstr>
      <vt:lpstr>'405'!OSRRefD21_4x_6</vt:lpstr>
      <vt:lpstr>'411'!OSRRefD21_4x_6</vt:lpstr>
      <vt:lpstr>'415'!OSRRefD21_4x_6</vt:lpstr>
      <vt:lpstr>'418'!OSRRefD21_4x_6</vt:lpstr>
      <vt:lpstr>'423'!OSRRefD21_4x_6</vt:lpstr>
      <vt:lpstr>'425'!OSRRefD21_4x_6</vt:lpstr>
      <vt:lpstr>'430'!OSRRefD21_4x_6</vt:lpstr>
      <vt:lpstr>'433'!OSRRefD21_4x_6</vt:lpstr>
      <vt:lpstr>'435'!OSRRefD21_4x_6</vt:lpstr>
      <vt:lpstr>'444'!OSRRefD21_4x_6</vt:lpstr>
      <vt:lpstr>'450'!OSRRefD21_4x_6</vt:lpstr>
      <vt:lpstr>'491'!OSRRefD21_4x_6</vt:lpstr>
      <vt:lpstr>'492'!OSRRefD21_4x_6</vt:lpstr>
      <vt:lpstr>'501'!OSRRefD21_4x_6</vt:lpstr>
      <vt:lpstr>'Div 2'!OSRRefD21_4x_6</vt:lpstr>
      <vt:lpstr>'Div 3'!OSRRefD21_4x_6</vt:lpstr>
      <vt:lpstr>'Div 4'!OSRRefD21_4x_6</vt:lpstr>
      <vt:lpstr>'Div 5'!OSRRefD21_4x_6</vt:lpstr>
      <vt:lpstr>'Div 6'!OSRRefD21_4x_6</vt:lpstr>
      <vt:lpstr>Summary!OSRRefD21_4x_6</vt:lpstr>
      <vt:lpstr>'201'!OSRRefD21_4x_7</vt:lpstr>
      <vt:lpstr>'202'!OSRRefD21_4x_7</vt:lpstr>
      <vt:lpstr>'203'!OSRRefD21_4x_7</vt:lpstr>
      <vt:lpstr>'204'!OSRRefD21_4x_7</vt:lpstr>
      <vt:lpstr>'205'!OSRRefD21_4x_7</vt:lpstr>
      <vt:lpstr>'206'!OSRRefD21_4x_7</vt:lpstr>
      <vt:lpstr>'300'!OSRRefD21_4x_7</vt:lpstr>
      <vt:lpstr>'300 &amp; 317'!OSRRefD21_4x_7</vt:lpstr>
      <vt:lpstr>'301'!OSRRefD21_4x_7</vt:lpstr>
      <vt:lpstr>'307'!OSRRefD21_4x_7</vt:lpstr>
      <vt:lpstr>'308'!OSRRefD21_4x_7</vt:lpstr>
      <vt:lpstr>'309'!OSRRefD21_4x_7</vt:lpstr>
      <vt:lpstr>'310'!OSRRefD21_4x_7</vt:lpstr>
      <vt:lpstr>'310 &amp; 491'!OSRRefD21_4x_7</vt:lpstr>
      <vt:lpstr>'311'!OSRRefD21_4x_7</vt:lpstr>
      <vt:lpstr>'315'!OSRRefD21_4x_7</vt:lpstr>
      <vt:lpstr>'316'!OSRRefD21_4x_7</vt:lpstr>
      <vt:lpstr>'317'!OSRRefD21_4x_7</vt:lpstr>
      <vt:lpstr>'321'!OSRRefD21_4x_7</vt:lpstr>
      <vt:lpstr>'325'!OSRRefD21_4x_7</vt:lpstr>
      <vt:lpstr>'326'!OSRRefD21_4x_7</vt:lpstr>
      <vt:lpstr>'331'!OSRRefD21_4x_7</vt:lpstr>
      <vt:lpstr>'332'!OSRRefD21_4x_7</vt:lpstr>
      <vt:lpstr>'333'!OSRRefD21_4x_7</vt:lpstr>
      <vt:lpstr>'405'!OSRRefD21_4x_7</vt:lpstr>
      <vt:lpstr>'411'!OSRRefD21_4x_7</vt:lpstr>
      <vt:lpstr>'415'!OSRRefD21_4x_7</vt:lpstr>
      <vt:lpstr>'418'!OSRRefD21_4x_7</vt:lpstr>
      <vt:lpstr>'423'!OSRRefD21_4x_7</vt:lpstr>
      <vt:lpstr>'425'!OSRRefD21_4x_7</vt:lpstr>
      <vt:lpstr>'430'!OSRRefD21_4x_7</vt:lpstr>
      <vt:lpstr>'433'!OSRRefD21_4x_7</vt:lpstr>
      <vt:lpstr>'435'!OSRRefD21_4x_7</vt:lpstr>
      <vt:lpstr>'444'!OSRRefD21_4x_7</vt:lpstr>
      <vt:lpstr>'450'!OSRRefD21_4x_7</vt:lpstr>
      <vt:lpstr>'491'!OSRRefD21_4x_7</vt:lpstr>
      <vt:lpstr>'492'!OSRRefD21_4x_7</vt:lpstr>
      <vt:lpstr>'501'!OSRRefD21_4x_7</vt:lpstr>
      <vt:lpstr>'Div 2'!OSRRefD21_4x_7</vt:lpstr>
      <vt:lpstr>'Div 3'!OSRRefD21_4x_7</vt:lpstr>
      <vt:lpstr>'Div 4'!OSRRefD21_4x_7</vt:lpstr>
      <vt:lpstr>'Div 5'!OSRRefD21_4x_7</vt:lpstr>
      <vt:lpstr>'Div 6'!OSRRefD21_4x_7</vt:lpstr>
      <vt:lpstr>Summary!OSRRefD21_4x_7</vt:lpstr>
      <vt:lpstr>'201'!OSRRefD21_4x_8</vt:lpstr>
      <vt:lpstr>'202'!OSRRefD21_4x_8</vt:lpstr>
      <vt:lpstr>'203'!OSRRefD21_4x_8</vt:lpstr>
      <vt:lpstr>'204'!OSRRefD21_4x_8</vt:lpstr>
      <vt:lpstr>'205'!OSRRefD21_4x_8</vt:lpstr>
      <vt:lpstr>'206'!OSRRefD21_4x_8</vt:lpstr>
      <vt:lpstr>'300'!OSRRefD21_4x_8</vt:lpstr>
      <vt:lpstr>'300 &amp; 317'!OSRRefD21_4x_8</vt:lpstr>
      <vt:lpstr>'301'!OSRRefD21_4x_8</vt:lpstr>
      <vt:lpstr>'307'!OSRRefD21_4x_8</vt:lpstr>
      <vt:lpstr>'308'!OSRRefD21_4x_8</vt:lpstr>
      <vt:lpstr>'309'!OSRRefD21_4x_8</vt:lpstr>
      <vt:lpstr>'310'!OSRRefD21_4x_8</vt:lpstr>
      <vt:lpstr>'310 &amp; 491'!OSRRefD21_4x_8</vt:lpstr>
      <vt:lpstr>'311'!OSRRefD21_4x_8</vt:lpstr>
      <vt:lpstr>'315'!OSRRefD21_4x_8</vt:lpstr>
      <vt:lpstr>'316'!OSRRefD21_4x_8</vt:lpstr>
      <vt:lpstr>'317'!OSRRefD21_4x_8</vt:lpstr>
      <vt:lpstr>'321'!OSRRefD21_4x_8</vt:lpstr>
      <vt:lpstr>'325'!OSRRefD21_4x_8</vt:lpstr>
      <vt:lpstr>'326'!OSRRefD21_4x_8</vt:lpstr>
      <vt:lpstr>'331'!OSRRefD21_4x_8</vt:lpstr>
      <vt:lpstr>'332'!OSRRefD21_4x_8</vt:lpstr>
      <vt:lpstr>'333'!OSRRefD21_4x_8</vt:lpstr>
      <vt:lpstr>'405'!OSRRefD21_4x_8</vt:lpstr>
      <vt:lpstr>'411'!OSRRefD21_4x_8</vt:lpstr>
      <vt:lpstr>'415'!OSRRefD21_4x_8</vt:lpstr>
      <vt:lpstr>'418'!OSRRefD21_4x_8</vt:lpstr>
      <vt:lpstr>'423'!OSRRefD21_4x_8</vt:lpstr>
      <vt:lpstr>'425'!OSRRefD21_4x_8</vt:lpstr>
      <vt:lpstr>'430'!OSRRefD21_4x_8</vt:lpstr>
      <vt:lpstr>'433'!OSRRefD21_4x_8</vt:lpstr>
      <vt:lpstr>'435'!OSRRefD21_4x_8</vt:lpstr>
      <vt:lpstr>'444'!OSRRefD21_4x_8</vt:lpstr>
      <vt:lpstr>'450'!OSRRefD21_4x_8</vt:lpstr>
      <vt:lpstr>'491'!OSRRefD21_4x_8</vt:lpstr>
      <vt:lpstr>'492'!OSRRefD21_4x_8</vt:lpstr>
      <vt:lpstr>'501'!OSRRefD21_4x_8</vt:lpstr>
      <vt:lpstr>'Div 2'!OSRRefD21_4x_8</vt:lpstr>
      <vt:lpstr>'Div 3'!OSRRefD21_4x_8</vt:lpstr>
      <vt:lpstr>'Div 4'!OSRRefD21_4x_8</vt:lpstr>
      <vt:lpstr>'Div 5'!OSRRefD21_4x_8</vt:lpstr>
      <vt:lpstr>'Div 6'!OSRRefD21_4x_8</vt:lpstr>
      <vt:lpstr>Summary!OSRRefD21_4x_8</vt:lpstr>
      <vt:lpstr>'201'!OSRRefD21_4x_9</vt:lpstr>
      <vt:lpstr>'202'!OSRRefD21_4x_9</vt:lpstr>
      <vt:lpstr>'203'!OSRRefD21_4x_9</vt:lpstr>
      <vt:lpstr>'204'!OSRRefD21_4x_9</vt:lpstr>
      <vt:lpstr>'205'!OSRRefD21_4x_9</vt:lpstr>
      <vt:lpstr>'206'!OSRRefD21_4x_9</vt:lpstr>
      <vt:lpstr>'300'!OSRRefD21_4x_9</vt:lpstr>
      <vt:lpstr>'300 &amp; 317'!OSRRefD21_4x_9</vt:lpstr>
      <vt:lpstr>'301'!OSRRefD21_4x_9</vt:lpstr>
      <vt:lpstr>'307'!OSRRefD21_4x_9</vt:lpstr>
      <vt:lpstr>'308'!OSRRefD21_4x_9</vt:lpstr>
      <vt:lpstr>'309'!OSRRefD21_4x_9</vt:lpstr>
      <vt:lpstr>'310'!OSRRefD21_4x_9</vt:lpstr>
      <vt:lpstr>'310 &amp; 491'!OSRRefD21_4x_9</vt:lpstr>
      <vt:lpstr>'311'!OSRRefD21_4x_9</vt:lpstr>
      <vt:lpstr>'315'!OSRRefD21_4x_9</vt:lpstr>
      <vt:lpstr>'316'!OSRRefD21_4x_9</vt:lpstr>
      <vt:lpstr>'317'!OSRRefD21_4x_9</vt:lpstr>
      <vt:lpstr>'321'!OSRRefD21_4x_9</vt:lpstr>
      <vt:lpstr>'325'!OSRRefD21_4x_9</vt:lpstr>
      <vt:lpstr>'326'!OSRRefD21_4x_9</vt:lpstr>
      <vt:lpstr>'331'!OSRRefD21_4x_9</vt:lpstr>
      <vt:lpstr>'332'!OSRRefD21_4x_9</vt:lpstr>
      <vt:lpstr>'333'!OSRRefD21_4x_9</vt:lpstr>
      <vt:lpstr>'405'!OSRRefD21_4x_9</vt:lpstr>
      <vt:lpstr>'411'!OSRRefD21_4x_9</vt:lpstr>
      <vt:lpstr>'415'!OSRRefD21_4x_9</vt:lpstr>
      <vt:lpstr>'418'!OSRRefD21_4x_9</vt:lpstr>
      <vt:lpstr>'423'!OSRRefD21_4x_9</vt:lpstr>
      <vt:lpstr>'425'!OSRRefD21_4x_9</vt:lpstr>
      <vt:lpstr>'430'!OSRRefD21_4x_9</vt:lpstr>
      <vt:lpstr>'433'!OSRRefD21_4x_9</vt:lpstr>
      <vt:lpstr>'435'!OSRRefD21_4x_9</vt:lpstr>
      <vt:lpstr>'444'!OSRRefD21_4x_9</vt:lpstr>
      <vt:lpstr>'450'!OSRRefD21_4x_9</vt:lpstr>
      <vt:lpstr>'491'!OSRRefD21_4x_9</vt:lpstr>
      <vt:lpstr>'492'!OSRRefD21_4x_9</vt:lpstr>
      <vt:lpstr>'501'!OSRRefD21_4x_9</vt:lpstr>
      <vt:lpstr>'Div 2'!OSRRefD21_4x_9</vt:lpstr>
      <vt:lpstr>'Div 3'!OSRRefD21_4x_9</vt:lpstr>
      <vt:lpstr>'Div 4'!OSRRefD21_4x_9</vt:lpstr>
      <vt:lpstr>'Div 5'!OSRRefD21_4x_9</vt:lpstr>
      <vt:lpstr>'Div 6'!OSRRefD21_4x_9</vt:lpstr>
      <vt:lpstr>Summary!OSRRefD21_4x_9</vt:lpstr>
      <vt:lpstr>'201'!OSRRefD21_5_0x</vt:lpstr>
      <vt:lpstr>'202'!OSRRefD21_5_0x</vt:lpstr>
      <vt:lpstr>'203'!OSRRefD21_5_0x</vt:lpstr>
      <vt:lpstr>'204'!OSRRefD21_5_0x</vt:lpstr>
      <vt:lpstr>'205'!OSRRefD21_5_0x</vt:lpstr>
      <vt:lpstr>'206'!OSRRefD21_5_0x</vt:lpstr>
      <vt:lpstr>'300'!OSRRefD21_5_0x</vt:lpstr>
      <vt:lpstr>'300 &amp; 317'!OSRRefD21_5_0x</vt:lpstr>
      <vt:lpstr>'301'!OSRRefD21_5_0x</vt:lpstr>
      <vt:lpstr>'307'!OSRRefD21_5_0x</vt:lpstr>
      <vt:lpstr>'308'!OSRRefD21_5_0x</vt:lpstr>
      <vt:lpstr>'309'!OSRRefD21_5_0x</vt:lpstr>
      <vt:lpstr>'310'!OSRRefD21_5_0x</vt:lpstr>
      <vt:lpstr>'310 &amp; 491'!OSRRefD21_5_0x</vt:lpstr>
      <vt:lpstr>'311'!OSRRefD21_5_0x</vt:lpstr>
      <vt:lpstr>'315'!OSRRefD21_5_0x</vt:lpstr>
      <vt:lpstr>'316'!OSRRefD21_5_0x</vt:lpstr>
      <vt:lpstr>'317'!OSRRefD21_5_0x</vt:lpstr>
      <vt:lpstr>'321'!OSRRefD21_5_0x</vt:lpstr>
      <vt:lpstr>'325'!OSRRefD21_5_0x</vt:lpstr>
      <vt:lpstr>'326'!OSRRefD21_5_0x</vt:lpstr>
      <vt:lpstr>'331'!OSRRefD21_5_0x</vt:lpstr>
      <vt:lpstr>'332'!OSRRefD21_5_0x</vt:lpstr>
      <vt:lpstr>'333'!OSRRefD21_5_0x</vt:lpstr>
      <vt:lpstr>'405'!OSRRefD21_5_0x</vt:lpstr>
      <vt:lpstr>'411'!OSRRefD21_5_0x</vt:lpstr>
      <vt:lpstr>'415'!OSRRefD21_5_0x</vt:lpstr>
      <vt:lpstr>'418'!OSRRefD21_5_0x</vt:lpstr>
      <vt:lpstr>'430'!OSRRefD21_5_0x</vt:lpstr>
      <vt:lpstr>'433'!OSRRefD21_5_0x</vt:lpstr>
      <vt:lpstr>'444'!OSRRefD21_5_0x</vt:lpstr>
      <vt:lpstr>'450'!OSRRefD21_5_0x</vt:lpstr>
      <vt:lpstr>'491'!OSRRefD21_5_0x</vt:lpstr>
      <vt:lpstr>'492'!OSRRefD21_5_0x</vt:lpstr>
      <vt:lpstr>'501'!OSRRefD21_5_0x</vt:lpstr>
      <vt:lpstr>'Div 2'!OSRRefD21_5_0x</vt:lpstr>
      <vt:lpstr>'Div 3'!OSRRefD21_5_0x</vt:lpstr>
      <vt:lpstr>'Div 4'!OSRRefD21_5_0x</vt:lpstr>
      <vt:lpstr>'Div 5'!OSRRefD21_5_0x</vt:lpstr>
      <vt:lpstr>'Div 6'!OSRRefD21_5_0x</vt:lpstr>
      <vt:lpstr>Summary!OSRRefD21_5_0x</vt:lpstr>
      <vt:lpstr>'206'!OSRRefD21_5_1x</vt:lpstr>
      <vt:lpstr>'300'!OSRRefD21_5_1x</vt:lpstr>
      <vt:lpstr>'300 &amp; 317'!OSRRefD21_5_1x</vt:lpstr>
      <vt:lpstr>'301'!OSRRefD21_5_1x</vt:lpstr>
      <vt:lpstr>'310'!OSRRefD21_5_1x</vt:lpstr>
      <vt:lpstr>'310 &amp; 491'!OSRRefD21_5_1x</vt:lpstr>
      <vt:lpstr>'316'!OSRRefD21_5_1x</vt:lpstr>
      <vt:lpstr>'325'!OSRRefD21_5_1x</vt:lpstr>
      <vt:lpstr>'332'!OSRRefD21_5_1x</vt:lpstr>
      <vt:lpstr>'405'!OSRRefD21_5_1x</vt:lpstr>
      <vt:lpstr>'415'!OSRRefD21_5_1x</vt:lpstr>
      <vt:lpstr>'430'!OSRRefD21_5_1x</vt:lpstr>
      <vt:lpstr>'491'!OSRRefD21_5_1x</vt:lpstr>
      <vt:lpstr>'501'!OSRRefD21_5_1x</vt:lpstr>
      <vt:lpstr>'Div 2'!OSRRefD21_5_1x</vt:lpstr>
      <vt:lpstr>'Div 3'!OSRRefD21_5_1x</vt:lpstr>
      <vt:lpstr>'Div 4'!OSRRefD21_5_1x</vt:lpstr>
      <vt:lpstr>'Div 5'!OSRRefD21_5_1x</vt:lpstr>
      <vt:lpstr>Summary!OSRRefD21_5_1x</vt:lpstr>
      <vt:lpstr>'201'!OSRRefD21_5x_0</vt:lpstr>
      <vt:lpstr>'202'!OSRRefD21_5x_0</vt:lpstr>
      <vt:lpstr>'203'!OSRRefD21_5x_0</vt:lpstr>
      <vt:lpstr>'204'!OSRRefD21_5x_0</vt:lpstr>
      <vt:lpstr>'205'!OSRRefD21_5x_0</vt:lpstr>
      <vt:lpstr>'206'!OSRRefD21_5x_0</vt:lpstr>
      <vt:lpstr>'300'!OSRRefD21_5x_0</vt:lpstr>
      <vt:lpstr>'300 &amp; 317'!OSRRefD21_5x_0</vt:lpstr>
      <vt:lpstr>'301'!OSRRefD21_5x_0</vt:lpstr>
      <vt:lpstr>'307'!OSRRefD21_5x_0</vt:lpstr>
      <vt:lpstr>'308'!OSRRefD21_5x_0</vt:lpstr>
      <vt:lpstr>'309'!OSRRefD21_5x_0</vt:lpstr>
      <vt:lpstr>'310'!OSRRefD21_5x_0</vt:lpstr>
      <vt:lpstr>'310 &amp; 491'!OSRRefD21_5x_0</vt:lpstr>
      <vt:lpstr>'311'!OSRRefD21_5x_0</vt:lpstr>
      <vt:lpstr>'315'!OSRRefD21_5x_0</vt:lpstr>
      <vt:lpstr>'316'!OSRRefD21_5x_0</vt:lpstr>
      <vt:lpstr>'317'!OSRRefD21_5x_0</vt:lpstr>
      <vt:lpstr>'321'!OSRRefD21_5x_0</vt:lpstr>
      <vt:lpstr>'325'!OSRRefD21_5x_0</vt:lpstr>
      <vt:lpstr>'326'!OSRRefD21_5x_0</vt:lpstr>
      <vt:lpstr>'331'!OSRRefD21_5x_0</vt:lpstr>
      <vt:lpstr>'332'!OSRRefD21_5x_0</vt:lpstr>
      <vt:lpstr>'333'!OSRRefD21_5x_0</vt:lpstr>
      <vt:lpstr>'405'!OSRRefD21_5x_0</vt:lpstr>
      <vt:lpstr>'411'!OSRRefD21_5x_0</vt:lpstr>
      <vt:lpstr>'415'!OSRRefD21_5x_0</vt:lpstr>
      <vt:lpstr>'418'!OSRRefD21_5x_0</vt:lpstr>
      <vt:lpstr>'430'!OSRRefD21_5x_0</vt:lpstr>
      <vt:lpstr>'433'!OSRRefD21_5x_0</vt:lpstr>
      <vt:lpstr>'444'!OSRRefD21_5x_0</vt:lpstr>
      <vt:lpstr>'450'!OSRRefD21_5x_0</vt:lpstr>
      <vt:lpstr>'491'!OSRRefD21_5x_0</vt:lpstr>
      <vt:lpstr>'492'!OSRRefD21_5x_0</vt:lpstr>
      <vt:lpstr>'501'!OSRRefD21_5x_0</vt:lpstr>
      <vt:lpstr>'Div 2'!OSRRefD21_5x_0</vt:lpstr>
      <vt:lpstr>'Div 3'!OSRRefD21_5x_0</vt:lpstr>
      <vt:lpstr>'Div 4'!OSRRefD21_5x_0</vt:lpstr>
      <vt:lpstr>'Div 5'!OSRRefD21_5x_0</vt:lpstr>
      <vt:lpstr>'Div 6'!OSRRefD21_5x_0</vt:lpstr>
      <vt:lpstr>Summary!OSRRefD21_5x_0</vt:lpstr>
      <vt:lpstr>'201'!OSRRefD21_5x_1</vt:lpstr>
      <vt:lpstr>'202'!OSRRefD21_5x_1</vt:lpstr>
      <vt:lpstr>'203'!OSRRefD21_5x_1</vt:lpstr>
      <vt:lpstr>'204'!OSRRefD21_5x_1</vt:lpstr>
      <vt:lpstr>'205'!OSRRefD21_5x_1</vt:lpstr>
      <vt:lpstr>'206'!OSRRefD21_5x_1</vt:lpstr>
      <vt:lpstr>'300'!OSRRefD21_5x_1</vt:lpstr>
      <vt:lpstr>'300 &amp; 317'!OSRRefD21_5x_1</vt:lpstr>
      <vt:lpstr>'301'!OSRRefD21_5x_1</vt:lpstr>
      <vt:lpstr>'307'!OSRRefD21_5x_1</vt:lpstr>
      <vt:lpstr>'308'!OSRRefD21_5x_1</vt:lpstr>
      <vt:lpstr>'309'!OSRRefD21_5x_1</vt:lpstr>
      <vt:lpstr>'310'!OSRRefD21_5x_1</vt:lpstr>
      <vt:lpstr>'310 &amp; 491'!OSRRefD21_5x_1</vt:lpstr>
      <vt:lpstr>'311'!OSRRefD21_5x_1</vt:lpstr>
      <vt:lpstr>'315'!OSRRefD21_5x_1</vt:lpstr>
      <vt:lpstr>'316'!OSRRefD21_5x_1</vt:lpstr>
      <vt:lpstr>'317'!OSRRefD21_5x_1</vt:lpstr>
      <vt:lpstr>'321'!OSRRefD21_5x_1</vt:lpstr>
      <vt:lpstr>'325'!OSRRefD21_5x_1</vt:lpstr>
      <vt:lpstr>'326'!OSRRefD21_5x_1</vt:lpstr>
      <vt:lpstr>'331'!OSRRefD21_5x_1</vt:lpstr>
      <vt:lpstr>'332'!OSRRefD21_5x_1</vt:lpstr>
      <vt:lpstr>'333'!OSRRefD21_5x_1</vt:lpstr>
      <vt:lpstr>'405'!OSRRefD21_5x_1</vt:lpstr>
      <vt:lpstr>'411'!OSRRefD21_5x_1</vt:lpstr>
      <vt:lpstr>'415'!OSRRefD21_5x_1</vt:lpstr>
      <vt:lpstr>'418'!OSRRefD21_5x_1</vt:lpstr>
      <vt:lpstr>'430'!OSRRefD21_5x_1</vt:lpstr>
      <vt:lpstr>'433'!OSRRefD21_5x_1</vt:lpstr>
      <vt:lpstr>'444'!OSRRefD21_5x_1</vt:lpstr>
      <vt:lpstr>'450'!OSRRefD21_5x_1</vt:lpstr>
      <vt:lpstr>'491'!OSRRefD21_5x_1</vt:lpstr>
      <vt:lpstr>'492'!OSRRefD21_5x_1</vt:lpstr>
      <vt:lpstr>'501'!OSRRefD21_5x_1</vt:lpstr>
      <vt:lpstr>'Div 2'!OSRRefD21_5x_1</vt:lpstr>
      <vt:lpstr>'Div 3'!OSRRefD21_5x_1</vt:lpstr>
      <vt:lpstr>'Div 4'!OSRRefD21_5x_1</vt:lpstr>
      <vt:lpstr>'Div 5'!OSRRefD21_5x_1</vt:lpstr>
      <vt:lpstr>'Div 6'!OSRRefD21_5x_1</vt:lpstr>
      <vt:lpstr>Summary!OSRRefD21_5x_1</vt:lpstr>
      <vt:lpstr>'201'!OSRRefD21_5x_2</vt:lpstr>
      <vt:lpstr>'202'!OSRRefD21_5x_2</vt:lpstr>
      <vt:lpstr>'203'!OSRRefD21_5x_2</vt:lpstr>
      <vt:lpstr>'204'!OSRRefD21_5x_2</vt:lpstr>
      <vt:lpstr>'205'!OSRRefD21_5x_2</vt:lpstr>
      <vt:lpstr>'206'!OSRRefD21_5x_2</vt:lpstr>
      <vt:lpstr>'300'!OSRRefD21_5x_2</vt:lpstr>
      <vt:lpstr>'300 &amp; 317'!OSRRefD21_5x_2</vt:lpstr>
      <vt:lpstr>'301'!OSRRefD21_5x_2</vt:lpstr>
      <vt:lpstr>'307'!OSRRefD21_5x_2</vt:lpstr>
      <vt:lpstr>'308'!OSRRefD21_5x_2</vt:lpstr>
      <vt:lpstr>'309'!OSRRefD21_5x_2</vt:lpstr>
      <vt:lpstr>'310'!OSRRefD21_5x_2</vt:lpstr>
      <vt:lpstr>'310 &amp; 491'!OSRRefD21_5x_2</vt:lpstr>
      <vt:lpstr>'311'!OSRRefD21_5x_2</vt:lpstr>
      <vt:lpstr>'315'!OSRRefD21_5x_2</vt:lpstr>
      <vt:lpstr>'316'!OSRRefD21_5x_2</vt:lpstr>
      <vt:lpstr>'317'!OSRRefD21_5x_2</vt:lpstr>
      <vt:lpstr>'321'!OSRRefD21_5x_2</vt:lpstr>
      <vt:lpstr>'325'!OSRRefD21_5x_2</vt:lpstr>
      <vt:lpstr>'326'!OSRRefD21_5x_2</vt:lpstr>
      <vt:lpstr>'331'!OSRRefD21_5x_2</vt:lpstr>
      <vt:lpstr>'332'!OSRRefD21_5x_2</vt:lpstr>
      <vt:lpstr>'333'!OSRRefD21_5x_2</vt:lpstr>
      <vt:lpstr>'405'!OSRRefD21_5x_2</vt:lpstr>
      <vt:lpstr>'411'!OSRRefD21_5x_2</vt:lpstr>
      <vt:lpstr>'415'!OSRRefD21_5x_2</vt:lpstr>
      <vt:lpstr>'418'!OSRRefD21_5x_2</vt:lpstr>
      <vt:lpstr>'430'!OSRRefD21_5x_2</vt:lpstr>
      <vt:lpstr>'433'!OSRRefD21_5x_2</vt:lpstr>
      <vt:lpstr>'444'!OSRRefD21_5x_2</vt:lpstr>
      <vt:lpstr>'450'!OSRRefD21_5x_2</vt:lpstr>
      <vt:lpstr>'491'!OSRRefD21_5x_2</vt:lpstr>
      <vt:lpstr>'492'!OSRRefD21_5x_2</vt:lpstr>
      <vt:lpstr>'501'!OSRRefD21_5x_2</vt:lpstr>
      <vt:lpstr>'Div 2'!OSRRefD21_5x_2</vt:lpstr>
      <vt:lpstr>'Div 3'!OSRRefD21_5x_2</vt:lpstr>
      <vt:lpstr>'Div 4'!OSRRefD21_5x_2</vt:lpstr>
      <vt:lpstr>'Div 5'!OSRRefD21_5x_2</vt:lpstr>
      <vt:lpstr>'Div 6'!OSRRefD21_5x_2</vt:lpstr>
      <vt:lpstr>Summary!OSRRefD21_5x_2</vt:lpstr>
      <vt:lpstr>'201'!OSRRefD21_5x_3</vt:lpstr>
      <vt:lpstr>'202'!OSRRefD21_5x_3</vt:lpstr>
      <vt:lpstr>'203'!OSRRefD21_5x_3</vt:lpstr>
      <vt:lpstr>'204'!OSRRefD21_5x_3</vt:lpstr>
      <vt:lpstr>'205'!OSRRefD21_5x_3</vt:lpstr>
      <vt:lpstr>'206'!OSRRefD21_5x_3</vt:lpstr>
      <vt:lpstr>'300'!OSRRefD21_5x_3</vt:lpstr>
      <vt:lpstr>'300 &amp; 317'!OSRRefD21_5x_3</vt:lpstr>
      <vt:lpstr>'301'!OSRRefD21_5x_3</vt:lpstr>
      <vt:lpstr>'307'!OSRRefD21_5x_3</vt:lpstr>
      <vt:lpstr>'308'!OSRRefD21_5x_3</vt:lpstr>
      <vt:lpstr>'309'!OSRRefD21_5x_3</vt:lpstr>
      <vt:lpstr>'310'!OSRRefD21_5x_3</vt:lpstr>
      <vt:lpstr>'310 &amp; 491'!OSRRefD21_5x_3</vt:lpstr>
      <vt:lpstr>'311'!OSRRefD21_5x_3</vt:lpstr>
      <vt:lpstr>'315'!OSRRefD21_5x_3</vt:lpstr>
      <vt:lpstr>'316'!OSRRefD21_5x_3</vt:lpstr>
      <vt:lpstr>'317'!OSRRefD21_5x_3</vt:lpstr>
      <vt:lpstr>'321'!OSRRefD21_5x_3</vt:lpstr>
      <vt:lpstr>'325'!OSRRefD21_5x_3</vt:lpstr>
      <vt:lpstr>'326'!OSRRefD21_5x_3</vt:lpstr>
      <vt:lpstr>'331'!OSRRefD21_5x_3</vt:lpstr>
      <vt:lpstr>'332'!OSRRefD21_5x_3</vt:lpstr>
      <vt:lpstr>'333'!OSRRefD21_5x_3</vt:lpstr>
      <vt:lpstr>'405'!OSRRefD21_5x_3</vt:lpstr>
      <vt:lpstr>'411'!OSRRefD21_5x_3</vt:lpstr>
      <vt:lpstr>'415'!OSRRefD21_5x_3</vt:lpstr>
      <vt:lpstr>'418'!OSRRefD21_5x_3</vt:lpstr>
      <vt:lpstr>'430'!OSRRefD21_5x_3</vt:lpstr>
      <vt:lpstr>'433'!OSRRefD21_5x_3</vt:lpstr>
      <vt:lpstr>'444'!OSRRefD21_5x_3</vt:lpstr>
      <vt:lpstr>'450'!OSRRefD21_5x_3</vt:lpstr>
      <vt:lpstr>'491'!OSRRefD21_5x_3</vt:lpstr>
      <vt:lpstr>'492'!OSRRefD21_5x_3</vt:lpstr>
      <vt:lpstr>'501'!OSRRefD21_5x_3</vt:lpstr>
      <vt:lpstr>'Div 2'!OSRRefD21_5x_3</vt:lpstr>
      <vt:lpstr>'Div 3'!OSRRefD21_5x_3</vt:lpstr>
      <vt:lpstr>'Div 4'!OSRRefD21_5x_3</vt:lpstr>
      <vt:lpstr>'Div 5'!OSRRefD21_5x_3</vt:lpstr>
      <vt:lpstr>'Div 6'!OSRRefD21_5x_3</vt:lpstr>
      <vt:lpstr>Summary!OSRRefD21_5x_3</vt:lpstr>
      <vt:lpstr>'201'!OSRRefD21_5x_4</vt:lpstr>
      <vt:lpstr>'202'!OSRRefD21_5x_4</vt:lpstr>
      <vt:lpstr>'203'!OSRRefD21_5x_4</vt:lpstr>
      <vt:lpstr>'204'!OSRRefD21_5x_4</vt:lpstr>
      <vt:lpstr>'205'!OSRRefD21_5x_4</vt:lpstr>
      <vt:lpstr>'206'!OSRRefD21_5x_4</vt:lpstr>
      <vt:lpstr>'300'!OSRRefD21_5x_4</vt:lpstr>
      <vt:lpstr>'300 &amp; 317'!OSRRefD21_5x_4</vt:lpstr>
      <vt:lpstr>'301'!OSRRefD21_5x_4</vt:lpstr>
      <vt:lpstr>'307'!OSRRefD21_5x_4</vt:lpstr>
      <vt:lpstr>'308'!OSRRefD21_5x_4</vt:lpstr>
      <vt:lpstr>'309'!OSRRefD21_5x_4</vt:lpstr>
      <vt:lpstr>'310'!OSRRefD21_5x_4</vt:lpstr>
      <vt:lpstr>'310 &amp; 491'!OSRRefD21_5x_4</vt:lpstr>
      <vt:lpstr>'311'!OSRRefD21_5x_4</vt:lpstr>
      <vt:lpstr>'315'!OSRRefD21_5x_4</vt:lpstr>
      <vt:lpstr>'316'!OSRRefD21_5x_4</vt:lpstr>
      <vt:lpstr>'317'!OSRRefD21_5x_4</vt:lpstr>
      <vt:lpstr>'321'!OSRRefD21_5x_4</vt:lpstr>
      <vt:lpstr>'325'!OSRRefD21_5x_4</vt:lpstr>
      <vt:lpstr>'326'!OSRRefD21_5x_4</vt:lpstr>
      <vt:lpstr>'331'!OSRRefD21_5x_4</vt:lpstr>
      <vt:lpstr>'332'!OSRRefD21_5x_4</vt:lpstr>
      <vt:lpstr>'333'!OSRRefD21_5x_4</vt:lpstr>
      <vt:lpstr>'405'!OSRRefD21_5x_4</vt:lpstr>
      <vt:lpstr>'411'!OSRRefD21_5x_4</vt:lpstr>
      <vt:lpstr>'415'!OSRRefD21_5x_4</vt:lpstr>
      <vt:lpstr>'418'!OSRRefD21_5x_4</vt:lpstr>
      <vt:lpstr>'430'!OSRRefD21_5x_4</vt:lpstr>
      <vt:lpstr>'433'!OSRRefD21_5x_4</vt:lpstr>
      <vt:lpstr>'444'!OSRRefD21_5x_4</vt:lpstr>
      <vt:lpstr>'450'!OSRRefD21_5x_4</vt:lpstr>
      <vt:lpstr>'491'!OSRRefD21_5x_4</vt:lpstr>
      <vt:lpstr>'492'!OSRRefD21_5x_4</vt:lpstr>
      <vt:lpstr>'501'!OSRRefD21_5x_4</vt:lpstr>
      <vt:lpstr>'Div 2'!OSRRefD21_5x_4</vt:lpstr>
      <vt:lpstr>'Div 3'!OSRRefD21_5x_4</vt:lpstr>
      <vt:lpstr>'Div 4'!OSRRefD21_5x_4</vt:lpstr>
      <vt:lpstr>'Div 5'!OSRRefD21_5x_4</vt:lpstr>
      <vt:lpstr>'Div 6'!OSRRefD21_5x_4</vt:lpstr>
      <vt:lpstr>Summary!OSRRefD21_5x_4</vt:lpstr>
      <vt:lpstr>'201'!OSRRefD21_5x_5</vt:lpstr>
      <vt:lpstr>'202'!OSRRefD21_5x_5</vt:lpstr>
      <vt:lpstr>'203'!OSRRefD21_5x_5</vt:lpstr>
      <vt:lpstr>'204'!OSRRefD21_5x_5</vt:lpstr>
      <vt:lpstr>'205'!OSRRefD21_5x_5</vt:lpstr>
      <vt:lpstr>'206'!OSRRefD21_5x_5</vt:lpstr>
      <vt:lpstr>'300'!OSRRefD21_5x_5</vt:lpstr>
      <vt:lpstr>'300 &amp; 317'!OSRRefD21_5x_5</vt:lpstr>
      <vt:lpstr>'301'!OSRRefD21_5x_5</vt:lpstr>
      <vt:lpstr>'307'!OSRRefD21_5x_5</vt:lpstr>
      <vt:lpstr>'308'!OSRRefD21_5x_5</vt:lpstr>
      <vt:lpstr>'309'!OSRRefD21_5x_5</vt:lpstr>
      <vt:lpstr>'310'!OSRRefD21_5x_5</vt:lpstr>
      <vt:lpstr>'310 &amp; 491'!OSRRefD21_5x_5</vt:lpstr>
      <vt:lpstr>'311'!OSRRefD21_5x_5</vt:lpstr>
      <vt:lpstr>'315'!OSRRefD21_5x_5</vt:lpstr>
      <vt:lpstr>'316'!OSRRefD21_5x_5</vt:lpstr>
      <vt:lpstr>'317'!OSRRefD21_5x_5</vt:lpstr>
      <vt:lpstr>'321'!OSRRefD21_5x_5</vt:lpstr>
      <vt:lpstr>'325'!OSRRefD21_5x_5</vt:lpstr>
      <vt:lpstr>'326'!OSRRefD21_5x_5</vt:lpstr>
      <vt:lpstr>'331'!OSRRefD21_5x_5</vt:lpstr>
      <vt:lpstr>'332'!OSRRefD21_5x_5</vt:lpstr>
      <vt:lpstr>'333'!OSRRefD21_5x_5</vt:lpstr>
      <vt:lpstr>'405'!OSRRefD21_5x_5</vt:lpstr>
      <vt:lpstr>'411'!OSRRefD21_5x_5</vt:lpstr>
      <vt:lpstr>'415'!OSRRefD21_5x_5</vt:lpstr>
      <vt:lpstr>'418'!OSRRefD21_5x_5</vt:lpstr>
      <vt:lpstr>'430'!OSRRefD21_5x_5</vt:lpstr>
      <vt:lpstr>'433'!OSRRefD21_5x_5</vt:lpstr>
      <vt:lpstr>'444'!OSRRefD21_5x_5</vt:lpstr>
      <vt:lpstr>'450'!OSRRefD21_5x_5</vt:lpstr>
      <vt:lpstr>'491'!OSRRefD21_5x_5</vt:lpstr>
      <vt:lpstr>'492'!OSRRefD21_5x_5</vt:lpstr>
      <vt:lpstr>'501'!OSRRefD21_5x_5</vt:lpstr>
      <vt:lpstr>'Div 2'!OSRRefD21_5x_5</vt:lpstr>
      <vt:lpstr>'Div 3'!OSRRefD21_5x_5</vt:lpstr>
      <vt:lpstr>'Div 4'!OSRRefD21_5x_5</vt:lpstr>
      <vt:lpstr>'Div 5'!OSRRefD21_5x_5</vt:lpstr>
      <vt:lpstr>'Div 6'!OSRRefD21_5x_5</vt:lpstr>
      <vt:lpstr>Summary!OSRRefD21_5x_5</vt:lpstr>
      <vt:lpstr>'201'!OSRRefD21_5x_6</vt:lpstr>
      <vt:lpstr>'202'!OSRRefD21_5x_6</vt:lpstr>
      <vt:lpstr>'203'!OSRRefD21_5x_6</vt:lpstr>
      <vt:lpstr>'204'!OSRRefD21_5x_6</vt:lpstr>
      <vt:lpstr>'205'!OSRRefD21_5x_6</vt:lpstr>
      <vt:lpstr>'206'!OSRRefD21_5x_6</vt:lpstr>
      <vt:lpstr>'300'!OSRRefD21_5x_6</vt:lpstr>
      <vt:lpstr>'300 &amp; 317'!OSRRefD21_5x_6</vt:lpstr>
      <vt:lpstr>'301'!OSRRefD21_5x_6</vt:lpstr>
      <vt:lpstr>'307'!OSRRefD21_5x_6</vt:lpstr>
      <vt:lpstr>'308'!OSRRefD21_5x_6</vt:lpstr>
      <vt:lpstr>'309'!OSRRefD21_5x_6</vt:lpstr>
      <vt:lpstr>'310'!OSRRefD21_5x_6</vt:lpstr>
      <vt:lpstr>'310 &amp; 491'!OSRRefD21_5x_6</vt:lpstr>
      <vt:lpstr>'311'!OSRRefD21_5x_6</vt:lpstr>
      <vt:lpstr>'315'!OSRRefD21_5x_6</vt:lpstr>
      <vt:lpstr>'316'!OSRRefD21_5x_6</vt:lpstr>
      <vt:lpstr>'317'!OSRRefD21_5x_6</vt:lpstr>
      <vt:lpstr>'321'!OSRRefD21_5x_6</vt:lpstr>
      <vt:lpstr>'325'!OSRRefD21_5x_6</vt:lpstr>
      <vt:lpstr>'326'!OSRRefD21_5x_6</vt:lpstr>
      <vt:lpstr>'331'!OSRRefD21_5x_6</vt:lpstr>
      <vt:lpstr>'332'!OSRRefD21_5x_6</vt:lpstr>
      <vt:lpstr>'333'!OSRRefD21_5x_6</vt:lpstr>
      <vt:lpstr>'405'!OSRRefD21_5x_6</vt:lpstr>
      <vt:lpstr>'411'!OSRRefD21_5x_6</vt:lpstr>
      <vt:lpstr>'415'!OSRRefD21_5x_6</vt:lpstr>
      <vt:lpstr>'418'!OSRRefD21_5x_6</vt:lpstr>
      <vt:lpstr>'430'!OSRRefD21_5x_6</vt:lpstr>
      <vt:lpstr>'433'!OSRRefD21_5x_6</vt:lpstr>
      <vt:lpstr>'444'!OSRRefD21_5x_6</vt:lpstr>
      <vt:lpstr>'450'!OSRRefD21_5x_6</vt:lpstr>
      <vt:lpstr>'491'!OSRRefD21_5x_6</vt:lpstr>
      <vt:lpstr>'492'!OSRRefD21_5x_6</vt:lpstr>
      <vt:lpstr>'501'!OSRRefD21_5x_6</vt:lpstr>
      <vt:lpstr>'Div 2'!OSRRefD21_5x_6</vt:lpstr>
      <vt:lpstr>'Div 3'!OSRRefD21_5x_6</vt:lpstr>
      <vt:lpstr>'Div 4'!OSRRefD21_5x_6</vt:lpstr>
      <vt:lpstr>'Div 5'!OSRRefD21_5x_6</vt:lpstr>
      <vt:lpstr>'Div 6'!OSRRefD21_5x_6</vt:lpstr>
      <vt:lpstr>Summary!OSRRefD21_5x_6</vt:lpstr>
      <vt:lpstr>'201'!OSRRefD21_5x_7</vt:lpstr>
      <vt:lpstr>'202'!OSRRefD21_5x_7</vt:lpstr>
      <vt:lpstr>'203'!OSRRefD21_5x_7</vt:lpstr>
      <vt:lpstr>'204'!OSRRefD21_5x_7</vt:lpstr>
      <vt:lpstr>'205'!OSRRefD21_5x_7</vt:lpstr>
      <vt:lpstr>'206'!OSRRefD21_5x_7</vt:lpstr>
      <vt:lpstr>'300'!OSRRefD21_5x_7</vt:lpstr>
      <vt:lpstr>'300 &amp; 317'!OSRRefD21_5x_7</vt:lpstr>
      <vt:lpstr>'301'!OSRRefD21_5x_7</vt:lpstr>
      <vt:lpstr>'307'!OSRRefD21_5x_7</vt:lpstr>
      <vt:lpstr>'308'!OSRRefD21_5x_7</vt:lpstr>
      <vt:lpstr>'309'!OSRRefD21_5x_7</vt:lpstr>
      <vt:lpstr>'310'!OSRRefD21_5x_7</vt:lpstr>
      <vt:lpstr>'310 &amp; 491'!OSRRefD21_5x_7</vt:lpstr>
      <vt:lpstr>'311'!OSRRefD21_5x_7</vt:lpstr>
      <vt:lpstr>'315'!OSRRefD21_5x_7</vt:lpstr>
      <vt:lpstr>'316'!OSRRefD21_5x_7</vt:lpstr>
      <vt:lpstr>'317'!OSRRefD21_5x_7</vt:lpstr>
      <vt:lpstr>'321'!OSRRefD21_5x_7</vt:lpstr>
      <vt:lpstr>'325'!OSRRefD21_5x_7</vt:lpstr>
      <vt:lpstr>'326'!OSRRefD21_5x_7</vt:lpstr>
      <vt:lpstr>'331'!OSRRefD21_5x_7</vt:lpstr>
      <vt:lpstr>'332'!OSRRefD21_5x_7</vt:lpstr>
      <vt:lpstr>'333'!OSRRefD21_5x_7</vt:lpstr>
      <vt:lpstr>'405'!OSRRefD21_5x_7</vt:lpstr>
      <vt:lpstr>'411'!OSRRefD21_5x_7</vt:lpstr>
      <vt:lpstr>'415'!OSRRefD21_5x_7</vt:lpstr>
      <vt:lpstr>'418'!OSRRefD21_5x_7</vt:lpstr>
      <vt:lpstr>'430'!OSRRefD21_5x_7</vt:lpstr>
      <vt:lpstr>'433'!OSRRefD21_5x_7</vt:lpstr>
      <vt:lpstr>'444'!OSRRefD21_5x_7</vt:lpstr>
      <vt:lpstr>'450'!OSRRefD21_5x_7</vt:lpstr>
      <vt:lpstr>'491'!OSRRefD21_5x_7</vt:lpstr>
      <vt:lpstr>'492'!OSRRefD21_5x_7</vt:lpstr>
      <vt:lpstr>'501'!OSRRefD21_5x_7</vt:lpstr>
      <vt:lpstr>'Div 2'!OSRRefD21_5x_7</vt:lpstr>
      <vt:lpstr>'Div 3'!OSRRefD21_5x_7</vt:lpstr>
      <vt:lpstr>'Div 4'!OSRRefD21_5x_7</vt:lpstr>
      <vt:lpstr>'Div 5'!OSRRefD21_5x_7</vt:lpstr>
      <vt:lpstr>'Div 6'!OSRRefD21_5x_7</vt:lpstr>
      <vt:lpstr>Summary!OSRRefD21_5x_7</vt:lpstr>
      <vt:lpstr>'201'!OSRRefD21_5x_8</vt:lpstr>
      <vt:lpstr>'202'!OSRRefD21_5x_8</vt:lpstr>
      <vt:lpstr>'203'!OSRRefD21_5x_8</vt:lpstr>
      <vt:lpstr>'204'!OSRRefD21_5x_8</vt:lpstr>
      <vt:lpstr>'205'!OSRRefD21_5x_8</vt:lpstr>
      <vt:lpstr>'206'!OSRRefD21_5x_8</vt:lpstr>
      <vt:lpstr>'300'!OSRRefD21_5x_8</vt:lpstr>
      <vt:lpstr>'300 &amp; 317'!OSRRefD21_5x_8</vt:lpstr>
      <vt:lpstr>'301'!OSRRefD21_5x_8</vt:lpstr>
      <vt:lpstr>'307'!OSRRefD21_5x_8</vt:lpstr>
      <vt:lpstr>'308'!OSRRefD21_5x_8</vt:lpstr>
      <vt:lpstr>'309'!OSRRefD21_5x_8</vt:lpstr>
      <vt:lpstr>'310'!OSRRefD21_5x_8</vt:lpstr>
      <vt:lpstr>'310 &amp; 491'!OSRRefD21_5x_8</vt:lpstr>
      <vt:lpstr>'311'!OSRRefD21_5x_8</vt:lpstr>
      <vt:lpstr>'315'!OSRRefD21_5x_8</vt:lpstr>
      <vt:lpstr>'316'!OSRRefD21_5x_8</vt:lpstr>
      <vt:lpstr>'317'!OSRRefD21_5x_8</vt:lpstr>
      <vt:lpstr>'321'!OSRRefD21_5x_8</vt:lpstr>
      <vt:lpstr>'325'!OSRRefD21_5x_8</vt:lpstr>
      <vt:lpstr>'326'!OSRRefD21_5x_8</vt:lpstr>
      <vt:lpstr>'331'!OSRRefD21_5x_8</vt:lpstr>
      <vt:lpstr>'332'!OSRRefD21_5x_8</vt:lpstr>
      <vt:lpstr>'333'!OSRRefD21_5x_8</vt:lpstr>
      <vt:lpstr>'405'!OSRRefD21_5x_8</vt:lpstr>
      <vt:lpstr>'411'!OSRRefD21_5x_8</vt:lpstr>
      <vt:lpstr>'415'!OSRRefD21_5x_8</vt:lpstr>
      <vt:lpstr>'418'!OSRRefD21_5x_8</vt:lpstr>
      <vt:lpstr>'430'!OSRRefD21_5x_8</vt:lpstr>
      <vt:lpstr>'433'!OSRRefD21_5x_8</vt:lpstr>
      <vt:lpstr>'444'!OSRRefD21_5x_8</vt:lpstr>
      <vt:lpstr>'450'!OSRRefD21_5x_8</vt:lpstr>
      <vt:lpstr>'491'!OSRRefD21_5x_8</vt:lpstr>
      <vt:lpstr>'492'!OSRRefD21_5x_8</vt:lpstr>
      <vt:lpstr>'501'!OSRRefD21_5x_8</vt:lpstr>
      <vt:lpstr>'Div 2'!OSRRefD21_5x_8</vt:lpstr>
      <vt:lpstr>'Div 3'!OSRRefD21_5x_8</vt:lpstr>
      <vt:lpstr>'Div 4'!OSRRefD21_5x_8</vt:lpstr>
      <vt:lpstr>'Div 5'!OSRRefD21_5x_8</vt:lpstr>
      <vt:lpstr>'Div 6'!OSRRefD21_5x_8</vt:lpstr>
      <vt:lpstr>Summary!OSRRefD21_5x_8</vt:lpstr>
      <vt:lpstr>'201'!OSRRefD21_5x_9</vt:lpstr>
      <vt:lpstr>'202'!OSRRefD21_5x_9</vt:lpstr>
      <vt:lpstr>'203'!OSRRefD21_5x_9</vt:lpstr>
      <vt:lpstr>'204'!OSRRefD21_5x_9</vt:lpstr>
      <vt:lpstr>'205'!OSRRefD21_5x_9</vt:lpstr>
      <vt:lpstr>'206'!OSRRefD21_5x_9</vt:lpstr>
      <vt:lpstr>'300'!OSRRefD21_5x_9</vt:lpstr>
      <vt:lpstr>'300 &amp; 317'!OSRRefD21_5x_9</vt:lpstr>
      <vt:lpstr>'301'!OSRRefD21_5x_9</vt:lpstr>
      <vt:lpstr>'307'!OSRRefD21_5x_9</vt:lpstr>
      <vt:lpstr>'308'!OSRRefD21_5x_9</vt:lpstr>
      <vt:lpstr>'309'!OSRRefD21_5x_9</vt:lpstr>
      <vt:lpstr>'310'!OSRRefD21_5x_9</vt:lpstr>
      <vt:lpstr>'310 &amp; 491'!OSRRefD21_5x_9</vt:lpstr>
      <vt:lpstr>'311'!OSRRefD21_5x_9</vt:lpstr>
      <vt:lpstr>'315'!OSRRefD21_5x_9</vt:lpstr>
      <vt:lpstr>'316'!OSRRefD21_5x_9</vt:lpstr>
      <vt:lpstr>'317'!OSRRefD21_5x_9</vt:lpstr>
      <vt:lpstr>'321'!OSRRefD21_5x_9</vt:lpstr>
      <vt:lpstr>'325'!OSRRefD21_5x_9</vt:lpstr>
      <vt:lpstr>'326'!OSRRefD21_5x_9</vt:lpstr>
      <vt:lpstr>'331'!OSRRefD21_5x_9</vt:lpstr>
      <vt:lpstr>'332'!OSRRefD21_5x_9</vt:lpstr>
      <vt:lpstr>'333'!OSRRefD21_5x_9</vt:lpstr>
      <vt:lpstr>'405'!OSRRefD21_5x_9</vt:lpstr>
      <vt:lpstr>'411'!OSRRefD21_5x_9</vt:lpstr>
      <vt:lpstr>'415'!OSRRefD21_5x_9</vt:lpstr>
      <vt:lpstr>'418'!OSRRefD21_5x_9</vt:lpstr>
      <vt:lpstr>'430'!OSRRefD21_5x_9</vt:lpstr>
      <vt:lpstr>'433'!OSRRefD21_5x_9</vt:lpstr>
      <vt:lpstr>'444'!OSRRefD21_5x_9</vt:lpstr>
      <vt:lpstr>'450'!OSRRefD21_5x_9</vt:lpstr>
      <vt:lpstr>'491'!OSRRefD21_5x_9</vt:lpstr>
      <vt:lpstr>'492'!OSRRefD21_5x_9</vt:lpstr>
      <vt:lpstr>'501'!OSRRefD21_5x_9</vt:lpstr>
      <vt:lpstr>'Div 2'!OSRRefD21_5x_9</vt:lpstr>
      <vt:lpstr>'Div 3'!OSRRefD21_5x_9</vt:lpstr>
      <vt:lpstr>'Div 4'!OSRRefD21_5x_9</vt:lpstr>
      <vt:lpstr>'Div 5'!OSRRefD21_5x_9</vt:lpstr>
      <vt:lpstr>'Div 6'!OSRRefD21_5x_9</vt:lpstr>
      <vt:lpstr>Summary!OSRRefD21_5x_9</vt:lpstr>
      <vt:lpstr>'201'!OSRRefD21_6_0x</vt:lpstr>
      <vt:lpstr>'202'!OSRRefD21_6_0x</vt:lpstr>
      <vt:lpstr>'203'!OSRRefD21_6_0x</vt:lpstr>
      <vt:lpstr>'204'!OSRRefD21_6_0x</vt:lpstr>
      <vt:lpstr>'205'!OSRRefD21_6_0x</vt:lpstr>
      <vt:lpstr>'300'!OSRRefD21_6_0x</vt:lpstr>
      <vt:lpstr>'300 &amp; 317'!OSRRefD21_6_0x</vt:lpstr>
      <vt:lpstr>'301'!OSRRefD21_6_0x</vt:lpstr>
      <vt:lpstr>'307'!OSRRefD21_6_0x</vt:lpstr>
      <vt:lpstr>'308'!OSRRefD21_6_0x</vt:lpstr>
      <vt:lpstr>'309'!OSRRefD21_6_0x</vt:lpstr>
      <vt:lpstr>'310'!OSRRefD21_6_0x</vt:lpstr>
      <vt:lpstr>'310 &amp; 491'!OSRRefD21_6_0x</vt:lpstr>
      <vt:lpstr>'311'!OSRRefD21_6_0x</vt:lpstr>
      <vt:lpstr>'315'!OSRRefD21_6_0x</vt:lpstr>
      <vt:lpstr>'316'!OSRRefD21_6_0x</vt:lpstr>
      <vt:lpstr>'317'!OSRRefD21_6_0x</vt:lpstr>
      <vt:lpstr>'321'!OSRRefD21_6_0x</vt:lpstr>
      <vt:lpstr>'325'!OSRRefD21_6_0x</vt:lpstr>
      <vt:lpstr>'326'!OSRRefD21_6_0x</vt:lpstr>
      <vt:lpstr>'331'!OSRRefD21_6_0x</vt:lpstr>
      <vt:lpstr>'332'!OSRRefD21_6_0x</vt:lpstr>
      <vt:lpstr>'333'!OSRRefD21_6_0x</vt:lpstr>
      <vt:lpstr>'405'!OSRRefD21_6_0x</vt:lpstr>
      <vt:lpstr>'411'!OSRRefD21_6_0x</vt:lpstr>
      <vt:lpstr>'415'!OSRRefD21_6_0x</vt:lpstr>
      <vt:lpstr>'418'!OSRRefD21_6_0x</vt:lpstr>
      <vt:lpstr>'430'!OSRRefD21_6_0x</vt:lpstr>
      <vt:lpstr>'433'!OSRRefD21_6_0x</vt:lpstr>
      <vt:lpstr>'444'!OSRRefD21_6_0x</vt:lpstr>
      <vt:lpstr>'450'!OSRRefD21_6_0x</vt:lpstr>
      <vt:lpstr>'491'!OSRRefD21_6_0x</vt:lpstr>
      <vt:lpstr>'492'!OSRRefD21_6_0x</vt:lpstr>
      <vt:lpstr>'501'!OSRRefD21_6_0x</vt:lpstr>
      <vt:lpstr>'Div 2'!OSRRefD21_6_0x</vt:lpstr>
      <vt:lpstr>'Div 3'!OSRRefD21_6_0x</vt:lpstr>
      <vt:lpstr>'Div 4'!OSRRefD21_6_0x</vt:lpstr>
      <vt:lpstr>'Div 5'!OSRRefD21_6_0x</vt:lpstr>
      <vt:lpstr>'Div 6'!OSRRefD21_6_0x</vt:lpstr>
      <vt:lpstr>Summary!OSRRefD21_6_0x</vt:lpstr>
      <vt:lpstr>'204'!OSRRefD21_6_1x</vt:lpstr>
      <vt:lpstr>'205'!OSRRefD21_6_1x</vt:lpstr>
      <vt:lpstr>'300'!OSRRefD21_6_1x</vt:lpstr>
      <vt:lpstr>'300 &amp; 317'!OSRRefD21_6_1x</vt:lpstr>
      <vt:lpstr>'301'!OSRRefD21_6_1x</vt:lpstr>
      <vt:lpstr>'308'!OSRRefD21_6_1x</vt:lpstr>
      <vt:lpstr>'311'!OSRRefD21_6_1x</vt:lpstr>
      <vt:lpstr>'430'!OSRRefD21_6_1x</vt:lpstr>
      <vt:lpstr>'Div 3'!OSRRefD21_6_1x</vt:lpstr>
      <vt:lpstr>Summary!OSRRefD21_6_1x</vt:lpstr>
      <vt:lpstr>'201'!OSRRefD21_6x_0</vt:lpstr>
      <vt:lpstr>'202'!OSRRefD21_6x_0</vt:lpstr>
      <vt:lpstr>'203'!OSRRefD21_6x_0</vt:lpstr>
      <vt:lpstr>'204'!OSRRefD21_6x_0</vt:lpstr>
      <vt:lpstr>'205'!OSRRefD21_6x_0</vt:lpstr>
      <vt:lpstr>'300'!OSRRefD21_6x_0</vt:lpstr>
      <vt:lpstr>'300 &amp; 317'!OSRRefD21_6x_0</vt:lpstr>
      <vt:lpstr>'301'!OSRRefD21_6x_0</vt:lpstr>
      <vt:lpstr>'307'!OSRRefD21_6x_0</vt:lpstr>
      <vt:lpstr>'308'!OSRRefD21_6x_0</vt:lpstr>
      <vt:lpstr>'309'!OSRRefD21_6x_0</vt:lpstr>
      <vt:lpstr>'310'!OSRRefD21_6x_0</vt:lpstr>
      <vt:lpstr>'310 &amp; 491'!OSRRefD21_6x_0</vt:lpstr>
      <vt:lpstr>'311'!OSRRefD21_6x_0</vt:lpstr>
      <vt:lpstr>'315'!OSRRefD21_6x_0</vt:lpstr>
      <vt:lpstr>'316'!OSRRefD21_6x_0</vt:lpstr>
      <vt:lpstr>'317'!OSRRefD21_6x_0</vt:lpstr>
      <vt:lpstr>'321'!OSRRefD21_6x_0</vt:lpstr>
      <vt:lpstr>'325'!OSRRefD21_6x_0</vt:lpstr>
      <vt:lpstr>'326'!OSRRefD21_6x_0</vt:lpstr>
      <vt:lpstr>'331'!OSRRefD21_6x_0</vt:lpstr>
      <vt:lpstr>'332'!OSRRefD21_6x_0</vt:lpstr>
      <vt:lpstr>'333'!OSRRefD21_6x_0</vt:lpstr>
      <vt:lpstr>'405'!OSRRefD21_6x_0</vt:lpstr>
      <vt:lpstr>'411'!OSRRefD21_6x_0</vt:lpstr>
      <vt:lpstr>'415'!OSRRefD21_6x_0</vt:lpstr>
      <vt:lpstr>'418'!OSRRefD21_6x_0</vt:lpstr>
      <vt:lpstr>'430'!OSRRefD21_6x_0</vt:lpstr>
      <vt:lpstr>'433'!OSRRefD21_6x_0</vt:lpstr>
      <vt:lpstr>'444'!OSRRefD21_6x_0</vt:lpstr>
      <vt:lpstr>'450'!OSRRefD21_6x_0</vt:lpstr>
      <vt:lpstr>'491'!OSRRefD21_6x_0</vt:lpstr>
      <vt:lpstr>'492'!OSRRefD21_6x_0</vt:lpstr>
      <vt:lpstr>'501'!OSRRefD21_6x_0</vt:lpstr>
      <vt:lpstr>'Div 2'!OSRRefD21_6x_0</vt:lpstr>
      <vt:lpstr>'Div 3'!OSRRefD21_6x_0</vt:lpstr>
      <vt:lpstr>'Div 4'!OSRRefD21_6x_0</vt:lpstr>
      <vt:lpstr>'Div 5'!OSRRefD21_6x_0</vt:lpstr>
      <vt:lpstr>'Div 6'!OSRRefD21_6x_0</vt:lpstr>
      <vt:lpstr>Summary!OSRRefD21_6x_0</vt:lpstr>
      <vt:lpstr>'201'!OSRRefD21_6x_1</vt:lpstr>
      <vt:lpstr>'202'!OSRRefD21_6x_1</vt:lpstr>
      <vt:lpstr>'203'!OSRRefD21_6x_1</vt:lpstr>
      <vt:lpstr>'204'!OSRRefD21_6x_1</vt:lpstr>
      <vt:lpstr>'205'!OSRRefD21_6x_1</vt:lpstr>
      <vt:lpstr>'300'!OSRRefD21_6x_1</vt:lpstr>
      <vt:lpstr>'300 &amp; 317'!OSRRefD21_6x_1</vt:lpstr>
      <vt:lpstr>'301'!OSRRefD21_6x_1</vt:lpstr>
      <vt:lpstr>'307'!OSRRefD21_6x_1</vt:lpstr>
      <vt:lpstr>'308'!OSRRefD21_6x_1</vt:lpstr>
      <vt:lpstr>'309'!OSRRefD21_6x_1</vt:lpstr>
      <vt:lpstr>'310'!OSRRefD21_6x_1</vt:lpstr>
      <vt:lpstr>'310 &amp; 491'!OSRRefD21_6x_1</vt:lpstr>
      <vt:lpstr>'311'!OSRRefD21_6x_1</vt:lpstr>
      <vt:lpstr>'315'!OSRRefD21_6x_1</vt:lpstr>
      <vt:lpstr>'316'!OSRRefD21_6x_1</vt:lpstr>
      <vt:lpstr>'317'!OSRRefD21_6x_1</vt:lpstr>
      <vt:lpstr>'321'!OSRRefD21_6x_1</vt:lpstr>
      <vt:lpstr>'325'!OSRRefD21_6x_1</vt:lpstr>
      <vt:lpstr>'326'!OSRRefD21_6x_1</vt:lpstr>
      <vt:lpstr>'331'!OSRRefD21_6x_1</vt:lpstr>
      <vt:lpstr>'332'!OSRRefD21_6x_1</vt:lpstr>
      <vt:lpstr>'333'!OSRRefD21_6x_1</vt:lpstr>
      <vt:lpstr>'405'!OSRRefD21_6x_1</vt:lpstr>
      <vt:lpstr>'411'!OSRRefD21_6x_1</vt:lpstr>
      <vt:lpstr>'415'!OSRRefD21_6x_1</vt:lpstr>
      <vt:lpstr>'418'!OSRRefD21_6x_1</vt:lpstr>
      <vt:lpstr>'430'!OSRRefD21_6x_1</vt:lpstr>
      <vt:lpstr>'433'!OSRRefD21_6x_1</vt:lpstr>
      <vt:lpstr>'444'!OSRRefD21_6x_1</vt:lpstr>
      <vt:lpstr>'450'!OSRRefD21_6x_1</vt:lpstr>
      <vt:lpstr>'491'!OSRRefD21_6x_1</vt:lpstr>
      <vt:lpstr>'492'!OSRRefD21_6x_1</vt:lpstr>
      <vt:lpstr>'501'!OSRRefD21_6x_1</vt:lpstr>
      <vt:lpstr>'Div 2'!OSRRefD21_6x_1</vt:lpstr>
      <vt:lpstr>'Div 3'!OSRRefD21_6x_1</vt:lpstr>
      <vt:lpstr>'Div 4'!OSRRefD21_6x_1</vt:lpstr>
      <vt:lpstr>'Div 5'!OSRRefD21_6x_1</vt:lpstr>
      <vt:lpstr>'Div 6'!OSRRefD21_6x_1</vt:lpstr>
      <vt:lpstr>Summary!OSRRefD21_6x_1</vt:lpstr>
      <vt:lpstr>'201'!OSRRefD21_6x_2</vt:lpstr>
      <vt:lpstr>'202'!OSRRefD21_6x_2</vt:lpstr>
      <vt:lpstr>'203'!OSRRefD21_6x_2</vt:lpstr>
      <vt:lpstr>'204'!OSRRefD21_6x_2</vt:lpstr>
      <vt:lpstr>'205'!OSRRefD21_6x_2</vt:lpstr>
      <vt:lpstr>'300'!OSRRefD21_6x_2</vt:lpstr>
      <vt:lpstr>'300 &amp; 317'!OSRRefD21_6x_2</vt:lpstr>
      <vt:lpstr>'301'!OSRRefD21_6x_2</vt:lpstr>
      <vt:lpstr>'307'!OSRRefD21_6x_2</vt:lpstr>
      <vt:lpstr>'308'!OSRRefD21_6x_2</vt:lpstr>
      <vt:lpstr>'309'!OSRRefD21_6x_2</vt:lpstr>
      <vt:lpstr>'310'!OSRRefD21_6x_2</vt:lpstr>
      <vt:lpstr>'310 &amp; 491'!OSRRefD21_6x_2</vt:lpstr>
      <vt:lpstr>'311'!OSRRefD21_6x_2</vt:lpstr>
      <vt:lpstr>'315'!OSRRefD21_6x_2</vt:lpstr>
      <vt:lpstr>'316'!OSRRefD21_6x_2</vt:lpstr>
      <vt:lpstr>'317'!OSRRefD21_6x_2</vt:lpstr>
      <vt:lpstr>'321'!OSRRefD21_6x_2</vt:lpstr>
      <vt:lpstr>'325'!OSRRefD21_6x_2</vt:lpstr>
      <vt:lpstr>'326'!OSRRefD21_6x_2</vt:lpstr>
      <vt:lpstr>'331'!OSRRefD21_6x_2</vt:lpstr>
      <vt:lpstr>'332'!OSRRefD21_6x_2</vt:lpstr>
      <vt:lpstr>'333'!OSRRefD21_6x_2</vt:lpstr>
      <vt:lpstr>'405'!OSRRefD21_6x_2</vt:lpstr>
      <vt:lpstr>'411'!OSRRefD21_6x_2</vt:lpstr>
      <vt:lpstr>'415'!OSRRefD21_6x_2</vt:lpstr>
      <vt:lpstr>'418'!OSRRefD21_6x_2</vt:lpstr>
      <vt:lpstr>'430'!OSRRefD21_6x_2</vt:lpstr>
      <vt:lpstr>'433'!OSRRefD21_6x_2</vt:lpstr>
      <vt:lpstr>'444'!OSRRefD21_6x_2</vt:lpstr>
      <vt:lpstr>'450'!OSRRefD21_6x_2</vt:lpstr>
      <vt:lpstr>'491'!OSRRefD21_6x_2</vt:lpstr>
      <vt:lpstr>'492'!OSRRefD21_6x_2</vt:lpstr>
      <vt:lpstr>'501'!OSRRefD21_6x_2</vt:lpstr>
      <vt:lpstr>'Div 2'!OSRRefD21_6x_2</vt:lpstr>
      <vt:lpstr>'Div 3'!OSRRefD21_6x_2</vt:lpstr>
      <vt:lpstr>'Div 4'!OSRRefD21_6x_2</vt:lpstr>
      <vt:lpstr>'Div 5'!OSRRefD21_6x_2</vt:lpstr>
      <vt:lpstr>'Div 6'!OSRRefD21_6x_2</vt:lpstr>
      <vt:lpstr>Summary!OSRRefD21_6x_2</vt:lpstr>
      <vt:lpstr>'201'!OSRRefD21_6x_3</vt:lpstr>
      <vt:lpstr>'202'!OSRRefD21_6x_3</vt:lpstr>
      <vt:lpstr>'203'!OSRRefD21_6x_3</vt:lpstr>
      <vt:lpstr>'204'!OSRRefD21_6x_3</vt:lpstr>
      <vt:lpstr>'205'!OSRRefD21_6x_3</vt:lpstr>
      <vt:lpstr>'300'!OSRRefD21_6x_3</vt:lpstr>
      <vt:lpstr>'300 &amp; 317'!OSRRefD21_6x_3</vt:lpstr>
      <vt:lpstr>'301'!OSRRefD21_6x_3</vt:lpstr>
      <vt:lpstr>'307'!OSRRefD21_6x_3</vt:lpstr>
      <vt:lpstr>'308'!OSRRefD21_6x_3</vt:lpstr>
      <vt:lpstr>'309'!OSRRefD21_6x_3</vt:lpstr>
      <vt:lpstr>'310'!OSRRefD21_6x_3</vt:lpstr>
      <vt:lpstr>'310 &amp; 491'!OSRRefD21_6x_3</vt:lpstr>
      <vt:lpstr>'311'!OSRRefD21_6x_3</vt:lpstr>
      <vt:lpstr>'315'!OSRRefD21_6x_3</vt:lpstr>
      <vt:lpstr>'316'!OSRRefD21_6x_3</vt:lpstr>
      <vt:lpstr>'317'!OSRRefD21_6x_3</vt:lpstr>
      <vt:lpstr>'321'!OSRRefD21_6x_3</vt:lpstr>
      <vt:lpstr>'325'!OSRRefD21_6x_3</vt:lpstr>
      <vt:lpstr>'326'!OSRRefD21_6x_3</vt:lpstr>
      <vt:lpstr>'331'!OSRRefD21_6x_3</vt:lpstr>
      <vt:lpstr>'332'!OSRRefD21_6x_3</vt:lpstr>
      <vt:lpstr>'333'!OSRRefD21_6x_3</vt:lpstr>
      <vt:lpstr>'405'!OSRRefD21_6x_3</vt:lpstr>
      <vt:lpstr>'411'!OSRRefD21_6x_3</vt:lpstr>
      <vt:lpstr>'415'!OSRRefD21_6x_3</vt:lpstr>
      <vt:lpstr>'418'!OSRRefD21_6x_3</vt:lpstr>
      <vt:lpstr>'430'!OSRRefD21_6x_3</vt:lpstr>
      <vt:lpstr>'433'!OSRRefD21_6x_3</vt:lpstr>
      <vt:lpstr>'444'!OSRRefD21_6x_3</vt:lpstr>
      <vt:lpstr>'450'!OSRRefD21_6x_3</vt:lpstr>
      <vt:lpstr>'491'!OSRRefD21_6x_3</vt:lpstr>
      <vt:lpstr>'492'!OSRRefD21_6x_3</vt:lpstr>
      <vt:lpstr>'501'!OSRRefD21_6x_3</vt:lpstr>
      <vt:lpstr>'Div 2'!OSRRefD21_6x_3</vt:lpstr>
      <vt:lpstr>'Div 3'!OSRRefD21_6x_3</vt:lpstr>
      <vt:lpstr>'Div 4'!OSRRefD21_6x_3</vt:lpstr>
      <vt:lpstr>'Div 5'!OSRRefD21_6x_3</vt:lpstr>
      <vt:lpstr>'Div 6'!OSRRefD21_6x_3</vt:lpstr>
      <vt:lpstr>Summary!OSRRefD21_6x_3</vt:lpstr>
      <vt:lpstr>'201'!OSRRefD21_6x_4</vt:lpstr>
      <vt:lpstr>'202'!OSRRefD21_6x_4</vt:lpstr>
      <vt:lpstr>'203'!OSRRefD21_6x_4</vt:lpstr>
      <vt:lpstr>'204'!OSRRefD21_6x_4</vt:lpstr>
      <vt:lpstr>'205'!OSRRefD21_6x_4</vt:lpstr>
      <vt:lpstr>'300'!OSRRefD21_6x_4</vt:lpstr>
      <vt:lpstr>'300 &amp; 317'!OSRRefD21_6x_4</vt:lpstr>
      <vt:lpstr>'301'!OSRRefD21_6x_4</vt:lpstr>
      <vt:lpstr>'307'!OSRRefD21_6x_4</vt:lpstr>
      <vt:lpstr>'308'!OSRRefD21_6x_4</vt:lpstr>
      <vt:lpstr>'309'!OSRRefD21_6x_4</vt:lpstr>
      <vt:lpstr>'310'!OSRRefD21_6x_4</vt:lpstr>
      <vt:lpstr>'310 &amp; 491'!OSRRefD21_6x_4</vt:lpstr>
      <vt:lpstr>'311'!OSRRefD21_6x_4</vt:lpstr>
      <vt:lpstr>'315'!OSRRefD21_6x_4</vt:lpstr>
      <vt:lpstr>'316'!OSRRefD21_6x_4</vt:lpstr>
      <vt:lpstr>'317'!OSRRefD21_6x_4</vt:lpstr>
      <vt:lpstr>'321'!OSRRefD21_6x_4</vt:lpstr>
      <vt:lpstr>'325'!OSRRefD21_6x_4</vt:lpstr>
      <vt:lpstr>'326'!OSRRefD21_6x_4</vt:lpstr>
      <vt:lpstr>'331'!OSRRefD21_6x_4</vt:lpstr>
      <vt:lpstr>'332'!OSRRefD21_6x_4</vt:lpstr>
      <vt:lpstr>'333'!OSRRefD21_6x_4</vt:lpstr>
      <vt:lpstr>'405'!OSRRefD21_6x_4</vt:lpstr>
      <vt:lpstr>'411'!OSRRefD21_6x_4</vt:lpstr>
      <vt:lpstr>'415'!OSRRefD21_6x_4</vt:lpstr>
      <vt:lpstr>'418'!OSRRefD21_6x_4</vt:lpstr>
      <vt:lpstr>'430'!OSRRefD21_6x_4</vt:lpstr>
      <vt:lpstr>'433'!OSRRefD21_6x_4</vt:lpstr>
      <vt:lpstr>'444'!OSRRefD21_6x_4</vt:lpstr>
      <vt:lpstr>'450'!OSRRefD21_6x_4</vt:lpstr>
      <vt:lpstr>'491'!OSRRefD21_6x_4</vt:lpstr>
      <vt:lpstr>'492'!OSRRefD21_6x_4</vt:lpstr>
      <vt:lpstr>'501'!OSRRefD21_6x_4</vt:lpstr>
      <vt:lpstr>'Div 2'!OSRRefD21_6x_4</vt:lpstr>
      <vt:lpstr>'Div 3'!OSRRefD21_6x_4</vt:lpstr>
      <vt:lpstr>'Div 4'!OSRRefD21_6x_4</vt:lpstr>
      <vt:lpstr>'Div 5'!OSRRefD21_6x_4</vt:lpstr>
      <vt:lpstr>'Div 6'!OSRRefD21_6x_4</vt:lpstr>
      <vt:lpstr>Summary!OSRRefD21_6x_4</vt:lpstr>
      <vt:lpstr>'201'!OSRRefD21_6x_5</vt:lpstr>
      <vt:lpstr>'202'!OSRRefD21_6x_5</vt:lpstr>
      <vt:lpstr>'203'!OSRRefD21_6x_5</vt:lpstr>
      <vt:lpstr>'204'!OSRRefD21_6x_5</vt:lpstr>
      <vt:lpstr>'205'!OSRRefD21_6x_5</vt:lpstr>
      <vt:lpstr>'300'!OSRRefD21_6x_5</vt:lpstr>
      <vt:lpstr>'300 &amp; 317'!OSRRefD21_6x_5</vt:lpstr>
      <vt:lpstr>'301'!OSRRefD21_6x_5</vt:lpstr>
      <vt:lpstr>'307'!OSRRefD21_6x_5</vt:lpstr>
      <vt:lpstr>'308'!OSRRefD21_6x_5</vt:lpstr>
      <vt:lpstr>'309'!OSRRefD21_6x_5</vt:lpstr>
      <vt:lpstr>'310'!OSRRefD21_6x_5</vt:lpstr>
      <vt:lpstr>'310 &amp; 491'!OSRRefD21_6x_5</vt:lpstr>
      <vt:lpstr>'311'!OSRRefD21_6x_5</vt:lpstr>
      <vt:lpstr>'315'!OSRRefD21_6x_5</vt:lpstr>
      <vt:lpstr>'316'!OSRRefD21_6x_5</vt:lpstr>
      <vt:lpstr>'317'!OSRRefD21_6x_5</vt:lpstr>
      <vt:lpstr>'321'!OSRRefD21_6x_5</vt:lpstr>
      <vt:lpstr>'325'!OSRRefD21_6x_5</vt:lpstr>
      <vt:lpstr>'326'!OSRRefD21_6x_5</vt:lpstr>
      <vt:lpstr>'331'!OSRRefD21_6x_5</vt:lpstr>
      <vt:lpstr>'332'!OSRRefD21_6x_5</vt:lpstr>
      <vt:lpstr>'333'!OSRRefD21_6x_5</vt:lpstr>
      <vt:lpstr>'405'!OSRRefD21_6x_5</vt:lpstr>
      <vt:lpstr>'411'!OSRRefD21_6x_5</vt:lpstr>
      <vt:lpstr>'415'!OSRRefD21_6x_5</vt:lpstr>
      <vt:lpstr>'418'!OSRRefD21_6x_5</vt:lpstr>
      <vt:lpstr>'430'!OSRRefD21_6x_5</vt:lpstr>
      <vt:lpstr>'433'!OSRRefD21_6x_5</vt:lpstr>
      <vt:lpstr>'444'!OSRRefD21_6x_5</vt:lpstr>
      <vt:lpstr>'450'!OSRRefD21_6x_5</vt:lpstr>
      <vt:lpstr>'491'!OSRRefD21_6x_5</vt:lpstr>
      <vt:lpstr>'492'!OSRRefD21_6x_5</vt:lpstr>
      <vt:lpstr>'501'!OSRRefD21_6x_5</vt:lpstr>
      <vt:lpstr>'Div 2'!OSRRefD21_6x_5</vt:lpstr>
      <vt:lpstr>'Div 3'!OSRRefD21_6x_5</vt:lpstr>
      <vt:lpstr>'Div 4'!OSRRefD21_6x_5</vt:lpstr>
      <vt:lpstr>'Div 5'!OSRRefD21_6x_5</vt:lpstr>
      <vt:lpstr>'Div 6'!OSRRefD21_6x_5</vt:lpstr>
      <vt:lpstr>Summary!OSRRefD21_6x_5</vt:lpstr>
      <vt:lpstr>'201'!OSRRefD21_6x_6</vt:lpstr>
      <vt:lpstr>'202'!OSRRefD21_6x_6</vt:lpstr>
      <vt:lpstr>'203'!OSRRefD21_6x_6</vt:lpstr>
      <vt:lpstr>'204'!OSRRefD21_6x_6</vt:lpstr>
      <vt:lpstr>'205'!OSRRefD21_6x_6</vt:lpstr>
      <vt:lpstr>'300'!OSRRefD21_6x_6</vt:lpstr>
      <vt:lpstr>'300 &amp; 317'!OSRRefD21_6x_6</vt:lpstr>
      <vt:lpstr>'301'!OSRRefD21_6x_6</vt:lpstr>
      <vt:lpstr>'307'!OSRRefD21_6x_6</vt:lpstr>
      <vt:lpstr>'308'!OSRRefD21_6x_6</vt:lpstr>
      <vt:lpstr>'309'!OSRRefD21_6x_6</vt:lpstr>
      <vt:lpstr>'310'!OSRRefD21_6x_6</vt:lpstr>
      <vt:lpstr>'310 &amp; 491'!OSRRefD21_6x_6</vt:lpstr>
      <vt:lpstr>'311'!OSRRefD21_6x_6</vt:lpstr>
      <vt:lpstr>'315'!OSRRefD21_6x_6</vt:lpstr>
      <vt:lpstr>'316'!OSRRefD21_6x_6</vt:lpstr>
      <vt:lpstr>'317'!OSRRefD21_6x_6</vt:lpstr>
      <vt:lpstr>'321'!OSRRefD21_6x_6</vt:lpstr>
      <vt:lpstr>'325'!OSRRefD21_6x_6</vt:lpstr>
      <vt:lpstr>'326'!OSRRefD21_6x_6</vt:lpstr>
      <vt:lpstr>'331'!OSRRefD21_6x_6</vt:lpstr>
      <vt:lpstr>'332'!OSRRefD21_6x_6</vt:lpstr>
      <vt:lpstr>'333'!OSRRefD21_6x_6</vt:lpstr>
      <vt:lpstr>'405'!OSRRefD21_6x_6</vt:lpstr>
      <vt:lpstr>'411'!OSRRefD21_6x_6</vt:lpstr>
      <vt:lpstr>'415'!OSRRefD21_6x_6</vt:lpstr>
      <vt:lpstr>'418'!OSRRefD21_6x_6</vt:lpstr>
      <vt:lpstr>'430'!OSRRefD21_6x_6</vt:lpstr>
      <vt:lpstr>'433'!OSRRefD21_6x_6</vt:lpstr>
      <vt:lpstr>'444'!OSRRefD21_6x_6</vt:lpstr>
      <vt:lpstr>'450'!OSRRefD21_6x_6</vt:lpstr>
      <vt:lpstr>'491'!OSRRefD21_6x_6</vt:lpstr>
      <vt:lpstr>'492'!OSRRefD21_6x_6</vt:lpstr>
      <vt:lpstr>'501'!OSRRefD21_6x_6</vt:lpstr>
      <vt:lpstr>'Div 2'!OSRRefD21_6x_6</vt:lpstr>
      <vt:lpstr>'Div 3'!OSRRefD21_6x_6</vt:lpstr>
      <vt:lpstr>'Div 4'!OSRRefD21_6x_6</vt:lpstr>
      <vt:lpstr>'Div 5'!OSRRefD21_6x_6</vt:lpstr>
      <vt:lpstr>'Div 6'!OSRRefD21_6x_6</vt:lpstr>
      <vt:lpstr>Summary!OSRRefD21_6x_6</vt:lpstr>
      <vt:lpstr>'201'!OSRRefD21_6x_7</vt:lpstr>
      <vt:lpstr>'202'!OSRRefD21_6x_7</vt:lpstr>
      <vt:lpstr>'203'!OSRRefD21_6x_7</vt:lpstr>
      <vt:lpstr>'204'!OSRRefD21_6x_7</vt:lpstr>
      <vt:lpstr>'205'!OSRRefD21_6x_7</vt:lpstr>
      <vt:lpstr>'300'!OSRRefD21_6x_7</vt:lpstr>
      <vt:lpstr>'300 &amp; 317'!OSRRefD21_6x_7</vt:lpstr>
      <vt:lpstr>'301'!OSRRefD21_6x_7</vt:lpstr>
      <vt:lpstr>'307'!OSRRefD21_6x_7</vt:lpstr>
      <vt:lpstr>'308'!OSRRefD21_6x_7</vt:lpstr>
      <vt:lpstr>'309'!OSRRefD21_6x_7</vt:lpstr>
      <vt:lpstr>'310'!OSRRefD21_6x_7</vt:lpstr>
      <vt:lpstr>'310 &amp; 491'!OSRRefD21_6x_7</vt:lpstr>
      <vt:lpstr>'311'!OSRRefD21_6x_7</vt:lpstr>
      <vt:lpstr>'315'!OSRRefD21_6x_7</vt:lpstr>
      <vt:lpstr>'316'!OSRRefD21_6x_7</vt:lpstr>
      <vt:lpstr>'317'!OSRRefD21_6x_7</vt:lpstr>
      <vt:lpstr>'321'!OSRRefD21_6x_7</vt:lpstr>
      <vt:lpstr>'325'!OSRRefD21_6x_7</vt:lpstr>
      <vt:lpstr>'326'!OSRRefD21_6x_7</vt:lpstr>
      <vt:lpstr>'331'!OSRRefD21_6x_7</vt:lpstr>
      <vt:lpstr>'332'!OSRRefD21_6x_7</vt:lpstr>
      <vt:lpstr>'333'!OSRRefD21_6x_7</vt:lpstr>
      <vt:lpstr>'405'!OSRRefD21_6x_7</vt:lpstr>
      <vt:lpstr>'411'!OSRRefD21_6x_7</vt:lpstr>
      <vt:lpstr>'415'!OSRRefD21_6x_7</vt:lpstr>
      <vt:lpstr>'418'!OSRRefD21_6x_7</vt:lpstr>
      <vt:lpstr>'430'!OSRRefD21_6x_7</vt:lpstr>
      <vt:lpstr>'433'!OSRRefD21_6x_7</vt:lpstr>
      <vt:lpstr>'444'!OSRRefD21_6x_7</vt:lpstr>
      <vt:lpstr>'450'!OSRRefD21_6x_7</vt:lpstr>
      <vt:lpstr>'491'!OSRRefD21_6x_7</vt:lpstr>
      <vt:lpstr>'492'!OSRRefD21_6x_7</vt:lpstr>
      <vt:lpstr>'501'!OSRRefD21_6x_7</vt:lpstr>
      <vt:lpstr>'Div 2'!OSRRefD21_6x_7</vt:lpstr>
      <vt:lpstr>'Div 3'!OSRRefD21_6x_7</vt:lpstr>
      <vt:lpstr>'Div 4'!OSRRefD21_6x_7</vt:lpstr>
      <vt:lpstr>'Div 5'!OSRRefD21_6x_7</vt:lpstr>
      <vt:lpstr>'Div 6'!OSRRefD21_6x_7</vt:lpstr>
      <vt:lpstr>Summary!OSRRefD21_6x_7</vt:lpstr>
      <vt:lpstr>'201'!OSRRefD21_6x_8</vt:lpstr>
      <vt:lpstr>'202'!OSRRefD21_6x_8</vt:lpstr>
      <vt:lpstr>'203'!OSRRefD21_6x_8</vt:lpstr>
      <vt:lpstr>'204'!OSRRefD21_6x_8</vt:lpstr>
      <vt:lpstr>'205'!OSRRefD21_6x_8</vt:lpstr>
      <vt:lpstr>'300'!OSRRefD21_6x_8</vt:lpstr>
      <vt:lpstr>'300 &amp; 317'!OSRRefD21_6x_8</vt:lpstr>
      <vt:lpstr>'301'!OSRRefD21_6x_8</vt:lpstr>
      <vt:lpstr>'307'!OSRRefD21_6x_8</vt:lpstr>
      <vt:lpstr>'308'!OSRRefD21_6x_8</vt:lpstr>
      <vt:lpstr>'309'!OSRRefD21_6x_8</vt:lpstr>
      <vt:lpstr>'310'!OSRRefD21_6x_8</vt:lpstr>
      <vt:lpstr>'310 &amp; 491'!OSRRefD21_6x_8</vt:lpstr>
      <vt:lpstr>'311'!OSRRefD21_6x_8</vt:lpstr>
      <vt:lpstr>'315'!OSRRefD21_6x_8</vt:lpstr>
      <vt:lpstr>'316'!OSRRefD21_6x_8</vt:lpstr>
      <vt:lpstr>'317'!OSRRefD21_6x_8</vt:lpstr>
      <vt:lpstr>'321'!OSRRefD21_6x_8</vt:lpstr>
      <vt:lpstr>'325'!OSRRefD21_6x_8</vt:lpstr>
      <vt:lpstr>'326'!OSRRefD21_6x_8</vt:lpstr>
      <vt:lpstr>'331'!OSRRefD21_6x_8</vt:lpstr>
      <vt:lpstr>'332'!OSRRefD21_6x_8</vt:lpstr>
      <vt:lpstr>'333'!OSRRefD21_6x_8</vt:lpstr>
      <vt:lpstr>'405'!OSRRefD21_6x_8</vt:lpstr>
      <vt:lpstr>'411'!OSRRefD21_6x_8</vt:lpstr>
      <vt:lpstr>'415'!OSRRefD21_6x_8</vt:lpstr>
      <vt:lpstr>'418'!OSRRefD21_6x_8</vt:lpstr>
      <vt:lpstr>'430'!OSRRefD21_6x_8</vt:lpstr>
      <vt:lpstr>'433'!OSRRefD21_6x_8</vt:lpstr>
      <vt:lpstr>'444'!OSRRefD21_6x_8</vt:lpstr>
      <vt:lpstr>'450'!OSRRefD21_6x_8</vt:lpstr>
      <vt:lpstr>'491'!OSRRefD21_6x_8</vt:lpstr>
      <vt:lpstr>'492'!OSRRefD21_6x_8</vt:lpstr>
      <vt:lpstr>'501'!OSRRefD21_6x_8</vt:lpstr>
      <vt:lpstr>'Div 2'!OSRRefD21_6x_8</vt:lpstr>
      <vt:lpstr>'Div 3'!OSRRefD21_6x_8</vt:lpstr>
      <vt:lpstr>'Div 4'!OSRRefD21_6x_8</vt:lpstr>
      <vt:lpstr>'Div 5'!OSRRefD21_6x_8</vt:lpstr>
      <vt:lpstr>'Div 6'!OSRRefD21_6x_8</vt:lpstr>
      <vt:lpstr>Summary!OSRRefD21_6x_8</vt:lpstr>
      <vt:lpstr>'201'!OSRRefD21_6x_9</vt:lpstr>
      <vt:lpstr>'202'!OSRRefD21_6x_9</vt:lpstr>
      <vt:lpstr>'203'!OSRRefD21_6x_9</vt:lpstr>
      <vt:lpstr>'204'!OSRRefD21_6x_9</vt:lpstr>
      <vt:lpstr>'205'!OSRRefD21_6x_9</vt:lpstr>
      <vt:lpstr>'300'!OSRRefD21_6x_9</vt:lpstr>
      <vt:lpstr>'300 &amp; 317'!OSRRefD21_6x_9</vt:lpstr>
      <vt:lpstr>'301'!OSRRefD21_6x_9</vt:lpstr>
      <vt:lpstr>'307'!OSRRefD21_6x_9</vt:lpstr>
      <vt:lpstr>'308'!OSRRefD21_6x_9</vt:lpstr>
      <vt:lpstr>'309'!OSRRefD21_6x_9</vt:lpstr>
      <vt:lpstr>'310'!OSRRefD21_6x_9</vt:lpstr>
      <vt:lpstr>'310 &amp; 491'!OSRRefD21_6x_9</vt:lpstr>
      <vt:lpstr>'311'!OSRRefD21_6x_9</vt:lpstr>
      <vt:lpstr>'315'!OSRRefD21_6x_9</vt:lpstr>
      <vt:lpstr>'316'!OSRRefD21_6x_9</vt:lpstr>
      <vt:lpstr>'317'!OSRRefD21_6x_9</vt:lpstr>
      <vt:lpstr>'321'!OSRRefD21_6x_9</vt:lpstr>
      <vt:lpstr>'325'!OSRRefD21_6x_9</vt:lpstr>
      <vt:lpstr>'326'!OSRRefD21_6x_9</vt:lpstr>
      <vt:lpstr>'331'!OSRRefD21_6x_9</vt:lpstr>
      <vt:lpstr>'332'!OSRRefD21_6x_9</vt:lpstr>
      <vt:lpstr>'333'!OSRRefD21_6x_9</vt:lpstr>
      <vt:lpstr>'405'!OSRRefD21_6x_9</vt:lpstr>
      <vt:lpstr>'411'!OSRRefD21_6x_9</vt:lpstr>
      <vt:lpstr>'415'!OSRRefD21_6x_9</vt:lpstr>
      <vt:lpstr>'418'!OSRRefD21_6x_9</vt:lpstr>
      <vt:lpstr>'430'!OSRRefD21_6x_9</vt:lpstr>
      <vt:lpstr>'433'!OSRRefD21_6x_9</vt:lpstr>
      <vt:lpstr>'444'!OSRRefD21_6x_9</vt:lpstr>
      <vt:lpstr>'450'!OSRRefD21_6x_9</vt:lpstr>
      <vt:lpstr>'491'!OSRRefD21_6x_9</vt:lpstr>
      <vt:lpstr>'492'!OSRRefD21_6x_9</vt:lpstr>
      <vt:lpstr>'501'!OSRRefD21_6x_9</vt:lpstr>
      <vt:lpstr>'Div 2'!OSRRefD21_6x_9</vt:lpstr>
      <vt:lpstr>'Div 3'!OSRRefD21_6x_9</vt:lpstr>
      <vt:lpstr>'Div 4'!OSRRefD21_6x_9</vt:lpstr>
      <vt:lpstr>'Div 5'!OSRRefD21_6x_9</vt:lpstr>
      <vt:lpstr>'Div 6'!OSRRefD21_6x_9</vt:lpstr>
      <vt:lpstr>Summary!OSRRefD21_6x_9</vt:lpstr>
      <vt:lpstr>'201'!OSRRefD21_7_0x</vt:lpstr>
      <vt:lpstr>'202'!OSRRefD21_7_0x</vt:lpstr>
      <vt:lpstr>'203'!OSRRefD21_7_0x</vt:lpstr>
      <vt:lpstr>'204'!OSRRefD21_7_0x</vt:lpstr>
      <vt:lpstr>'205'!OSRRefD21_7_0x</vt:lpstr>
      <vt:lpstr>'300'!OSRRefD21_7_0x</vt:lpstr>
      <vt:lpstr>'300 &amp; 317'!OSRRefD21_7_0x</vt:lpstr>
      <vt:lpstr>'301'!OSRRefD21_7_0x</vt:lpstr>
      <vt:lpstr>'307'!OSRRefD21_7_0x</vt:lpstr>
      <vt:lpstr>'308'!OSRRefD21_7_0x</vt:lpstr>
      <vt:lpstr>'309'!OSRRefD21_7_0x</vt:lpstr>
      <vt:lpstr>'310'!OSRRefD21_7_0x</vt:lpstr>
      <vt:lpstr>'310 &amp; 491'!OSRRefD21_7_0x</vt:lpstr>
      <vt:lpstr>'311'!OSRRefD21_7_0x</vt:lpstr>
      <vt:lpstr>'315'!OSRRefD21_7_0x</vt:lpstr>
      <vt:lpstr>'316'!OSRRefD21_7_0x</vt:lpstr>
      <vt:lpstr>'317'!OSRRefD21_7_0x</vt:lpstr>
      <vt:lpstr>'321'!OSRRefD21_7_0x</vt:lpstr>
      <vt:lpstr>'325'!OSRRefD21_7_0x</vt:lpstr>
      <vt:lpstr>'326'!OSRRefD21_7_0x</vt:lpstr>
      <vt:lpstr>'331'!OSRRefD21_7_0x</vt:lpstr>
      <vt:lpstr>'332'!OSRRefD21_7_0x</vt:lpstr>
      <vt:lpstr>'333'!OSRRefD21_7_0x</vt:lpstr>
      <vt:lpstr>'405'!OSRRefD21_7_0x</vt:lpstr>
      <vt:lpstr>'411'!OSRRefD21_7_0x</vt:lpstr>
      <vt:lpstr>'415'!OSRRefD21_7_0x</vt:lpstr>
      <vt:lpstr>'418'!OSRRefD21_7_0x</vt:lpstr>
      <vt:lpstr>'430'!OSRRefD21_7_0x</vt:lpstr>
      <vt:lpstr>'433'!OSRRefD21_7_0x</vt:lpstr>
      <vt:lpstr>'444'!OSRRefD21_7_0x</vt:lpstr>
      <vt:lpstr>'450'!OSRRefD21_7_0x</vt:lpstr>
      <vt:lpstr>'491'!OSRRefD21_7_0x</vt:lpstr>
      <vt:lpstr>'492'!OSRRefD21_7_0x</vt:lpstr>
      <vt:lpstr>'501'!OSRRefD21_7_0x</vt:lpstr>
      <vt:lpstr>'Div 2'!OSRRefD21_7_0x</vt:lpstr>
      <vt:lpstr>'Div 3'!OSRRefD21_7_0x</vt:lpstr>
      <vt:lpstr>'Div 4'!OSRRefD21_7_0x</vt:lpstr>
      <vt:lpstr>'Div 5'!OSRRefD21_7_0x</vt:lpstr>
      <vt:lpstr>'Div 6'!OSRRefD21_7_0x</vt:lpstr>
      <vt:lpstr>Summary!OSRRefD21_7_0x</vt:lpstr>
      <vt:lpstr>'202'!OSRRefD21_7_1x</vt:lpstr>
      <vt:lpstr>'316'!OSRRefD21_7_1x</vt:lpstr>
      <vt:lpstr>'321'!OSRRefD21_7_1x</vt:lpstr>
      <vt:lpstr>'332'!OSRRefD21_7_1x</vt:lpstr>
      <vt:lpstr>'202'!OSRRefD21_7_2x</vt:lpstr>
      <vt:lpstr>'201'!OSRRefD21_7x_0</vt:lpstr>
      <vt:lpstr>'202'!OSRRefD21_7x_0</vt:lpstr>
      <vt:lpstr>'203'!OSRRefD21_7x_0</vt:lpstr>
      <vt:lpstr>'204'!OSRRefD21_7x_0</vt:lpstr>
      <vt:lpstr>'205'!OSRRefD21_7x_0</vt:lpstr>
      <vt:lpstr>'300'!OSRRefD21_7x_0</vt:lpstr>
      <vt:lpstr>'300 &amp; 317'!OSRRefD21_7x_0</vt:lpstr>
      <vt:lpstr>'301'!OSRRefD21_7x_0</vt:lpstr>
      <vt:lpstr>'307'!OSRRefD21_7x_0</vt:lpstr>
      <vt:lpstr>'308'!OSRRefD21_7x_0</vt:lpstr>
      <vt:lpstr>'309'!OSRRefD21_7x_0</vt:lpstr>
      <vt:lpstr>'310'!OSRRefD21_7x_0</vt:lpstr>
      <vt:lpstr>'310 &amp; 491'!OSRRefD21_7x_0</vt:lpstr>
      <vt:lpstr>'311'!OSRRefD21_7x_0</vt:lpstr>
      <vt:lpstr>'315'!OSRRefD21_7x_0</vt:lpstr>
      <vt:lpstr>'316'!OSRRefD21_7x_0</vt:lpstr>
      <vt:lpstr>'317'!OSRRefD21_7x_0</vt:lpstr>
      <vt:lpstr>'321'!OSRRefD21_7x_0</vt:lpstr>
      <vt:lpstr>'325'!OSRRefD21_7x_0</vt:lpstr>
      <vt:lpstr>'326'!OSRRefD21_7x_0</vt:lpstr>
      <vt:lpstr>'331'!OSRRefD21_7x_0</vt:lpstr>
      <vt:lpstr>'332'!OSRRefD21_7x_0</vt:lpstr>
      <vt:lpstr>'333'!OSRRefD21_7x_0</vt:lpstr>
      <vt:lpstr>'405'!OSRRefD21_7x_0</vt:lpstr>
      <vt:lpstr>'411'!OSRRefD21_7x_0</vt:lpstr>
      <vt:lpstr>'415'!OSRRefD21_7x_0</vt:lpstr>
      <vt:lpstr>'418'!OSRRefD21_7x_0</vt:lpstr>
      <vt:lpstr>'430'!OSRRefD21_7x_0</vt:lpstr>
      <vt:lpstr>'433'!OSRRefD21_7x_0</vt:lpstr>
      <vt:lpstr>'444'!OSRRefD21_7x_0</vt:lpstr>
      <vt:lpstr>'450'!OSRRefD21_7x_0</vt:lpstr>
      <vt:lpstr>'491'!OSRRefD21_7x_0</vt:lpstr>
      <vt:lpstr>'492'!OSRRefD21_7x_0</vt:lpstr>
      <vt:lpstr>'501'!OSRRefD21_7x_0</vt:lpstr>
      <vt:lpstr>'Div 2'!OSRRefD21_7x_0</vt:lpstr>
      <vt:lpstr>'Div 3'!OSRRefD21_7x_0</vt:lpstr>
      <vt:lpstr>'Div 4'!OSRRefD21_7x_0</vt:lpstr>
      <vt:lpstr>'Div 5'!OSRRefD21_7x_0</vt:lpstr>
      <vt:lpstr>'Div 6'!OSRRefD21_7x_0</vt:lpstr>
      <vt:lpstr>Summary!OSRRefD21_7x_0</vt:lpstr>
      <vt:lpstr>'201'!OSRRefD21_7x_1</vt:lpstr>
      <vt:lpstr>'202'!OSRRefD21_7x_1</vt:lpstr>
      <vt:lpstr>'203'!OSRRefD21_7x_1</vt:lpstr>
      <vt:lpstr>'204'!OSRRefD21_7x_1</vt:lpstr>
      <vt:lpstr>'205'!OSRRefD21_7x_1</vt:lpstr>
      <vt:lpstr>'300'!OSRRefD21_7x_1</vt:lpstr>
      <vt:lpstr>'300 &amp; 317'!OSRRefD21_7x_1</vt:lpstr>
      <vt:lpstr>'301'!OSRRefD21_7x_1</vt:lpstr>
      <vt:lpstr>'307'!OSRRefD21_7x_1</vt:lpstr>
      <vt:lpstr>'308'!OSRRefD21_7x_1</vt:lpstr>
      <vt:lpstr>'309'!OSRRefD21_7x_1</vt:lpstr>
      <vt:lpstr>'310'!OSRRefD21_7x_1</vt:lpstr>
      <vt:lpstr>'310 &amp; 491'!OSRRefD21_7x_1</vt:lpstr>
      <vt:lpstr>'311'!OSRRefD21_7x_1</vt:lpstr>
      <vt:lpstr>'315'!OSRRefD21_7x_1</vt:lpstr>
      <vt:lpstr>'316'!OSRRefD21_7x_1</vt:lpstr>
      <vt:lpstr>'317'!OSRRefD21_7x_1</vt:lpstr>
      <vt:lpstr>'321'!OSRRefD21_7x_1</vt:lpstr>
      <vt:lpstr>'325'!OSRRefD21_7x_1</vt:lpstr>
      <vt:lpstr>'326'!OSRRefD21_7x_1</vt:lpstr>
      <vt:lpstr>'331'!OSRRefD21_7x_1</vt:lpstr>
      <vt:lpstr>'332'!OSRRefD21_7x_1</vt:lpstr>
      <vt:lpstr>'333'!OSRRefD21_7x_1</vt:lpstr>
      <vt:lpstr>'405'!OSRRefD21_7x_1</vt:lpstr>
      <vt:lpstr>'411'!OSRRefD21_7x_1</vt:lpstr>
      <vt:lpstr>'415'!OSRRefD21_7x_1</vt:lpstr>
      <vt:lpstr>'418'!OSRRefD21_7x_1</vt:lpstr>
      <vt:lpstr>'430'!OSRRefD21_7x_1</vt:lpstr>
      <vt:lpstr>'433'!OSRRefD21_7x_1</vt:lpstr>
      <vt:lpstr>'444'!OSRRefD21_7x_1</vt:lpstr>
      <vt:lpstr>'450'!OSRRefD21_7x_1</vt:lpstr>
      <vt:lpstr>'491'!OSRRefD21_7x_1</vt:lpstr>
      <vt:lpstr>'492'!OSRRefD21_7x_1</vt:lpstr>
      <vt:lpstr>'501'!OSRRefD21_7x_1</vt:lpstr>
      <vt:lpstr>'Div 2'!OSRRefD21_7x_1</vt:lpstr>
      <vt:lpstr>'Div 3'!OSRRefD21_7x_1</vt:lpstr>
      <vt:lpstr>'Div 4'!OSRRefD21_7x_1</vt:lpstr>
      <vt:lpstr>'Div 5'!OSRRefD21_7x_1</vt:lpstr>
      <vt:lpstr>'Div 6'!OSRRefD21_7x_1</vt:lpstr>
      <vt:lpstr>Summary!OSRRefD21_7x_1</vt:lpstr>
      <vt:lpstr>'201'!OSRRefD21_7x_2</vt:lpstr>
      <vt:lpstr>'202'!OSRRefD21_7x_2</vt:lpstr>
      <vt:lpstr>'203'!OSRRefD21_7x_2</vt:lpstr>
      <vt:lpstr>'204'!OSRRefD21_7x_2</vt:lpstr>
      <vt:lpstr>'205'!OSRRefD21_7x_2</vt:lpstr>
      <vt:lpstr>'300'!OSRRefD21_7x_2</vt:lpstr>
      <vt:lpstr>'300 &amp; 317'!OSRRefD21_7x_2</vt:lpstr>
      <vt:lpstr>'301'!OSRRefD21_7x_2</vt:lpstr>
      <vt:lpstr>'307'!OSRRefD21_7x_2</vt:lpstr>
      <vt:lpstr>'308'!OSRRefD21_7x_2</vt:lpstr>
      <vt:lpstr>'309'!OSRRefD21_7x_2</vt:lpstr>
      <vt:lpstr>'310'!OSRRefD21_7x_2</vt:lpstr>
      <vt:lpstr>'310 &amp; 491'!OSRRefD21_7x_2</vt:lpstr>
      <vt:lpstr>'311'!OSRRefD21_7x_2</vt:lpstr>
      <vt:lpstr>'315'!OSRRefD21_7x_2</vt:lpstr>
      <vt:lpstr>'316'!OSRRefD21_7x_2</vt:lpstr>
      <vt:lpstr>'317'!OSRRefD21_7x_2</vt:lpstr>
      <vt:lpstr>'321'!OSRRefD21_7x_2</vt:lpstr>
      <vt:lpstr>'325'!OSRRefD21_7x_2</vt:lpstr>
      <vt:lpstr>'326'!OSRRefD21_7x_2</vt:lpstr>
      <vt:lpstr>'331'!OSRRefD21_7x_2</vt:lpstr>
      <vt:lpstr>'332'!OSRRefD21_7x_2</vt:lpstr>
      <vt:lpstr>'333'!OSRRefD21_7x_2</vt:lpstr>
      <vt:lpstr>'405'!OSRRefD21_7x_2</vt:lpstr>
      <vt:lpstr>'411'!OSRRefD21_7x_2</vt:lpstr>
      <vt:lpstr>'415'!OSRRefD21_7x_2</vt:lpstr>
      <vt:lpstr>'418'!OSRRefD21_7x_2</vt:lpstr>
      <vt:lpstr>'430'!OSRRefD21_7x_2</vt:lpstr>
      <vt:lpstr>'433'!OSRRefD21_7x_2</vt:lpstr>
      <vt:lpstr>'444'!OSRRefD21_7x_2</vt:lpstr>
      <vt:lpstr>'450'!OSRRefD21_7x_2</vt:lpstr>
      <vt:lpstr>'491'!OSRRefD21_7x_2</vt:lpstr>
      <vt:lpstr>'492'!OSRRefD21_7x_2</vt:lpstr>
      <vt:lpstr>'501'!OSRRefD21_7x_2</vt:lpstr>
      <vt:lpstr>'Div 2'!OSRRefD21_7x_2</vt:lpstr>
      <vt:lpstr>'Div 3'!OSRRefD21_7x_2</vt:lpstr>
      <vt:lpstr>'Div 4'!OSRRefD21_7x_2</vt:lpstr>
      <vt:lpstr>'Div 5'!OSRRefD21_7x_2</vt:lpstr>
      <vt:lpstr>'Div 6'!OSRRefD21_7x_2</vt:lpstr>
      <vt:lpstr>Summary!OSRRefD21_7x_2</vt:lpstr>
      <vt:lpstr>'201'!OSRRefD21_7x_3</vt:lpstr>
      <vt:lpstr>'202'!OSRRefD21_7x_3</vt:lpstr>
      <vt:lpstr>'203'!OSRRefD21_7x_3</vt:lpstr>
      <vt:lpstr>'204'!OSRRefD21_7x_3</vt:lpstr>
      <vt:lpstr>'205'!OSRRefD21_7x_3</vt:lpstr>
      <vt:lpstr>'300'!OSRRefD21_7x_3</vt:lpstr>
      <vt:lpstr>'300 &amp; 317'!OSRRefD21_7x_3</vt:lpstr>
      <vt:lpstr>'301'!OSRRefD21_7x_3</vt:lpstr>
      <vt:lpstr>'307'!OSRRefD21_7x_3</vt:lpstr>
      <vt:lpstr>'308'!OSRRefD21_7x_3</vt:lpstr>
      <vt:lpstr>'309'!OSRRefD21_7x_3</vt:lpstr>
      <vt:lpstr>'310'!OSRRefD21_7x_3</vt:lpstr>
      <vt:lpstr>'310 &amp; 491'!OSRRefD21_7x_3</vt:lpstr>
      <vt:lpstr>'311'!OSRRefD21_7x_3</vt:lpstr>
      <vt:lpstr>'315'!OSRRefD21_7x_3</vt:lpstr>
      <vt:lpstr>'316'!OSRRefD21_7x_3</vt:lpstr>
      <vt:lpstr>'317'!OSRRefD21_7x_3</vt:lpstr>
      <vt:lpstr>'321'!OSRRefD21_7x_3</vt:lpstr>
      <vt:lpstr>'325'!OSRRefD21_7x_3</vt:lpstr>
      <vt:lpstr>'326'!OSRRefD21_7x_3</vt:lpstr>
      <vt:lpstr>'331'!OSRRefD21_7x_3</vt:lpstr>
      <vt:lpstr>'332'!OSRRefD21_7x_3</vt:lpstr>
      <vt:lpstr>'333'!OSRRefD21_7x_3</vt:lpstr>
      <vt:lpstr>'405'!OSRRefD21_7x_3</vt:lpstr>
      <vt:lpstr>'411'!OSRRefD21_7x_3</vt:lpstr>
      <vt:lpstr>'415'!OSRRefD21_7x_3</vt:lpstr>
      <vt:lpstr>'418'!OSRRefD21_7x_3</vt:lpstr>
      <vt:lpstr>'430'!OSRRefD21_7x_3</vt:lpstr>
      <vt:lpstr>'433'!OSRRefD21_7x_3</vt:lpstr>
      <vt:lpstr>'444'!OSRRefD21_7x_3</vt:lpstr>
      <vt:lpstr>'450'!OSRRefD21_7x_3</vt:lpstr>
      <vt:lpstr>'491'!OSRRefD21_7x_3</vt:lpstr>
      <vt:lpstr>'492'!OSRRefD21_7x_3</vt:lpstr>
      <vt:lpstr>'501'!OSRRefD21_7x_3</vt:lpstr>
      <vt:lpstr>'Div 2'!OSRRefD21_7x_3</vt:lpstr>
      <vt:lpstr>'Div 3'!OSRRefD21_7x_3</vt:lpstr>
      <vt:lpstr>'Div 4'!OSRRefD21_7x_3</vt:lpstr>
      <vt:lpstr>'Div 5'!OSRRefD21_7x_3</vt:lpstr>
      <vt:lpstr>'Div 6'!OSRRefD21_7x_3</vt:lpstr>
      <vt:lpstr>Summary!OSRRefD21_7x_3</vt:lpstr>
      <vt:lpstr>'201'!OSRRefD21_7x_4</vt:lpstr>
      <vt:lpstr>'202'!OSRRefD21_7x_4</vt:lpstr>
      <vt:lpstr>'203'!OSRRefD21_7x_4</vt:lpstr>
      <vt:lpstr>'204'!OSRRefD21_7x_4</vt:lpstr>
      <vt:lpstr>'205'!OSRRefD21_7x_4</vt:lpstr>
      <vt:lpstr>'300'!OSRRefD21_7x_4</vt:lpstr>
      <vt:lpstr>'300 &amp; 317'!OSRRefD21_7x_4</vt:lpstr>
      <vt:lpstr>'301'!OSRRefD21_7x_4</vt:lpstr>
      <vt:lpstr>'307'!OSRRefD21_7x_4</vt:lpstr>
      <vt:lpstr>'308'!OSRRefD21_7x_4</vt:lpstr>
      <vt:lpstr>'309'!OSRRefD21_7x_4</vt:lpstr>
      <vt:lpstr>'310'!OSRRefD21_7x_4</vt:lpstr>
      <vt:lpstr>'310 &amp; 491'!OSRRefD21_7x_4</vt:lpstr>
      <vt:lpstr>'311'!OSRRefD21_7x_4</vt:lpstr>
      <vt:lpstr>'315'!OSRRefD21_7x_4</vt:lpstr>
      <vt:lpstr>'316'!OSRRefD21_7x_4</vt:lpstr>
      <vt:lpstr>'317'!OSRRefD21_7x_4</vt:lpstr>
      <vt:lpstr>'321'!OSRRefD21_7x_4</vt:lpstr>
      <vt:lpstr>'325'!OSRRefD21_7x_4</vt:lpstr>
      <vt:lpstr>'326'!OSRRefD21_7x_4</vt:lpstr>
      <vt:lpstr>'331'!OSRRefD21_7x_4</vt:lpstr>
      <vt:lpstr>'332'!OSRRefD21_7x_4</vt:lpstr>
      <vt:lpstr>'333'!OSRRefD21_7x_4</vt:lpstr>
      <vt:lpstr>'405'!OSRRefD21_7x_4</vt:lpstr>
      <vt:lpstr>'411'!OSRRefD21_7x_4</vt:lpstr>
      <vt:lpstr>'415'!OSRRefD21_7x_4</vt:lpstr>
      <vt:lpstr>'418'!OSRRefD21_7x_4</vt:lpstr>
      <vt:lpstr>'430'!OSRRefD21_7x_4</vt:lpstr>
      <vt:lpstr>'433'!OSRRefD21_7x_4</vt:lpstr>
      <vt:lpstr>'444'!OSRRefD21_7x_4</vt:lpstr>
      <vt:lpstr>'450'!OSRRefD21_7x_4</vt:lpstr>
      <vt:lpstr>'491'!OSRRefD21_7x_4</vt:lpstr>
      <vt:lpstr>'492'!OSRRefD21_7x_4</vt:lpstr>
      <vt:lpstr>'501'!OSRRefD21_7x_4</vt:lpstr>
      <vt:lpstr>'Div 2'!OSRRefD21_7x_4</vt:lpstr>
      <vt:lpstr>'Div 3'!OSRRefD21_7x_4</vt:lpstr>
      <vt:lpstr>'Div 4'!OSRRefD21_7x_4</vt:lpstr>
      <vt:lpstr>'Div 5'!OSRRefD21_7x_4</vt:lpstr>
      <vt:lpstr>'Div 6'!OSRRefD21_7x_4</vt:lpstr>
      <vt:lpstr>Summary!OSRRefD21_7x_4</vt:lpstr>
      <vt:lpstr>'201'!OSRRefD21_7x_5</vt:lpstr>
      <vt:lpstr>'202'!OSRRefD21_7x_5</vt:lpstr>
      <vt:lpstr>'203'!OSRRefD21_7x_5</vt:lpstr>
      <vt:lpstr>'204'!OSRRefD21_7x_5</vt:lpstr>
      <vt:lpstr>'205'!OSRRefD21_7x_5</vt:lpstr>
      <vt:lpstr>'300'!OSRRefD21_7x_5</vt:lpstr>
      <vt:lpstr>'300 &amp; 317'!OSRRefD21_7x_5</vt:lpstr>
      <vt:lpstr>'301'!OSRRefD21_7x_5</vt:lpstr>
      <vt:lpstr>'307'!OSRRefD21_7x_5</vt:lpstr>
      <vt:lpstr>'308'!OSRRefD21_7x_5</vt:lpstr>
      <vt:lpstr>'309'!OSRRefD21_7x_5</vt:lpstr>
      <vt:lpstr>'310'!OSRRefD21_7x_5</vt:lpstr>
      <vt:lpstr>'310 &amp; 491'!OSRRefD21_7x_5</vt:lpstr>
      <vt:lpstr>'311'!OSRRefD21_7x_5</vt:lpstr>
      <vt:lpstr>'315'!OSRRefD21_7x_5</vt:lpstr>
      <vt:lpstr>'316'!OSRRefD21_7x_5</vt:lpstr>
      <vt:lpstr>'317'!OSRRefD21_7x_5</vt:lpstr>
      <vt:lpstr>'321'!OSRRefD21_7x_5</vt:lpstr>
      <vt:lpstr>'325'!OSRRefD21_7x_5</vt:lpstr>
      <vt:lpstr>'326'!OSRRefD21_7x_5</vt:lpstr>
      <vt:lpstr>'331'!OSRRefD21_7x_5</vt:lpstr>
      <vt:lpstr>'332'!OSRRefD21_7x_5</vt:lpstr>
      <vt:lpstr>'333'!OSRRefD21_7x_5</vt:lpstr>
      <vt:lpstr>'405'!OSRRefD21_7x_5</vt:lpstr>
      <vt:lpstr>'411'!OSRRefD21_7x_5</vt:lpstr>
      <vt:lpstr>'415'!OSRRefD21_7x_5</vt:lpstr>
      <vt:lpstr>'418'!OSRRefD21_7x_5</vt:lpstr>
      <vt:lpstr>'430'!OSRRefD21_7x_5</vt:lpstr>
      <vt:lpstr>'433'!OSRRefD21_7x_5</vt:lpstr>
      <vt:lpstr>'444'!OSRRefD21_7x_5</vt:lpstr>
      <vt:lpstr>'450'!OSRRefD21_7x_5</vt:lpstr>
      <vt:lpstr>'491'!OSRRefD21_7x_5</vt:lpstr>
      <vt:lpstr>'492'!OSRRefD21_7x_5</vt:lpstr>
      <vt:lpstr>'501'!OSRRefD21_7x_5</vt:lpstr>
      <vt:lpstr>'Div 2'!OSRRefD21_7x_5</vt:lpstr>
      <vt:lpstr>'Div 3'!OSRRefD21_7x_5</vt:lpstr>
      <vt:lpstr>'Div 4'!OSRRefD21_7x_5</vt:lpstr>
      <vt:lpstr>'Div 5'!OSRRefD21_7x_5</vt:lpstr>
      <vt:lpstr>'Div 6'!OSRRefD21_7x_5</vt:lpstr>
      <vt:lpstr>Summary!OSRRefD21_7x_5</vt:lpstr>
      <vt:lpstr>'201'!OSRRefD21_7x_6</vt:lpstr>
      <vt:lpstr>'202'!OSRRefD21_7x_6</vt:lpstr>
      <vt:lpstr>'203'!OSRRefD21_7x_6</vt:lpstr>
      <vt:lpstr>'204'!OSRRefD21_7x_6</vt:lpstr>
      <vt:lpstr>'205'!OSRRefD21_7x_6</vt:lpstr>
      <vt:lpstr>'300'!OSRRefD21_7x_6</vt:lpstr>
      <vt:lpstr>'300 &amp; 317'!OSRRefD21_7x_6</vt:lpstr>
      <vt:lpstr>'301'!OSRRefD21_7x_6</vt:lpstr>
      <vt:lpstr>'307'!OSRRefD21_7x_6</vt:lpstr>
      <vt:lpstr>'308'!OSRRefD21_7x_6</vt:lpstr>
      <vt:lpstr>'309'!OSRRefD21_7x_6</vt:lpstr>
      <vt:lpstr>'310'!OSRRefD21_7x_6</vt:lpstr>
      <vt:lpstr>'310 &amp; 491'!OSRRefD21_7x_6</vt:lpstr>
      <vt:lpstr>'311'!OSRRefD21_7x_6</vt:lpstr>
      <vt:lpstr>'315'!OSRRefD21_7x_6</vt:lpstr>
      <vt:lpstr>'316'!OSRRefD21_7x_6</vt:lpstr>
      <vt:lpstr>'317'!OSRRefD21_7x_6</vt:lpstr>
      <vt:lpstr>'321'!OSRRefD21_7x_6</vt:lpstr>
      <vt:lpstr>'325'!OSRRefD21_7x_6</vt:lpstr>
      <vt:lpstr>'326'!OSRRefD21_7x_6</vt:lpstr>
      <vt:lpstr>'331'!OSRRefD21_7x_6</vt:lpstr>
      <vt:lpstr>'332'!OSRRefD21_7x_6</vt:lpstr>
      <vt:lpstr>'333'!OSRRefD21_7x_6</vt:lpstr>
      <vt:lpstr>'405'!OSRRefD21_7x_6</vt:lpstr>
      <vt:lpstr>'411'!OSRRefD21_7x_6</vt:lpstr>
      <vt:lpstr>'415'!OSRRefD21_7x_6</vt:lpstr>
      <vt:lpstr>'418'!OSRRefD21_7x_6</vt:lpstr>
      <vt:lpstr>'430'!OSRRefD21_7x_6</vt:lpstr>
      <vt:lpstr>'433'!OSRRefD21_7x_6</vt:lpstr>
      <vt:lpstr>'444'!OSRRefD21_7x_6</vt:lpstr>
      <vt:lpstr>'450'!OSRRefD21_7x_6</vt:lpstr>
      <vt:lpstr>'491'!OSRRefD21_7x_6</vt:lpstr>
      <vt:lpstr>'492'!OSRRefD21_7x_6</vt:lpstr>
      <vt:lpstr>'501'!OSRRefD21_7x_6</vt:lpstr>
      <vt:lpstr>'Div 2'!OSRRefD21_7x_6</vt:lpstr>
      <vt:lpstr>'Div 3'!OSRRefD21_7x_6</vt:lpstr>
      <vt:lpstr>'Div 4'!OSRRefD21_7x_6</vt:lpstr>
      <vt:lpstr>'Div 5'!OSRRefD21_7x_6</vt:lpstr>
      <vt:lpstr>'Div 6'!OSRRefD21_7x_6</vt:lpstr>
      <vt:lpstr>Summary!OSRRefD21_7x_6</vt:lpstr>
      <vt:lpstr>'201'!OSRRefD21_7x_7</vt:lpstr>
      <vt:lpstr>'202'!OSRRefD21_7x_7</vt:lpstr>
      <vt:lpstr>'203'!OSRRefD21_7x_7</vt:lpstr>
      <vt:lpstr>'204'!OSRRefD21_7x_7</vt:lpstr>
      <vt:lpstr>'205'!OSRRefD21_7x_7</vt:lpstr>
      <vt:lpstr>'300'!OSRRefD21_7x_7</vt:lpstr>
      <vt:lpstr>'300 &amp; 317'!OSRRefD21_7x_7</vt:lpstr>
      <vt:lpstr>'301'!OSRRefD21_7x_7</vt:lpstr>
      <vt:lpstr>'307'!OSRRefD21_7x_7</vt:lpstr>
      <vt:lpstr>'308'!OSRRefD21_7x_7</vt:lpstr>
      <vt:lpstr>'309'!OSRRefD21_7x_7</vt:lpstr>
      <vt:lpstr>'310'!OSRRefD21_7x_7</vt:lpstr>
      <vt:lpstr>'310 &amp; 491'!OSRRefD21_7x_7</vt:lpstr>
      <vt:lpstr>'311'!OSRRefD21_7x_7</vt:lpstr>
      <vt:lpstr>'315'!OSRRefD21_7x_7</vt:lpstr>
      <vt:lpstr>'316'!OSRRefD21_7x_7</vt:lpstr>
      <vt:lpstr>'317'!OSRRefD21_7x_7</vt:lpstr>
      <vt:lpstr>'321'!OSRRefD21_7x_7</vt:lpstr>
      <vt:lpstr>'325'!OSRRefD21_7x_7</vt:lpstr>
      <vt:lpstr>'326'!OSRRefD21_7x_7</vt:lpstr>
      <vt:lpstr>'331'!OSRRefD21_7x_7</vt:lpstr>
      <vt:lpstr>'332'!OSRRefD21_7x_7</vt:lpstr>
      <vt:lpstr>'333'!OSRRefD21_7x_7</vt:lpstr>
      <vt:lpstr>'405'!OSRRefD21_7x_7</vt:lpstr>
      <vt:lpstr>'411'!OSRRefD21_7x_7</vt:lpstr>
      <vt:lpstr>'415'!OSRRefD21_7x_7</vt:lpstr>
      <vt:lpstr>'418'!OSRRefD21_7x_7</vt:lpstr>
      <vt:lpstr>'430'!OSRRefD21_7x_7</vt:lpstr>
      <vt:lpstr>'433'!OSRRefD21_7x_7</vt:lpstr>
      <vt:lpstr>'444'!OSRRefD21_7x_7</vt:lpstr>
      <vt:lpstr>'450'!OSRRefD21_7x_7</vt:lpstr>
      <vt:lpstr>'491'!OSRRefD21_7x_7</vt:lpstr>
      <vt:lpstr>'492'!OSRRefD21_7x_7</vt:lpstr>
      <vt:lpstr>'501'!OSRRefD21_7x_7</vt:lpstr>
      <vt:lpstr>'Div 2'!OSRRefD21_7x_7</vt:lpstr>
      <vt:lpstr>'Div 3'!OSRRefD21_7x_7</vt:lpstr>
      <vt:lpstr>'Div 4'!OSRRefD21_7x_7</vt:lpstr>
      <vt:lpstr>'Div 5'!OSRRefD21_7x_7</vt:lpstr>
      <vt:lpstr>'Div 6'!OSRRefD21_7x_7</vt:lpstr>
      <vt:lpstr>Summary!OSRRefD21_7x_7</vt:lpstr>
      <vt:lpstr>'201'!OSRRefD21_7x_8</vt:lpstr>
      <vt:lpstr>'202'!OSRRefD21_7x_8</vt:lpstr>
      <vt:lpstr>'203'!OSRRefD21_7x_8</vt:lpstr>
      <vt:lpstr>'204'!OSRRefD21_7x_8</vt:lpstr>
      <vt:lpstr>'205'!OSRRefD21_7x_8</vt:lpstr>
      <vt:lpstr>'300'!OSRRefD21_7x_8</vt:lpstr>
      <vt:lpstr>'300 &amp; 317'!OSRRefD21_7x_8</vt:lpstr>
      <vt:lpstr>'301'!OSRRefD21_7x_8</vt:lpstr>
      <vt:lpstr>'307'!OSRRefD21_7x_8</vt:lpstr>
      <vt:lpstr>'308'!OSRRefD21_7x_8</vt:lpstr>
      <vt:lpstr>'309'!OSRRefD21_7x_8</vt:lpstr>
      <vt:lpstr>'310'!OSRRefD21_7x_8</vt:lpstr>
      <vt:lpstr>'310 &amp; 491'!OSRRefD21_7x_8</vt:lpstr>
      <vt:lpstr>'311'!OSRRefD21_7x_8</vt:lpstr>
      <vt:lpstr>'315'!OSRRefD21_7x_8</vt:lpstr>
      <vt:lpstr>'316'!OSRRefD21_7x_8</vt:lpstr>
      <vt:lpstr>'317'!OSRRefD21_7x_8</vt:lpstr>
      <vt:lpstr>'321'!OSRRefD21_7x_8</vt:lpstr>
      <vt:lpstr>'325'!OSRRefD21_7x_8</vt:lpstr>
      <vt:lpstr>'326'!OSRRefD21_7x_8</vt:lpstr>
      <vt:lpstr>'331'!OSRRefD21_7x_8</vt:lpstr>
      <vt:lpstr>'332'!OSRRefD21_7x_8</vt:lpstr>
      <vt:lpstr>'333'!OSRRefD21_7x_8</vt:lpstr>
      <vt:lpstr>'405'!OSRRefD21_7x_8</vt:lpstr>
      <vt:lpstr>'411'!OSRRefD21_7x_8</vt:lpstr>
      <vt:lpstr>'415'!OSRRefD21_7x_8</vt:lpstr>
      <vt:lpstr>'418'!OSRRefD21_7x_8</vt:lpstr>
      <vt:lpstr>'430'!OSRRefD21_7x_8</vt:lpstr>
      <vt:lpstr>'433'!OSRRefD21_7x_8</vt:lpstr>
      <vt:lpstr>'444'!OSRRefD21_7x_8</vt:lpstr>
      <vt:lpstr>'450'!OSRRefD21_7x_8</vt:lpstr>
      <vt:lpstr>'491'!OSRRefD21_7x_8</vt:lpstr>
      <vt:lpstr>'492'!OSRRefD21_7x_8</vt:lpstr>
      <vt:lpstr>'501'!OSRRefD21_7x_8</vt:lpstr>
      <vt:lpstr>'Div 2'!OSRRefD21_7x_8</vt:lpstr>
      <vt:lpstr>'Div 3'!OSRRefD21_7x_8</vt:lpstr>
      <vt:lpstr>'Div 4'!OSRRefD21_7x_8</vt:lpstr>
      <vt:lpstr>'Div 5'!OSRRefD21_7x_8</vt:lpstr>
      <vt:lpstr>'Div 6'!OSRRefD21_7x_8</vt:lpstr>
      <vt:lpstr>Summary!OSRRefD21_7x_8</vt:lpstr>
      <vt:lpstr>'201'!OSRRefD21_7x_9</vt:lpstr>
      <vt:lpstr>'202'!OSRRefD21_7x_9</vt:lpstr>
      <vt:lpstr>'203'!OSRRefD21_7x_9</vt:lpstr>
      <vt:lpstr>'204'!OSRRefD21_7x_9</vt:lpstr>
      <vt:lpstr>'205'!OSRRefD21_7x_9</vt:lpstr>
      <vt:lpstr>'300'!OSRRefD21_7x_9</vt:lpstr>
      <vt:lpstr>'300 &amp; 317'!OSRRefD21_7x_9</vt:lpstr>
      <vt:lpstr>'301'!OSRRefD21_7x_9</vt:lpstr>
      <vt:lpstr>'307'!OSRRefD21_7x_9</vt:lpstr>
      <vt:lpstr>'308'!OSRRefD21_7x_9</vt:lpstr>
      <vt:lpstr>'309'!OSRRefD21_7x_9</vt:lpstr>
      <vt:lpstr>'310'!OSRRefD21_7x_9</vt:lpstr>
      <vt:lpstr>'310 &amp; 491'!OSRRefD21_7x_9</vt:lpstr>
      <vt:lpstr>'311'!OSRRefD21_7x_9</vt:lpstr>
      <vt:lpstr>'315'!OSRRefD21_7x_9</vt:lpstr>
      <vt:lpstr>'316'!OSRRefD21_7x_9</vt:lpstr>
      <vt:lpstr>'317'!OSRRefD21_7x_9</vt:lpstr>
      <vt:lpstr>'321'!OSRRefD21_7x_9</vt:lpstr>
      <vt:lpstr>'325'!OSRRefD21_7x_9</vt:lpstr>
      <vt:lpstr>'326'!OSRRefD21_7x_9</vt:lpstr>
      <vt:lpstr>'331'!OSRRefD21_7x_9</vt:lpstr>
      <vt:lpstr>'332'!OSRRefD21_7x_9</vt:lpstr>
      <vt:lpstr>'333'!OSRRefD21_7x_9</vt:lpstr>
      <vt:lpstr>'405'!OSRRefD21_7x_9</vt:lpstr>
      <vt:lpstr>'411'!OSRRefD21_7x_9</vt:lpstr>
      <vt:lpstr>'415'!OSRRefD21_7x_9</vt:lpstr>
      <vt:lpstr>'418'!OSRRefD21_7x_9</vt:lpstr>
      <vt:lpstr>'430'!OSRRefD21_7x_9</vt:lpstr>
      <vt:lpstr>'433'!OSRRefD21_7x_9</vt:lpstr>
      <vt:lpstr>'444'!OSRRefD21_7x_9</vt:lpstr>
      <vt:lpstr>'450'!OSRRefD21_7x_9</vt:lpstr>
      <vt:lpstr>'491'!OSRRefD21_7x_9</vt:lpstr>
      <vt:lpstr>'492'!OSRRefD21_7x_9</vt:lpstr>
      <vt:lpstr>'501'!OSRRefD21_7x_9</vt:lpstr>
      <vt:lpstr>'Div 2'!OSRRefD21_7x_9</vt:lpstr>
      <vt:lpstr>'Div 3'!OSRRefD21_7x_9</vt:lpstr>
      <vt:lpstr>'Div 4'!OSRRefD21_7x_9</vt:lpstr>
      <vt:lpstr>'Div 5'!OSRRefD21_7x_9</vt:lpstr>
      <vt:lpstr>'Div 6'!OSRRefD21_7x_9</vt:lpstr>
      <vt:lpstr>Summary!OSRRefD21_7x_9</vt:lpstr>
      <vt:lpstr>'201'!OSRRefD21_8_0x</vt:lpstr>
      <vt:lpstr>'202'!OSRRefD21_8_0x</vt:lpstr>
      <vt:lpstr>'203'!OSRRefD21_8_0x</vt:lpstr>
      <vt:lpstr>'204'!OSRRefD21_8_0x</vt:lpstr>
      <vt:lpstr>'300'!OSRRefD21_8_0x</vt:lpstr>
      <vt:lpstr>'300 &amp; 317'!OSRRefD21_8_0x</vt:lpstr>
      <vt:lpstr>'301'!OSRRefD21_8_0x</vt:lpstr>
      <vt:lpstr>'307'!OSRRefD21_8_0x</vt:lpstr>
      <vt:lpstr>'308'!OSRRefD21_8_0x</vt:lpstr>
      <vt:lpstr>'309'!OSRRefD21_8_0x</vt:lpstr>
      <vt:lpstr>'310'!OSRRefD21_8_0x</vt:lpstr>
      <vt:lpstr>'310 &amp; 491'!OSRRefD21_8_0x</vt:lpstr>
      <vt:lpstr>'311'!OSRRefD21_8_0x</vt:lpstr>
      <vt:lpstr>'315'!OSRRefD21_8_0x</vt:lpstr>
      <vt:lpstr>'316'!OSRRefD21_8_0x</vt:lpstr>
      <vt:lpstr>'317'!OSRRefD21_8_0x</vt:lpstr>
      <vt:lpstr>'321'!OSRRefD21_8_0x</vt:lpstr>
      <vt:lpstr>'325'!OSRRefD21_8_0x</vt:lpstr>
      <vt:lpstr>'326'!OSRRefD21_8_0x</vt:lpstr>
      <vt:lpstr>'331'!OSRRefD21_8_0x</vt:lpstr>
      <vt:lpstr>'332'!OSRRefD21_8_0x</vt:lpstr>
      <vt:lpstr>'333'!OSRRefD21_8_0x</vt:lpstr>
      <vt:lpstr>'405'!OSRRefD21_8_0x</vt:lpstr>
      <vt:lpstr>'411'!OSRRefD21_8_0x</vt:lpstr>
      <vt:lpstr>'415'!OSRRefD21_8_0x</vt:lpstr>
      <vt:lpstr>'418'!OSRRefD21_8_0x</vt:lpstr>
      <vt:lpstr>'430'!OSRRefD21_8_0x</vt:lpstr>
      <vt:lpstr>'433'!OSRRefD21_8_0x</vt:lpstr>
      <vt:lpstr>'444'!OSRRefD21_8_0x</vt:lpstr>
      <vt:lpstr>'450'!OSRRefD21_8_0x</vt:lpstr>
      <vt:lpstr>'491'!OSRRefD21_8_0x</vt:lpstr>
      <vt:lpstr>'492'!OSRRefD21_8_0x</vt:lpstr>
      <vt:lpstr>'501'!OSRRefD21_8_0x</vt:lpstr>
      <vt:lpstr>'Div 2'!OSRRefD21_8_0x</vt:lpstr>
      <vt:lpstr>'Div 3'!OSRRefD21_8_0x</vt:lpstr>
      <vt:lpstr>'Div 4'!OSRRefD21_8_0x</vt:lpstr>
      <vt:lpstr>'Div 5'!OSRRefD21_8_0x</vt:lpstr>
      <vt:lpstr>'Div 6'!OSRRefD21_8_0x</vt:lpstr>
      <vt:lpstr>Summary!OSRRefD21_8_0x</vt:lpstr>
      <vt:lpstr>'203'!OSRRefD21_8_1x</vt:lpstr>
      <vt:lpstr>'309'!OSRRefD21_8_1x</vt:lpstr>
      <vt:lpstr>'315'!OSRRefD21_8_1x</vt:lpstr>
      <vt:lpstr>'321'!OSRRefD21_8_1x</vt:lpstr>
      <vt:lpstr>'331'!OSRRefD21_8_1x</vt:lpstr>
      <vt:lpstr>'333'!OSRRefD21_8_1x</vt:lpstr>
      <vt:lpstr>'411'!OSRRefD21_8_1x</vt:lpstr>
      <vt:lpstr>'418'!OSRRefD21_8_1x</vt:lpstr>
      <vt:lpstr>'203'!OSRRefD21_8_2x</vt:lpstr>
      <vt:lpstr>'411'!OSRRefD21_8_2x</vt:lpstr>
      <vt:lpstr>'201'!OSRRefD21_8x_0</vt:lpstr>
      <vt:lpstr>'202'!OSRRefD21_8x_0</vt:lpstr>
      <vt:lpstr>'203'!OSRRefD21_8x_0</vt:lpstr>
      <vt:lpstr>'204'!OSRRefD21_8x_0</vt:lpstr>
      <vt:lpstr>'300'!OSRRefD21_8x_0</vt:lpstr>
      <vt:lpstr>'300 &amp; 317'!OSRRefD21_8x_0</vt:lpstr>
      <vt:lpstr>'301'!OSRRefD21_8x_0</vt:lpstr>
      <vt:lpstr>'307'!OSRRefD21_8x_0</vt:lpstr>
      <vt:lpstr>'308'!OSRRefD21_8x_0</vt:lpstr>
      <vt:lpstr>'309'!OSRRefD21_8x_0</vt:lpstr>
      <vt:lpstr>'310'!OSRRefD21_8x_0</vt:lpstr>
      <vt:lpstr>'310 &amp; 491'!OSRRefD21_8x_0</vt:lpstr>
      <vt:lpstr>'311'!OSRRefD21_8x_0</vt:lpstr>
      <vt:lpstr>'315'!OSRRefD21_8x_0</vt:lpstr>
      <vt:lpstr>'316'!OSRRefD21_8x_0</vt:lpstr>
      <vt:lpstr>'317'!OSRRefD21_8x_0</vt:lpstr>
      <vt:lpstr>'321'!OSRRefD21_8x_0</vt:lpstr>
      <vt:lpstr>'325'!OSRRefD21_8x_0</vt:lpstr>
      <vt:lpstr>'326'!OSRRefD21_8x_0</vt:lpstr>
      <vt:lpstr>'331'!OSRRefD21_8x_0</vt:lpstr>
      <vt:lpstr>'332'!OSRRefD21_8x_0</vt:lpstr>
      <vt:lpstr>'333'!OSRRefD21_8x_0</vt:lpstr>
      <vt:lpstr>'405'!OSRRefD21_8x_0</vt:lpstr>
      <vt:lpstr>'411'!OSRRefD21_8x_0</vt:lpstr>
      <vt:lpstr>'415'!OSRRefD21_8x_0</vt:lpstr>
      <vt:lpstr>'418'!OSRRefD21_8x_0</vt:lpstr>
      <vt:lpstr>'430'!OSRRefD21_8x_0</vt:lpstr>
      <vt:lpstr>'433'!OSRRefD21_8x_0</vt:lpstr>
      <vt:lpstr>'444'!OSRRefD21_8x_0</vt:lpstr>
      <vt:lpstr>'450'!OSRRefD21_8x_0</vt:lpstr>
      <vt:lpstr>'491'!OSRRefD21_8x_0</vt:lpstr>
      <vt:lpstr>'492'!OSRRefD21_8x_0</vt:lpstr>
      <vt:lpstr>'501'!OSRRefD21_8x_0</vt:lpstr>
      <vt:lpstr>'Div 2'!OSRRefD21_8x_0</vt:lpstr>
      <vt:lpstr>'Div 3'!OSRRefD21_8x_0</vt:lpstr>
      <vt:lpstr>'Div 4'!OSRRefD21_8x_0</vt:lpstr>
      <vt:lpstr>'Div 5'!OSRRefD21_8x_0</vt:lpstr>
      <vt:lpstr>'Div 6'!OSRRefD21_8x_0</vt:lpstr>
      <vt:lpstr>Summary!OSRRefD21_8x_0</vt:lpstr>
      <vt:lpstr>'201'!OSRRefD21_8x_1</vt:lpstr>
      <vt:lpstr>'202'!OSRRefD21_8x_1</vt:lpstr>
      <vt:lpstr>'203'!OSRRefD21_8x_1</vt:lpstr>
      <vt:lpstr>'204'!OSRRefD21_8x_1</vt:lpstr>
      <vt:lpstr>'300'!OSRRefD21_8x_1</vt:lpstr>
      <vt:lpstr>'300 &amp; 317'!OSRRefD21_8x_1</vt:lpstr>
      <vt:lpstr>'301'!OSRRefD21_8x_1</vt:lpstr>
      <vt:lpstr>'307'!OSRRefD21_8x_1</vt:lpstr>
      <vt:lpstr>'308'!OSRRefD21_8x_1</vt:lpstr>
      <vt:lpstr>'309'!OSRRefD21_8x_1</vt:lpstr>
      <vt:lpstr>'310'!OSRRefD21_8x_1</vt:lpstr>
      <vt:lpstr>'310 &amp; 491'!OSRRefD21_8x_1</vt:lpstr>
      <vt:lpstr>'311'!OSRRefD21_8x_1</vt:lpstr>
      <vt:lpstr>'315'!OSRRefD21_8x_1</vt:lpstr>
      <vt:lpstr>'316'!OSRRefD21_8x_1</vt:lpstr>
      <vt:lpstr>'317'!OSRRefD21_8x_1</vt:lpstr>
      <vt:lpstr>'321'!OSRRefD21_8x_1</vt:lpstr>
      <vt:lpstr>'325'!OSRRefD21_8x_1</vt:lpstr>
      <vt:lpstr>'326'!OSRRefD21_8x_1</vt:lpstr>
      <vt:lpstr>'331'!OSRRefD21_8x_1</vt:lpstr>
      <vt:lpstr>'332'!OSRRefD21_8x_1</vt:lpstr>
      <vt:lpstr>'333'!OSRRefD21_8x_1</vt:lpstr>
      <vt:lpstr>'405'!OSRRefD21_8x_1</vt:lpstr>
      <vt:lpstr>'411'!OSRRefD21_8x_1</vt:lpstr>
      <vt:lpstr>'415'!OSRRefD21_8x_1</vt:lpstr>
      <vt:lpstr>'418'!OSRRefD21_8x_1</vt:lpstr>
      <vt:lpstr>'430'!OSRRefD21_8x_1</vt:lpstr>
      <vt:lpstr>'433'!OSRRefD21_8x_1</vt:lpstr>
      <vt:lpstr>'444'!OSRRefD21_8x_1</vt:lpstr>
      <vt:lpstr>'450'!OSRRefD21_8x_1</vt:lpstr>
      <vt:lpstr>'491'!OSRRefD21_8x_1</vt:lpstr>
      <vt:lpstr>'492'!OSRRefD21_8x_1</vt:lpstr>
      <vt:lpstr>'501'!OSRRefD21_8x_1</vt:lpstr>
      <vt:lpstr>'Div 2'!OSRRefD21_8x_1</vt:lpstr>
      <vt:lpstr>'Div 3'!OSRRefD21_8x_1</vt:lpstr>
      <vt:lpstr>'Div 4'!OSRRefD21_8x_1</vt:lpstr>
      <vt:lpstr>'Div 5'!OSRRefD21_8x_1</vt:lpstr>
      <vt:lpstr>'Div 6'!OSRRefD21_8x_1</vt:lpstr>
      <vt:lpstr>Summary!OSRRefD21_8x_1</vt:lpstr>
      <vt:lpstr>'201'!OSRRefD21_8x_2</vt:lpstr>
      <vt:lpstr>'202'!OSRRefD21_8x_2</vt:lpstr>
      <vt:lpstr>'203'!OSRRefD21_8x_2</vt:lpstr>
      <vt:lpstr>'204'!OSRRefD21_8x_2</vt:lpstr>
      <vt:lpstr>'300'!OSRRefD21_8x_2</vt:lpstr>
      <vt:lpstr>'300 &amp; 317'!OSRRefD21_8x_2</vt:lpstr>
      <vt:lpstr>'301'!OSRRefD21_8x_2</vt:lpstr>
      <vt:lpstr>'307'!OSRRefD21_8x_2</vt:lpstr>
      <vt:lpstr>'308'!OSRRefD21_8x_2</vt:lpstr>
      <vt:lpstr>'309'!OSRRefD21_8x_2</vt:lpstr>
      <vt:lpstr>'310'!OSRRefD21_8x_2</vt:lpstr>
      <vt:lpstr>'310 &amp; 491'!OSRRefD21_8x_2</vt:lpstr>
      <vt:lpstr>'311'!OSRRefD21_8x_2</vt:lpstr>
      <vt:lpstr>'315'!OSRRefD21_8x_2</vt:lpstr>
      <vt:lpstr>'316'!OSRRefD21_8x_2</vt:lpstr>
      <vt:lpstr>'317'!OSRRefD21_8x_2</vt:lpstr>
      <vt:lpstr>'321'!OSRRefD21_8x_2</vt:lpstr>
      <vt:lpstr>'325'!OSRRefD21_8x_2</vt:lpstr>
      <vt:lpstr>'326'!OSRRefD21_8x_2</vt:lpstr>
      <vt:lpstr>'331'!OSRRefD21_8x_2</vt:lpstr>
      <vt:lpstr>'332'!OSRRefD21_8x_2</vt:lpstr>
      <vt:lpstr>'333'!OSRRefD21_8x_2</vt:lpstr>
      <vt:lpstr>'405'!OSRRefD21_8x_2</vt:lpstr>
      <vt:lpstr>'411'!OSRRefD21_8x_2</vt:lpstr>
      <vt:lpstr>'415'!OSRRefD21_8x_2</vt:lpstr>
      <vt:lpstr>'418'!OSRRefD21_8x_2</vt:lpstr>
      <vt:lpstr>'430'!OSRRefD21_8x_2</vt:lpstr>
      <vt:lpstr>'433'!OSRRefD21_8x_2</vt:lpstr>
      <vt:lpstr>'444'!OSRRefD21_8x_2</vt:lpstr>
      <vt:lpstr>'450'!OSRRefD21_8x_2</vt:lpstr>
      <vt:lpstr>'491'!OSRRefD21_8x_2</vt:lpstr>
      <vt:lpstr>'492'!OSRRefD21_8x_2</vt:lpstr>
      <vt:lpstr>'501'!OSRRefD21_8x_2</vt:lpstr>
      <vt:lpstr>'Div 2'!OSRRefD21_8x_2</vt:lpstr>
      <vt:lpstr>'Div 3'!OSRRefD21_8x_2</vt:lpstr>
      <vt:lpstr>'Div 4'!OSRRefD21_8x_2</vt:lpstr>
      <vt:lpstr>'Div 5'!OSRRefD21_8x_2</vt:lpstr>
      <vt:lpstr>'Div 6'!OSRRefD21_8x_2</vt:lpstr>
      <vt:lpstr>Summary!OSRRefD21_8x_2</vt:lpstr>
      <vt:lpstr>'201'!OSRRefD21_8x_3</vt:lpstr>
      <vt:lpstr>'202'!OSRRefD21_8x_3</vt:lpstr>
      <vt:lpstr>'203'!OSRRefD21_8x_3</vt:lpstr>
      <vt:lpstr>'204'!OSRRefD21_8x_3</vt:lpstr>
      <vt:lpstr>'300'!OSRRefD21_8x_3</vt:lpstr>
      <vt:lpstr>'300 &amp; 317'!OSRRefD21_8x_3</vt:lpstr>
      <vt:lpstr>'301'!OSRRefD21_8x_3</vt:lpstr>
      <vt:lpstr>'307'!OSRRefD21_8x_3</vt:lpstr>
      <vt:lpstr>'308'!OSRRefD21_8x_3</vt:lpstr>
      <vt:lpstr>'309'!OSRRefD21_8x_3</vt:lpstr>
      <vt:lpstr>'310'!OSRRefD21_8x_3</vt:lpstr>
      <vt:lpstr>'310 &amp; 491'!OSRRefD21_8x_3</vt:lpstr>
      <vt:lpstr>'311'!OSRRefD21_8x_3</vt:lpstr>
      <vt:lpstr>'315'!OSRRefD21_8x_3</vt:lpstr>
      <vt:lpstr>'316'!OSRRefD21_8x_3</vt:lpstr>
      <vt:lpstr>'317'!OSRRefD21_8x_3</vt:lpstr>
      <vt:lpstr>'321'!OSRRefD21_8x_3</vt:lpstr>
      <vt:lpstr>'325'!OSRRefD21_8x_3</vt:lpstr>
      <vt:lpstr>'326'!OSRRefD21_8x_3</vt:lpstr>
      <vt:lpstr>'331'!OSRRefD21_8x_3</vt:lpstr>
      <vt:lpstr>'332'!OSRRefD21_8x_3</vt:lpstr>
      <vt:lpstr>'333'!OSRRefD21_8x_3</vt:lpstr>
      <vt:lpstr>'405'!OSRRefD21_8x_3</vt:lpstr>
      <vt:lpstr>'411'!OSRRefD21_8x_3</vt:lpstr>
      <vt:lpstr>'415'!OSRRefD21_8x_3</vt:lpstr>
      <vt:lpstr>'418'!OSRRefD21_8x_3</vt:lpstr>
      <vt:lpstr>'430'!OSRRefD21_8x_3</vt:lpstr>
      <vt:lpstr>'433'!OSRRefD21_8x_3</vt:lpstr>
      <vt:lpstr>'444'!OSRRefD21_8x_3</vt:lpstr>
      <vt:lpstr>'450'!OSRRefD21_8x_3</vt:lpstr>
      <vt:lpstr>'491'!OSRRefD21_8x_3</vt:lpstr>
      <vt:lpstr>'492'!OSRRefD21_8x_3</vt:lpstr>
      <vt:lpstr>'501'!OSRRefD21_8x_3</vt:lpstr>
      <vt:lpstr>'Div 2'!OSRRefD21_8x_3</vt:lpstr>
      <vt:lpstr>'Div 3'!OSRRefD21_8x_3</vt:lpstr>
      <vt:lpstr>'Div 4'!OSRRefD21_8x_3</vt:lpstr>
      <vt:lpstr>'Div 5'!OSRRefD21_8x_3</vt:lpstr>
      <vt:lpstr>'Div 6'!OSRRefD21_8x_3</vt:lpstr>
      <vt:lpstr>Summary!OSRRefD21_8x_3</vt:lpstr>
      <vt:lpstr>'201'!OSRRefD21_8x_4</vt:lpstr>
      <vt:lpstr>'202'!OSRRefD21_8x_4</vt:lpstr>
      <vt:lpstr>'203'!OSRRefD21_8x_4</vt:lpstr>
      <vt:lpstr>'204'!OSRRefD21_8x_4</vt:lpstr>
      <vt:lpstr>'300'!OSRRefD21_8x_4</vt:lpstr>
      <vt:lpstr>'300 &amp; 317'!OSRRefD21_8x_4</vt:lpstr>
      <vt:lpstr>'301'!OSRRefD21_8x_4</vt:lpstr>
      <vt:lpstr>'307'!OSRRefD21_8x_4</vt:lpstr>
      <vt:lpstr>'308'!OSRRefD21_8x_4</vt:lpstr>
      <vt:lpstr>'309'!OSRRefD21_8x_4</vt:lpstr>
      <vt:lpstr>'310'!OSRRefD21_8x_4</vt:lpstr>
      <vt:lpstr>'310 &amp; 491'!OSRRefD21_8x_4</vt:lpstr>
      <vt:lpstr>'311'!OSRRefD21_8x_4</vt:lpstr>
      <vt:lpstr>'315'!OSRRefD21_8x_4</vt:lpstr>
      <vt:lpstr>'316'!OSRRefD21_8x_4</vt:lpstr>
      <vt:lpstr>'317'!OSRRefD21_8x_4</vt:lpstr>
      <vt:lpstr>'321'!OSRRefD21_8x_4</vt:lpstr>
      <vt:lpstr>'325'!OSRRefD21_8x_4</vt:lpstr>
      <vt:lpstr>'326'!OSRRefD21_8x_4</vt:lpstr>
      <vt:lpstr>'331'!OSRRefD21_8x_4</vt:lpstr>
      <vt:lpstr>'332'!OSRRefD21_8x_4</vt:lpstr>
      <vt:lpstr>'333'!OSRRefD21_8x_4</vt:lpstr>
      <vt:lpstr>'405'!OSRRefD21_8x_4</vt:lpstr>
      <vt:lpstr>'411'!OSRRefD21_8x_4</vt:lpstr>
      <vt:lpstr>'415'!OSRRefD21_8x_4</vt:lpstr>
      <vt:lpstr>'418'!OSRRefD21_8x_4</vt:lpstr>
      <vt:lpstr>'430'!OSRRefD21_8x_4</vt:lpstr>
      <vt:lpstr>'433'!OSRRefD21_8x_4</vt:lpstr>
      <vt:lpstr>'444'!OSRRefD21_8x_4</vt:lpstr>
      <vt:lpstr>'450'!OSRRefD21_8x_4</vt:lpstr>
      <vt:lpstr>'491'!OSRRefD21_8x_4</vt:lpstr>
      <vt:lpstr>'492'!OSRRefD21_8x_4</vt:lpstr>
      <vt:lpstr>'501'!OSRRefD21_8x_4</vt:lpstr>
      <vt:lpstr>'Div 2'!OSRRefD21_8x_4</vt:lpstr>
      <vt:lpstr>'Div 3'!OSRRefD21_8x_4</vt:lpstr>
      <vt:lpstr>'Div 4'!OSRRefD21_8x_4</vt:lpstr>
      <vt:lpstr>'Div 5'!OSRRefD21_8x_4</vt:lpstr>
      <vt:lpstr>'Div 6'!OSRRefD21_8x_4</vt:lpstr>
      <vt:lpstr>Summary!OSRRefD21_8x_4</vt:lpstr>
      <vt:lpstr>'201'!OSRRefD21_8x_5</vt:lpstr>
      <vt:lpstr>'202'!OSRRefD21_8x_5</vt:lpstr>
      <vt:lpstr>'203'!OSRRefD21_8x_5</vt:lpstr>
      <vt:lpstr>'204'!OSRRefD21_8x_5</vt:lpstr>
      <vt:lpstr>'300'!OSRRefD21_8x_5</vt:lpstr>
      <vt:lpstr>'300 &amp; 317'!OSRRefD21_8x_5</vt:lpstr>
      <vt:lpstr>'301'!OSRRefD21_8x_5</vt:lpstr>
      <vt:lpstr>'307'!OSRRefD21_8x_5</vt:lpstr>
      <vt:lpstr>'308'!OSRRefD21_8x_5</vt:lpstr>
      <vt:lpstr>'309'!OSRRefD21_8x_5</vt:lpstr>
      <vt:lpstr>'310'!OSRRefD21_8x_5</vt:lpstr>
      <vt:lpstr>'310 &amp; 491'!OSRRefD21_8x_5</vt:lpstr>
      <vt:lpstr>'311'!OSRRefD21_8x_5</vt:lpstr>
      <vt:lpstr>'315'!OSRRefD21_8x_5</vt:lpstr>
      <vt:lpstr>'316'!OSRRefD21_8x_5</vt:lpstr>
      <vt:lpstr>'317'!OSRRefD21_8x_5</vt:lpstr>
      <vt:lpstr>'321'!OSRRefD21_8x_5</vt:lpstr>
      <vt:lpstr>'325'!OSRRefD21_8x_5</vt:lpstr>
      <vt:lpstr>'326'!OSRRefD21_8x_5</vt:lpstr>
      <vt:lpstr>'331'!OSRRefD21_8x_5</vt:lpstr>
      <vt:lpstr>'332'!OSRRefD21_8x_5</vt:lpstr>
      <vt:lpstr>'333'!OSRRefD21_8x_5</vt:lpstr>
      <vt:lpstr>'405'!OSRRefD21_8x_5</vt:lpstr>
      <vt:lpstr>'411'!OSRRefD21_8x_5</vt:lpstr>
      <vt:lpstr>'415'!OSRRefD21_8x_5</vt:lpstr>
      <vt:lpstr>'418'!OSRRefD21_8x_5</vt:lpstr>
      <vt:lpstr>'430'!OSRRefD21_8x_5</vt:lpstr>
      <vt:lpstr>'433'!OSRRefD21_8x_5</vt:lpstr>
      <vt:lpstr>'444'!OSRRefD21_8x_5</vt:lpstr>
      <vt:lpstr>'450'!OSRRefD21_8x_5</vt:lpstr>
      <vt:lpstr>'491'!OSRRefD21_8x_5</vt:lpstr>
      <vt:lpstr>'492'!OSRRefD21_8x_5</vt:lpstr>
      <vt:lpstr>'501'!OSRRefD21_8x_5</vt:lpstr>
      <vt:lpstr>'Div 2'!OSRRefD21_8x_5</vt:lpstr>
      <vt:lpstr>'Div 3'!OSRRefD21_8x_5</vt:lpstr>
      <vt:lpstr>'Div 4'!OSRRefD21_8x_5</vt:lpstr>
      <vt:lpstr>'Div 5'!OSRRefD21_8x_5</vt:lpstr>
      <vt:lpstr>'Div 6'!OSRRefD21_8x_5</vt:lpstr>
      <vt:lpstr>Summary!OSRRefD21_8x_5</vt:lpstr>
      <vt:lpstr>'201'!OSRRefD21_8x_6</vt:lpstr>
      <vt:lpstr>'202'!OSRRefD21_8x_6</vt:lpstr>
      <vt:lpstr>'203'!OSRRefD21_8x_6</vt:lpstr>
      <vt:lpstr>'204'!OSRRefD21_8x_6</vt:lpstr>
      <vt:lpstr>'300'!OSRRefD21_8x_6</vt:lpstr>
      <vt:lpstr>'300 &amp; 317'!OSRRefD21_8x_6</vt:lpstr>
      <vt:lpstr>'301'!OSRRefD21_8x_6</vt:lpstr>
      <vt:lpstr>'307'!OSRRefD21_8x_6</vt:lpstr>
      <vt:lpstr>'308'!OSRRefD21_8x_6</vt:lpstr>
      <vt:lpstr>'309'!OSRRefD21_8x_6</vt:lpstr>
      <vt:lpstr>'310'!OSRRefD21_8x_6</vt:lpstr>
      <vt:lpstr>'310 &amp; 491'!OSRRefD21_8x_6</vt:lpstr>
      <vt:lpstr>'311'!OSRRefD21_8x_6</vt:lpstr>
      <vt:lpstr>'315'!OSRRefD21_8x_6</vt:lpstr>
      <vt:lpstr>'316'!OSRRefD21_8x_6</vt:lpstr>
      <vt:lpstr>'317'!OSRRefD21_8x_6</vt:lpstr>
      <vt:lpstr>'321'!OSRRefD21_8x_6</vt:lpstr>
      <vt:lpstr>'325'!OSRRefD21_8x_6</vt:lpstr>
      <vt:lpstr>'326'!OSRRefD21_8x_6</vt:lpstr>
      <vt:lpstr>'331'!OSRRefD21_8x_6</vt:lpstr>
      <vt:lpstr>'332'!OSRRefD21_8x_6</vt:lpstr>
      <vt:lpstr>'333'!OSRRefD21_8x_6</vt:lpstr>
      <vt:lpstr>'405'!OSRRefD21_8x_6</vt:lpstr>
      <vt:lpstr>'411'!OSRRefD21_8x_6</vt:lpstr>
      <vt:lpstr>'415'!OSRRefD21_8x_6</vt:lpstr>
      <vt:lpstr>'418'!OSRRefD21_8x_6</vt:lpstr>
      <vt:lpstr>'430'!OSRRefD21_8x_6</vt:lpstr>
      <vt:lpstr>'433'!OSRRefD21_8x_6</vt:lpstr>
      <vt:lpstr>'444'!OSRRefD21_8x_6</vt:lpstr>
      <vt:lpstr>'450'!OSRRefD21_8x_6</vt:lpstr>
      <vt:lpstr>'491'!OSRRefD21_8x_6</vt:lpstr>
      <vt:lpstr>'492'!OSRRefD21_8x_6</vt:lpstr>
      <vt:lpstr>'501'!OSRRefD21_8x_6</vt:lpstr>
      <vt:lpstr>'Div 2'!OSRRefD21_8x_6</vt:lpstr>
      <vt:lpstr>'Div 3'!OSRRefD21_8x_6</vt:lpstr>
      <vt:lpstr>'Div 4'!OSRRefD21_8x_6</vt:lpstr>
      <vt:lpstr>'Div 5'!OSRRefD21_8x_6</vt:lpstr>
      <vt:lpstr>'Div 6'!OSRRefD21_8x_6</vt:lpstr>
      <vt:lpstr>Summary!OSRRefD21_8x_6</vt:lpstr>
      <vt:lpstr>'201'!OSRRefD21_8x_7</vt:lpstr>
      <vt:lpstr>'202'!OSRRefD21_8x_7</vt:lpstr>
      <vt:lpstr>'203'!OSRRefD21_8x_7</vt:lpstr>
      <vt:lpstr>'204'!OSRRefD21_8x_7</vt:lpstr>
      <vt:lpstr>'300'!OSRRefD21_8x_7</vt:lpstr>
      <vt:lpstr>'300 &amp; 317'!OSRRefD21_8x_7</vt:lpstr>
      <vt:lpstr>'301'!OSRRefD21_8x_7</vt:lpstr>
      <vt:lpstr>'307'!OSRRefD21_8x_7</vt:lpstr>
      <vt:lpstr>'308'!OSRRefD21_8x_7</vt:lpstr>
      <vt:lpstr>'309'!OSRRefD21_8x_7</vt:lpstr>
      <vt:lpstr>'310'!OSRRefD21_8x_7</vt:lpstr>
      <vt:lpstr>'310 &amp; 491'!OSRRefD21_8x_7</vt:lpstr>
      <vt:lpstr>'311'!OSRRefD21_8x_7</vt:lpstr>
      <vt:lpstr>'315'!OSRRefD21_8x_7</vt:lpstr>
      <vt:lpstr>'316'!OSRRefD21_8x_7</vt:lpstr>
      <vt:lpstr>'317'!OSRRefD21_8x_7</vt:lpstr>
      <vt:lpstr>'321'!OSRRefD21_8x_7</vt:lpstr>
      <vt:lpstr>'325'!OSRRefD21_8x_7</vt:lpstr>
      <vt:lpstr>'326'!OSRRefD21_8x_7</vt:lpstr>
      <vt:lpstr>'331'!OSRRefD21_8x_7</vt:lpstr>
      <vt:lpstr>'332'!OSRRefD21_8x_7</vt:lpstr>
      <vt:lpstr>'333'!OSRRefD21_8x_7</vt:lpstr>
      <vt:lpstr>'405'!OSRRefD21_8x_7</vt:lpstr>
      <vt:lpstr>'411'!OSRRefD21_8x_7</vt:lpstr>
      <vt:lpstr>'415'!OSRRefD21_8x_7</vt:lpstr>
      <vt:lpstr>'418'!OSRRefD21_8x_7</vt:lpstr>
      <vt:lpstr>'430'!OSRRefD21_8x_7</vt:lpstr>
      <vt:lpstr>'433'!OSRRefD21_8x_7</vt:lpstr>
      <vt:lpstr>'444'!OSRRefD21_8x_7</vt:lpstr>
      <vt:lpstr>'450'!OSRRefD21_8x_7</vt:lpstr>
      <vt:lpstr>'491'!OSRRefD21_8x_7</vt:lpstr>
      <vt:lpstr>'492'!OSRRefD21_8x_7</vt:lpstr>
      <vt:lpstr>'501'!OSRRefD21_8x_7</vt:lpstr>
      <vt:lpstr>'Div 2'!OSRRefD21_8x_7</vt:lpstr>
      <vt:lpstr>'Div 3'!OSRRefD21_8x_7</vt:lpstr>
      <vt:lpstr>'Div 4'!OSRRefD21_8x_7</vt:lpstr>
      <vt:lpstr>'Div 5'!OSRRefD21_8x_7</vt:lpstr>
      <vt:lpstr>'Div 6'!OSRRefD21_8x_7</vt:lpstr>
      <vt:lpstr>Summary!OSRRefD21_8x_7</vt:lpstr>
      <vt:lpstr>'201'!OSRRefD21_8x_8</vt:lpstr>
      <vt:lpstr>'202'!OSRRefD21_8x_8</vt:lpstr>
      <vt:lpstr>'203'!OSRRefD21_8x_8</vt:lpstr>
      <vt:lpstr>'204'!OSRRefD21_8x_8</vt:lpstr>
      <vt:lpstr>'300'!OSRRefD21_8x_8</vt:lpstr>
      <vt:lpstr>'300 &amp; 317'!OSRRefD21_8x_8</vt:lpstr>
      <vt:lpstr>'301'!OSRRefD21_8x_8</vt:lpstr>
      <vt:lpstr>'307'!OSRRefD21_8x_8</vt:lpstr>
      <vt:lpstr>'308'!OSRRefD21_8x_8</vt:lpstr>
      <vt:lpstr>'309'!OSRRefD21_8x_8</vt:lpstr>
      <vt:lpstr>'310'!OSRRefD21_8x_8</vt:lpstr>
      <vt:lpstr>'310 &amp; 491'!OSRRefD21_8x_8</vt:lpstr>
      <vt:lpstr>'311'!OSRRefD21_8x_8</vt:lpstr>
      <vt:lpstr>'315'!OSRRefD21_8x_8</vt:lpstr>
      <vt:lpstr>'316'!OSRRefD21_8x_8</vt:lpstr>
      <vt:lpstr>'317'!OSRRefD21_8x_8</vt:lpstr>
      <vt:lpstr>'321'!OSRRefD21_8x_8</vt:lpstr>
      <vt:lpstr>'325'!OSRRefD21_8x_8</vt:lpstr>
      <vt:lpstr>'326'!OSRRefD21_8x_8</vt:lpstr>
      <vt:lpstr>'331'!OSRRefD21_8x_8</vt:lpstr>
      <vt:lpstr>'332'!OSRRefD21_8x_8</vt:lpstr>
      <vt:lpstr>'333'!OSRRefD21_8x_8</vt:lpstr>
      <vt:lpstr>'405'!OSRRefD21_8x_8</vt:lpstr>
      <vt:lpstr>'411'!OSRRefD21_8x_8</vt:lpstr>
      <vt:lpstr>'415'!OSRRefD21_8x_8</vt:lpstr>
      <vt:lpstr>'418'!OSRRefD21_8x_8</vt:lpstr>
      <vt:lpstr>'430'!OSRRefD21_8x_8</vt:lpstr>
      <vt:lpstr>'433'!OSRRefD21_8x_8</vt:lpstr>
      <vt:lpstr>'444'!OSRRefD21_8x_8</vt:lpstr>
      <vt:lpstr>'450'!OSRRefD21_8x_8</vt:lpstr>
      <vt:lpstr>'491'!OSRRefD21_8x_8</vt:lpstr>
      <vt:lpstr>'492'!OSRRefD21_8x_8</vt:lpstr>
      <vt:lpstr>'501'!OSRRefD21_8x_8</vt:lpstr>
      <vt:lpstr>'Div 2'!OSRRefD21_8x_8</vt:lpstr>
      <vt:lpstr>'Div 3'!OSRRefD21_8x_8</vt:lpstr>
      <vt:lpstr>'Div 4'!OSRRefD21_8x_8</vt:lpstr>
      <vt:lpstr>'Div 5'!OSRRefD21_8x_8</vt:lpstr>
      <vt:lpstr>'Div 6'!OSRRefD21_8x_8</vt:lpstr>
      <vt:lpstr>Summary!OSRRefD21_8x_8</vt:lpstr>
      <vt:lpstr>'201'!OSRRefD21_8x_9</vt:lpstr>
      <vt:lpstr>'202'!OSRRefD21_8x_9</vt:lpstr>
      <vt:lpstr>'203'!OSRRefD21_8x_9</vt:lpstr>
      <vt:lpstr>'204'!OSRRefD21_8x_9</vt:lpstr>
      <vt:lpstr>'300'!OSRRefD21_8x_9</vt:lpstr>
      <vt:lpstr>'300 &amp; 317'!OSRRefD21_8x_9</vt:lpstr>
      <vt:lpstr>'301'!OSRRefD21_8x_9</vt:lpstr>
      <vt:lpstr>'307'!OSRRefD21_8x_9</vt:lpstr>
      <vt:lpstr>'308'!OSRRefD21_8x_9</vt:lpstr>
      <vt:lpstr>'309'!OSRRefD21_8x_9</vt:lpstr>
      <vt:lpstr>'310'!OSRRefD21_8x_9</vt:lpstr>
      <vt:lpstr>'310 &amp; 491'!OSRRefD21_8x_9</vt:lpstr>
      <vt:lpstr>'311'!OSRRefD21_8x_9</vt:lpstr>
      <vt:lpstr>'315'!OSRRefD21_8x_9</vt:lpstr>
      <vt:lpstr>'316'!OSRRefD21_8x_9</vt:lpstr>
      <vt:lpstr>'317'!OSRRefD21_8x_9</vt:lpstr>
      <vt:lpstr>'321'!OSRRefD21_8x_9</vt:lpstr>
      <vt:lpstr>'325'!OSRRefD21_8x_9</vt:lpstr>
      <vt:lpstr>'326'!OSRRefD21_8x_9</vt:lpstr>
      <vt:lpstr>'331'!OSRRefD21_8x_9</vt:lpstr>
      <vt:lpstr>'332'!OSRRefD21_8x_9</vt:lpstr>
      <vt:lpstr>'333'!OSRRefD21_8x_9</vt:lpstr>
      <vt:lpstr>'405'!OSRRefD21_8x_9</vt:lpstr>
      <vt:lpstr>'411'!OSRRefD21_8x_9</vt:lpstr>
      <vt:lpstr>'415'!OSRRefD21_8x_9</vt:lpstr>
      <vt:lpstr>'418'!OSRRefD21_8x_9</vt:lpstr>
      <vt:lpstr>'430'!OSRRefD21_8x_9</vt:lpstr>
      <vt:lpstr>'433'!OSRRefD21_8x_9</vt:lpstr>
      <vt:lpstr>'444'!OSRRefD21_8x_9</vt:lpstr>
      <vt:lpstr>'450'!OSRRefD21_8x_9</vt:lpstr>
      <vt:lpstr>'491'!OSRRefD21_8x_9</vt:lpstr>
      <vt:lpstr>'492'!OSRRefD21_8x_9</vt:lpstr>
      <vt:lpstr>'501'!OSRRefD21_8x_9</vt:lpstr>
      <vt:lpstr>'Div 2'!OSRRefD21_8x_9</vt:lpstr>
      <vt:lpstr>'Div 3'!OSRRefD21_8x_9</vt:lpstr>
      <vt:lpstr>'Div 4'!OSRRefD21_8x_9</vt:lpstr>
      <vt:lpstr>'Div 5'!OSRRefD21_8x_9</vt:lpstr>
      <vt:lpstr>'Div 6'!OSRRefD21_8x_9</vt:lpstr>
      <vt:lpstr>Summary!OSRRefD21_8x_9</vt:lpstr>
      <vt:lpstr>'201'!OSRRefD21_9_0x</vt:lpstr>
      <vt:lpstr>'202'!OSRRefD21_9_0x</vt:lpstr>
      <vt:lpstr>'203'!OSRRefD21_9_0x</vt:lpstr>
      <vt:lpstr>'300'!OSRRefD21_9_0x</vt:lpstr>
      <vt:lpstr>'300 &amp; 317'!OSRRefD21_9_0x</vt:lpstr>
      <vt:lpstr>'301'!OSRRefD21_9_0x</vt:lpstr>
      <vt:lpstr>'307'!OSRRefD21_9_0x</vt:lpstr>
      <vt:lpstr>'308'!OSRRefD21_9_0x</vt:lpstr>
      <vt:lpstr>'309'!OSRRefD21_9_0x</vt:lpstr>
      <vt:lpstr>'310'!OSRRefD21_9_0x</vt:lpstr>
      <vt:lpstr>'310 &amp; 491'!OSRRefD21_9_0x</vt:lpstr>
      <vt:lpstr>'311'!OSRRefD21_9_0x</vt:lpstr>
      <vt:lpstr>'315'!OSRRefD21_9_0x</vt:lpstr>
      <vt:lpstr>'316'!OSRRefD21_9_0x</vt:lpstr>
      <vt:lpstr>'317'!OSRRefD21_9_0x</vt:lpstr>
      <vt:lpstr>'321'!OSRRefD21_9_0x</vt:lpstr>
      <vt:lpstr>'325'!OSRRefD21_9_0x</vt:lpstr>
      <vt:lpstr>'326'!OSRRefD21_9_0x</vt:lpstr>
      <vt:lpstr>'331'!OSRRefD21_9_0x</vt:lpstr>
      <vt:lpstr>'332'!OSRRefD21_9_0x</vt:lpstr>
      <vt:lpstr>'333'!OSRRefD21_9_0x</vt:lpstr>
      <vt:lpstr>'405'!OSRRefD21_9_0x</vt:lpstr>
      <vt:lpstr>'411'!OSRRefD21_9_0x</vt:lpstr>
      <vt:lpstr>'415'!OSRRefD21_9_0x</vt:lpstr>
      <vt:lpstr>'418'!OSRRefD21_9_0x</vt:lpstr>
      <vt:lpstr>'433'!OSRRefD21_9_0x</vt:lpstr>
      <vt:lpstr>'444'!OSRRefD21_9_0x</vt:lpstr>
      <vt:lpstr>'450'!OSRRefD21_9_0x</vt:lpstr>
      <vt:lpstr>'491'!OSRRefD21_9_0x</vt:lpstr>
      <vt:lpstr>'492'!OSRRefD21_9_0x</vt:lpstr>
      <vt:lpstr>'501'!OSRRefD21_9_0x</vt:lpstr>
      <vt:lpstr>'Div 2'!OSRRefD21_9_0x</vt:lpstr>
      <vt:lpstr>'Div 3'!OSRRefD21_9_0x</vt:lpstr>
      <vt:lpstr>'Div 4'!OSRRefD21_9_0x</vt:lpstr>
      <vt:lpstr>'Div 5'!OSRRefD21_9_0x</vt:lpstr>
      <vt:lpstr>'Div 6'!OSRRefD21_9_0x</vt:lpstr>
      <vt:lpstr>Summary!OSRRefD21_9_0x</vt:lpstr>
      <vt:lpstr>'201'!OSRRefD21_9_1x</vt:lpstr>
      <vt:lpstr>'202'!OSRRefD21_9_1x</vt:lpstr>
      <vt:lpstr>'203'!OSRRefD21_9_1x</vt:lpstr>
      <vt:lpstr>'307'!OSRRefD21_9_1x</vt:lpstr>
      <vt:lpstr>'308'!OSRRefD21_9_1x</vt:lpstr>
      <vt:lpstr>'309'!OSRRefD21_9_1x</vt:lpstr>
      <vt:lpstr>'311'!OSRRefD21_9_1x</vt:lpstr>
      <vt:lpstr>'317'!OSRRefD21_9_1x</vt:lpstr>
      <vt:lpstr>'321'!OSRRefD21_9_1x</vt:lpstr>
      <vt:lpstr>'405'!OSRRefD21_9_1x</vt:lpstr>
      <vt:lpstr>'411'!OSRRefD21_9_1x</vt:lpstr>
      <vt:lpstr>'418'!OSRRefD21_9_1x</vt:lpstr>
      <vt:lpstr>'501'!OSRRefD21_9_1x</vt:lpstr>
      <vt:lpstr>'Div 5'!OSRRefD21_9_1x</vt:lpstr>
      <vt:lpstr>'Div 6'!OSRRefD21_9_1x</vt:lpstr>
      <vt:lpstr>'201'!OSRRefD21_9_2x</vt:lpstr>
      <vt:lpstr>'308'!OSRRefD21_9_2x</vt:lpstr>
      <vt:lpstr>'311'!OSRRefD21_9_2x</vt:lpstr>
      <vt:lpstr>'321'!OSRRefD21_9_2x</vt:lpstr>
      <vt:lpstr>'418'!OSRRefD21_9_2x</vt:lpstr>
      <vt:lpstr>'501'!OSRRefD21_9_2x</vt:lpstr>
      <vt:lpstr>'Div 5'!OSRRefD21_9_2x</vt:lpstr>
      <vt:lpstr>'201'!OSRRefD21_9x_0</vt:lpstr>
      <vt:lpstr>'202'!OSRRefD21_9x_0</vt:lpstr>
      <vt:lpstr>'203'!OSRRefD21_9x_0</vt:lpstr>
      <vt:lpstr>'300'!OSRRefD21_9x_0</vt:lpstr>
      <vt:lpstr>'300 &amp; 317'!OSRRefD21_9x_0</vt:lpstr>
      <vt:lpstr>'301'!OSRRefD21_9x_0</vt:lpstr>
      <vt:lpstr>'307'!OSRRefD21_9x_0</vt:lpstr>
      <vt:lpstr>'308'!OSRRefD21_9x_0</vt:lpstr>
      <vt:lpstr>'309'!OSRRefD21_9x_0</vt:lpstr>
      <vt:lpstr>'310'!OSRRefD21_9x_0</vt:lpstr>
      <vt:lpstr>'310 &amp; 491'!OSRRefD21_9x_0</vt:lpstr>
      <vt:lpstr>'311'!OSRRefD21_9x_0</vt:lpstr>
      <vt:lpstr>'315'!OSRRefD21_9x_0</vt:lpstr>
      <vt:lpstr>'316'!OSRRefD21_9x_0</vt:lpstr>
      <vt:lpstr>'317'!OSRRefD21_9x_0</vt:lpstr>
      <vt:lpstr>'321'!OSRRefD21_9x_0</vt:lpstr>
      <vt:lpstr>'325'!OSRRefD21_9x_0</vt:lpstr>
      <vt:lpstr>'326'!OSRRefD21_9x_0</vt:lpstr>
      <vt:lpstr>'331'!OSRRefD21_9x_0</vt:lpstr>
      <vt:lpstr>'332'!OSRRefD21_9x_0</vt:lpstr>
      <vt:lpstr>'333'!OSRRefD21_9x_0</vt:lpstr>
      <vt:lpstr>'405'!OSRRefD21_9x_0</vt:lpstr>
      <vt:lpstr>'411'!OSRRefD21_9x_0</vt:lpstr>
      <vt:lpstr>'415'!OSRRefD21_9x_0</vt:lpstr>
      <vt:lpstr>'418'!OSRRefD21_9x_0</vt:lpstr>
      <vt:lpstr>'433'!OSRRefD21_9x_0</vt:lpstr>
      <vt:lpstr>'444'!OSRRefD21_9x_0</vt:lpstr>
      <vt:lpstr>'450'!OSRRefD21_9x_0</vt:lpstr>
      <vt:lpstr>'491'!OSRRefD21_9x_0</vt:lpstr>
      <vt:lpstr>'492'!OSRRefD21_9x_0</vt:lpstr>
      <vt:lpstr>'501'!OSRRefD21_9x_0</vt:lpstr>
      <vt:lpstr>'Div 2'!OSRRefD21_9x_0</vt:lpstr>
      <vt:lpstr>'Div 3'!OSRRefD21_9x_0</vt:lpstr>
      <vt:lpstr>'Div 4'!OSRRefD21_9x_0</vt:lpstr>
      <vt:lpstr>'Div 5'!OSRRefD21_9x_0</vt:lpstr>
      <vt:lpstr>'Div 6'!OSRRefD21_9x_0</vt:lpstr>
      <vt:lpstr>Summary!OSRRefD21_9x_0</vt:lpstr>
      <vt:lpstr>'201'!OSRRefD21_9x_1</vt:lpstr>
      <vt:lpstr>'202'!OSRRefD21_9x_1</vt:lpstr>
      <vt:lpstr>'203'!OSRRefD21_9x_1</vt:lpstr>
      <vt:lpstr>'300'!OSRRefD21_9x_1</vt:lpstr>
      <vt:lpstr>'300 &amp; 317'!OSRRefD21_9x_1</vt:lpstr>
      <vt:lpstr>'301'!OSRRefD21_9x_1</vt:lpstr>
      <vt:lpstr>'307'!OSRRefD21_9x_1</vt:lpstr>
      <vt:lpstr>'308'!OSRRefD21_9x_1</vt:lpstr>
      <vt:lpstr>'309'!OSRRefD21_9x_1</vt:lpstr>
      <vt:lpstr>'310'!OSRRefD21_9x_1</vt:lpstr>
      <vt:lpstr>'310 &amp; 491'!OSRRefD21_9x_1</vt:lpstr>
      <vt:lpstr>'311'!OSRRefD21_9x_1</vt:lpstr>
      <vt:lpstr>'315'!OSRRefD21_9x_1</vt:lpstr>
      <vt:lpstr>'316'!OSRRefD21_9x_1</vt:lpstr>
      <vt:lpstr>'317'!OSRRefD21_9x_1</vt:lpstr>
      <vt:lpstr>'321'!OSRRefD21_9x_1</vt:lpstr>
      <vt:lpstr>'325'!OSRRefD21_9x_1</vt:lpstr>
      <vt:lpstr>'326'!OSRRefD21_9x_1</vt:lpstr>
      <vt:lpstr>'331'!OSRRefD21_9x_1</vt:lpstr>
      <vt:lpstr>'332'!OSRRefD21_9x_1</vt:lpstr>
      <vt:lpstr>'333'!OSRRefD21_9x_1</vt:lpstr>
      <vt:lpstr>'405'!OSRRefD21_9x_1</vt:lpstr>
      <vt:lpstr>'411'!OSRRefD21_9x_1</vt:lpstr>
      <vt:lpstr>'415'!OSRRefD21_9x_1</vt:lpstr>
      <vt:lpstr>'418'!OSRRefD21_9x_1</vt:lpstr>
      <vt:lpstr>'433'!OSRRefD21_9x_1</vt:lpstr>
      <vt:lpstr>'444'!OSRRefD21_9x_1</vt:lpstr>
      <vt:lpstr>'450'!OSRRefD21_9x_1</vt:lpstr>
      <vt:lpstr>'491'!OSRRefD21_9x_1</vt:lpstr>
      <vt:lpstr>'492'!OSRRefD21_9x_1</vt:lpstr>
      <vt:lpstr>'501'!OSRRefD21_9x_1</vt:lpstr>
      <vt:lpstr>'Div 2'!OSRRefD21_9x_1</vt:lpstr>
      <vt:lpstr>'Div 3'!OSRRefD21_9x_1</vt:lpstr>
      <vt:lpstr>'Div 4'!OSRRefD21_9x_1</vt:lpstr>
      <vt:lpstr>'Div 5'!OSRRefD21_9x_1</vt:lpstr>
      <vt:lpstr>'Div 6'!OSRRefD21_9x_1</vt:lpstr>
      <vt:lpstr>Summary!OSRRefD21_9x_1</vt:lpstr>
      <vt:lpstr>'201'!OSRRefD21_9x_2</vt:lpstr>
      <vt:lpstr>'202'!OSRRefD21_9x_2</vt:lpstr>
      <vt:lpstr>'203'!OSRRefD21_9x_2</vt:lpstr>
      <vt:lpstr>'300'!OSRRefD21_9x_2</vt:lpstr>
      <vt:lpstr>'300 &amp; 317'!OSRRefD21_9x_2</vt:lpstr>
      <vt:lpstr>'301'!OSRRefD21_9x_2</vt:lpstr>
      <vt:lpstr>'307'!OSRRefD21_9x_2</vt:lpstr>
      <vt:lpstr>'308'!OSRRefD21_9x_2</vt:lpstr>
      <vt:lpstr>'309'!OSRRefD21_9x_2</vt:lpstr>
      <vt:lpstr>'310'!OSRRefD21_9x_2</vt:lpstr>
      <vt:lpstr>'310 &amp; 491'!OSRRefD21_9x_2</vt:lpstr>
      <vt:lpstr>'311'!OSRRefD21_9x_2</vt:lpstr>
      <vt:lpstr>'315'!OSRRefD21_9x_2</vt:lpstr>
      <vt:lpstr>'316'!OSRRefD21_9x_2</vt:lpstr>
      <vt:lpstr>'317'!OSRRefD21_9x_2</vt:lpstr>
      <vt:lpstr>'321'!OSRRefD21_9x_2</vt:lpstr>
      <vt:lpstr>'325'!OSRRefD21_9x_2</vt:lpstr>
      <vt:lpstr>'326'!OSRRefD21_9x_2</vt:lpstr>
      <vt:lpstr>'331'!OSRRefD21_9x_2</vt:lpstr>
      <vt:lpstr>'332'!OSRRefD21_9x_2</vt:lpstr>
      <vt:lpstr>'333'!OSRRefD21_9x_2</vt:lpstr>
      <vt:lpstr>'405'!OSRRefD21_9x_2</vt:lpstr>
      <vt:lpstr>'411'!OSRRefD21_9x_2</vt:lpstr>
      <vt:lpstr>'415'!OSRRefD21_9x_2</vt:lpstr>
      <vt:lpstr>'418'!OSRRefD21_9x_2</vt:lpstr>
      <vt:lpstr>'433'!OSRRefD21_9x_2</vt:lpstr>
      <vt:lpstr>'444'!OSRRefD21_9x_2</vt:lpstr>
      <vt:lpstr>'450'!OSRRefD21_9x_2</vt:lpstr>
      <vt:lpstr>'491'!OSRRefD21_9x_2</vt:lpstr>
      <vt:lpstr>'492'!OSRRefD21_9x_2</vt:lpstr>
      <vt:lpstr>'501'!OSRRefD21_9x_2</vt:lpstr>
      <vt:lpstr>'Div 2'!OSRRefD21_9x_2</vt:lpstr>
      <vt:lpstr>'Div 3'!OSRRefD21_9x_2</vt:lpstr>
      <vt:lpstr>'Div 4'!OSRRefD21_9x_2</vt:lpstr>
      <vt:lpstr>'Div 5'!OSRRefD21_9x_2</vt:lpstr>
      <vt:lpstr>'Div 6'!OSRRefD21_9x_2</vt:lpstr>
      <vt:lpstr>Summary!OSRRefD21_9x_2</vt:lpstr>
      <vt:lpstr>'201'!OSRRefD21_9x_3</vt:lpstr>
      <vt:lpstr>'202'!OSRRefD21_9x_3</vt:lpstr>
      <vt:lpstr>'203'!OSRRefD21_9x_3</vt:lpstr>
      <vt:lpstr>'300'!OSRRefD21_9x_3</vt:lpstr>
      <vt:lpstr>'300 &amp; 317'!OSRRefD21_9x_3</vt:lpstr>
      <vt:lpstr>'301'!OSRRefD21_9x_3</vt:lpstr>
      <vt:lpstr>'307'!OSRRefD21_9x_3</vt:lpstr>
      <vt:lpstr>'308'!OSRRefD21_9x_3</vt:lpstr>
      <vt:lpstr>'309'!OSRRefD21_9x_3</vt:lpstr>
      <vt:lpstr>'310'!OSRRefD21_9x_3</vt:lpstr>
      <vt:lpstr>'310 &amp; 491'!OSRRefD21_9x_3</vt:lpstr>
      <vt:lpstr>'311'!OSRRefD21_9x_3</vt:lpstr>
      <vt:lpstr>'315'!OSRRefD21_9x_3</vt:lpstr>
      <vt:lpstr>'316'!OSRRefD21_9x_3</vt:lpstr>
      <vt:lpstr>'317'!OSRRefD21_9x_3</vt:lpstr>
      <vt:lpstr>'321'!OSRRefD21_9x_3</vt:lpstr>
      <vt:lpstr>'325'!OSRRefD21_9x_3</vt:lpstr>
      <vt:lpstr>'326'!OSRRefD21_9x_3</vt:lpstr>
      <vt:lpstr>'331'!OSRRefD21_9x_3</vt:lpstr>
      <vt:lpstr>'332'!OSRRefD21_9x_3</vt:lpstr>
      <vt:lpstr>'333'!OSRRefD21_9x_3</vt:lpstr>
      <vt:lpstr>'405'!OSRRefD21_9x_3</vt:lpstr>
      <vt:lpstr>'411'!OSRRefD21_9x_3</vt:lpstr>
      <vt:lpstr>'415'!OSRRefD21_9x_3</vt:lpstr>
      <vt:lpstr>'418'!OSRRefD21_9x_3</vt:lpstr>
      <vt:lpstr>'433'!OSRRefD21_9x_3</vt:lpstr>
      <vt:lpstr>'444'!OSRRefD21_9x_3</vt:lpstr>
      <vt:lpstr>'450'!OSRRefD21_9x_3</vt:lpstr>
      <vt:lpstr>'491'!OSRRefD21_9x_3</vt:lpstr>
      <vt:lpstr>'492'!OSRRefD21_9x_3</vt:lpstr>
      <vt:lpstr>'501'!OSRRefD21_9x_3</vt:lpstr>
      <vt:lpstr>'Div 2'!OSRRefD21_9x_3</vt:lpstr>
      <vt:lpstr>'Div 3'!OSRRefD21_9x_3</vt:lpstr>
      <vt:lpstr>'Div 4'!OSRRefD21_9x_3</vt:lpstr>
      <vt:lpstr>'Div 5'!OSRRefD21_9x_3</vt:lpstr>
      <vt:lpstr>'Div 6'!OSRRefD21_9x_3</vt:lpstr>
      <vt:lpstr>Summary!OSRRefD21_9x_3</vt:lpstr>
      <vt:lpstr>'201'!OSRRefD21_9x_4</vt:lpstr>
      <vt:lpstr>'202'!OSRRefD21_9x_4</vt:lpstr>
      <vt:lpstr>'203'!OSRRefD21_9x_4</vt:lpstr>
      <vt:lpstr>'300'!OSRRefD21_9x_4</vt:lpstr>
      <vt:lpstr>'300 &amp; 317'!OSRRefD21_9x_4</vt:lpstr>
      <vt:lpstr>'301'!OSRRefD21_9x_4</vt:lpstr>
      <vt:lpstr>'307'!OSRRefD21_9x_4</vt:lpstr>
      <vt:lpstr>'308'!OSRRefD21_9x_4</vt:lpstr>
      <vt:lpstr>'309'!OSRRefD21_9x_4</vt:lpstr>
      <vt:lpstr>'310'!OSRRefD21_9x_4</vt:lpstr>
      <vt:lpstr>'310 &amp; 491'!OSRRefD21_9x_4</vt:lpstr>
      <vt:lpstr>'311'!OSRRefD21_9x_4</vt:lpstr>
      <vt:lpstr>'315'!OSRRefD21_9x_4</vt:lpstr>
      <vt:lpstr>'316'!OSRRefD21_9x_4</vt:lpstr>
      <vt:lpstr>'317'!OSRRefD21_9x_4</vt:lpstr>
      <vt:lpstr>'321'!OSRRefD21_9x_4</vt:lpstr>
      <vt:lpstr>'325'!OSRRefD21_9x_4</vt:lpstr>
      <vt:lpstr>'326'!OSRRefD21_9x_4</vt:lpstr>
      <vt:lpstr>'331'!OSRRefD21_9x_4</vt:lpstr>
      <vt:lpstr>'332'!OSRRefD21_9x_4</vt:lpstr>
      <vt:lpstr>'333'!OSRRefD21_9x_4</vt:lpstr>
      <vt:lpstr>'405'!OSRRefD21_9x_4</vt:lpstr>
      <vt:lpstr>'411'!OSRRefD21_9x_4</vt:lpstr>
      <vt:lpstr>'415'!OSRRefD21_9x_4</vt:lpstr>
      <vt:lpstr>'418'!OSRRefD21_9x_4</vt:lpstr>
      <vt:lpstr>'433'!OSRRefD21_9x_4</vt:lpstr>
      <vt:lpstr>'444'!OSRRefD21_9x_4</vt:lpstr>
      <vt:lpstr>'450'!OSRRefD21_9x_4</vt:lpstr>
      <vt:lpstr>'491'!OSRRefD21_9x_4</vt:lpstr>
      <vt:lpstr>'492'!OSRRefD21_9x_4</vt:lpstr>
      <vt:lpstr>'501'!OSRRefD21_9x_4</vt:lpstr>
      <vt:lpstr>'Div 2'!OSRRefD21_9x_4</vt:lpstr>
      <vt:lpstr>'Div 3'!OSRRefD21_9x_4</vt:lpstr>
      <vt:lpstr>'Div 4'!OSRRefD21_9x_4</vt:lpstr>
      <vt:lpstr>'Div 5'!OSRRefD21_9x_4</vt:lpstr>
      <vt:lpstr>'Div 6'!OSRRefD21_9x_4</vt:lpstr>
      <vt:lpstr>Summary!OSRRefD21_9x_4</vt:lpstr>
      <vt:lpstr>'201'!OSRRefD21_9x_5</vt:lpstr>
      <vt:lpstr>'202'!OSRRefD21_9x_5</vt:lpstr>
      <vt:lpstr>'203'!OSRRefD21_9x_5</vt:lpstr>
      <vt:lpstr>'300'!OSRRefD21_9x_5</vt:lpstr>
      <vt:lpstr>'300 &amp; 317'!OSRRefD21_9x_5</vt:lpstr>
      <vt:lpstr>'301'!OSRRefD21_9x_5</vt:lpstr>
      <vt:lpstr>'307'!OSRRefD21_9x_5</vt:lpstr>
      <vt:lpstr>'308'!OSRRefD21_9x_5</vt:lpstr>
      <vt:lpstr>'309'!OSRRefD21_9x_5</vt:lpstr>
      <vt:lpstr>'310'!OSRRefD21_9x_5</vt:lpstr>
      <vt:lpstr>'310 &amp; 491'!OSRRefD21_9x_5</vt:lpstr>
      <vt:lpstr>'311'!OSRRefD21_9x_5</vt:lpstr>
      <vt:lpstr>'315'!OSRRefD21_9x_5</vt:lpstr>
      <vt:lpstr>'316'!OSRRefD21_9x_5</vt:lpstr>
      <vt:lpstr>'317'!OSRRefD21_9x_5</vt:lpstr>
      <vt:lpstr>'321'!OSRRefD21_9x_5</vt:lpstr>
      <vt:lpstr>'325'!OSRRefD21_9x_5</vt:lpstr>
      <vt:lpstr>'326'!OSRRefD21_9x_5</vt:lpstr>
      <vt:lpstr>'331'!OSRRefD21_9x_5</vt:lpstr>
      <vt:lpstr>'332'!OSRRefD21_9x_5</vt:lpstr>
      <vt:lpstr>'333'!OSRRefD21_9x_5</vt:lpstr>
      <vt:lpstr>'405'!OSRRefD21_9x_5</vt:lpstr>
      <vt:lpstr>'411'!OSRRefD21_9x_5</vt:lpstr>
      <vt:lpstr>'415'!OSRRefD21_9x_5</vt:lpstr>
      <vt:lpstr>'418'!OSRRefD21_9x_5</vt:lpstr>
      <vt:lpstr>'433'!OSRRefD21_9x_5</vt:lpstr>
      <vt:lpstr>'444'!OSRRefD21_9x_5</vt:lpstr>
      <vt:lpstr>'450'!OSRRefD21_9x_5</vt:lpstr>
      <vt:lpstr>'491'!OSRRefD21_9x_5</vt:lpstr>
      <vt:lpstr>'492'!OSRRefD21_9x_5</vt:lpstr>
      <vt:lpstr>'501'!OSRRefD21_9x_5</vt:lpstr>
      <vt:lpstr>'Div 2'!OSRRefD21_9x_5</vt:lpstr>
      <vt:lpstr>'Div 3'!OSRRefD21_9x_5</vt:lpstr>
      <vt:lpstr>'Div 4'!OSRRefD21_9x_5</vt:lpstr>
      <vt:lpstr>'Div 5'!OSRRefD21_9x_5</vt:lpstr>
      <vt:lpstr>'Div 6'!OSRRefD21_9x_5</vt:lpstr>
      <vt:lpstr>Summary!OSRRefD21_9x_5</vt:lpstr>
      <vt:lpstr>'201'!OSRRefD21_9x_6</vt:lpstr>
      <vt:lpstr>'202'!OSRRefD21_9x_6</vt:lpstr>
      <vt:lpstr>'203'!OSRRefD21_9x_6</vt:lpstr>
      <vt:lpstr>'300'!OSRRefD21_9x_6</vt:lpstr>
      <vt:lpstr>'300 &amp; 317'!OSRRefD21_9x_6</vt:lpstr>
      <vt:lpstr>'301'!OSRRefD21_9x_6</vt:lpstr>
      <vt:lpstr>'307'!OSRRefD21_9x_6</vt:lpstr>
      <vt:lpstr>'308'!OSRRefD21_9x_6</vt:lpstr>
      <vt:lpstr>'309'!OSRRefD21_9x_6</vt:lpstr>
      <vt:lpstr>'310'!OSRRefD21_9x_6</vt:lpstr>
      <vt:lpstr>'310 &amp; 491'!OSRRefD21_9x_6</vt:lpstr>
      <vt:lpstr>'311'!OSRRefD21_9x_6</vt:lpstr>
      <vt:lpstr>'315'!OSRRefD21_9x_6</vt:lpstr>
      <vt:lpstr>'316'!OSRRefD21_9x_6</vt:lpstr>
      <vt:lpstr>'317'!OSRRefD21_9x_6</vt:lpstr>
      <vt:lpstr>'321'!OSRRefD21_9x_6</vt:lpstr>
      <vt:lpstr>'325'!OSRRefD21_9x_6</vt:lpstr>
      <vt:lpstr>'326'!OSRRefD21_9x_6</vt:lpstr>
      <vt:lpstr>'331'!OSRRefD21_9x_6</vt:lpstr>
      <vt:lpstr>'332'!OSRRefD21_9x_6</vt:lpstr>
      <vt:lpstr>'333'!OSRRefD21_9x_6</vt:lpstr>
      <vt:lpstr>'405'!OSRRefD21_9x_6</vt:lpstr>
      <vt:lpstr>'411'!OSRRefD21_9x_6</vt:lpstr>
      <vt:lpstr>'415'!OSRRefD21_9x_6</vt:lpstr>
      <vt:lpstr>'418'!OSRRefD21_9x_6</vt:lpstr>
      <vt:lpstr>'433'!OSRRefD21_9x_6</vt:lpstr>
      <vt:lpstr>'444'!OSRRefD21_9x_6</vt:lpstr>
      <vt:lpstr>'450'!OSRRefD21_9x_6</vt:lpstr>
      <vt:lpstr>'491'!OSRRefD21_9x_6</vt:lpstr>
      <vt:lpstr>'492'!OSRRefD21_9x_6</vt:lpstr>
      <vt:lpstr>'501'!OSRRefD21_9x_6</vt:lpstr>
      <vt:lpstr>'Div 2'!OSRRefD21_9x_6</vt:lpstr>
      <vt:lpstr>'Div 3'!OSRRefD21_9x_6</vt:lpstr>
      <vt:lpstr>'Div 4'!OSRRefD21_9x_6</vt:lpstr>
      <vt:lpstr>'Div 5'!OSRRefD21_9x_6</vt:lpstr>
      <vt:lpstr>'Div 6'!OSRRefD21_9x_6</vt:lpstr>
      <vt:lpstr>Summary!OSRRefD21_9x_6</vt:lpstr>
      <vt:lpstr>'201'!OSRRefD21_9x_7</vt:lpstr>
      <vt:lpstr>'202'!OSRRefD21_9x_7</vt:lpstr>
      <vt:lpstr>'203'!OSRRefD21_9x_7</vt:lpstr>
      <vt:lpstr>'300'!OSRRefD21_9x_7</vt:lpstr>
      <vt:lpstr>'300 &amp; 317'!OSRRefD21_9x_7</vt:lpstr>
      <vt:lpstr>'301'!OSRRefD21_9x_7</vt:lpstr>
      <vt:lpstr>'307'!OSRRefD21_9x_7</vt:lpstr>
      <vt:lpstr>'308'!OSRRefD21_9x_7</vt:lpstr>
      <vt:lpstr>'309'!OSRRefD21_9x_7</vt:lpstr>
      <vt:lpstr>'310'!OSRRefD21_9x_7</vt:lpstr>
      <vt:lpstr>'310 &amp; 491'!OSRRefD21_9x_7</vt:lpstr>
      <vt:lpstr>'311'!OSRRefD21_9x_7</vt:lpstr>
      <vt:lpstr>'315'!OSRRefD21_9x_7</vt:lpstr>
      <vt:lpstr>'316'!OSRRefD21_9x_7</vt:lpstr>
      <vt:lpstr>'317'!OSRRefD21_9x_7</vt:lpstr>
      <vt:lpstr>'321'!OSRRefD21_9x_7</vt:lpstr>
      <vt:lpstr>'325'!OSRRefD21_9x_7</vt:lpstr>
      <vt:lpstr>'326'!OSRRefD21_9x_7</vt:lpstr>
      <vt:lpstr>'331'!OSRRefD21_9x_7</vt:lpstr>
      <vt:lpstr>'332'!OSRRefD21_9x_7</vt:lpstr>
      <vt:lpstr>'333'!OSRRefD21_9x_7</vt:lpstr>
      <vt:lpstr>'405'!OSRRefD21_9x_7</vt:lpstr>
      <vt:lpstr>'411'!OSRRefD21_9x_7</vt:lpstr>
      <vt:lpstr>'415'!OSRRefD21_9x_7</vt:lpstr>
      <vt:lpstr>'418'!OSRRefD21_9x_7</vt:lpstr>
      <vt:lpstr>'433'!OSRRefD21_9x_7</vt:lpstr>
      <vt:lpstr>'444'!OSRRefD21_9x_7</vt:lpstr>
      <vt:lpstr>'450'!OSRRefD21_9x_7</vt:lpstr>
      <vt:lpstr>'491'!OSRRefD21_9x_7</vt:lpstr>
      <vt:lpstr>'492'!OSRRefD21_9x_7</vt:lpstr>
      <vt:lpstr>'501'!OSRRefD21_9x_7</vt:lpstr>
      <vt:lpstr>'Div 2'!OSRRefD21_9x_7</vt:lpstr>
      <vt:lpstr>'Div 3'!OSRRefD21_9x_7</vt:lpstr>
      <vt:lpstr>'Div 4'!OSRRefD21_9x_7</vt:lpstr>
      <vt:lpstr>'Div 5'!OSRRefD21_9x_7</vt:lpstr>
      <vt:lpstr>'Div 6'!OSRRefD21_9x_7</vt:lpstr>
      <vt:lpstr>Summary!OSRRefD21_9x_7</vt:lpstr>
      <vt:lpstr>'201'!OSRRefD21_9x_8</vt:lpstr>
      <vt:lpstr>'202'!OSRRefD21_9x_8</vt:lpstr>
      <vt:lpstr>'203'!OSRRefD21_9x_8</vt:lpstr>
      <vt:lpstr>'300'!OSRRefD21_9x_8</vt:lpstr>
      <vt:lpstr>'300 &amp; 317'!OSRRefD21_9x_8</vt:lpstr>
      <vt:lpstr>'301'!OSRRefD21_9x_8</vt:lpstr>
      <vt:lpstr>'307'!OSRRefD21_9x_8</vt:lpstr>
      <vt:lpstr>'308'!OSRRefD21_9x_8</vt:lpstr>
      <vt:lpstr>'309'!OSRRefD21_9x_8</vt:lpstr>
      <vt:lpstr>'310'!OSRRefD21_9x_8</vt:lpstr>
      <vt:lpstr>'310 &amp; 491'!OSRRefD21_9x_8</vt:lpstr>
      <vt:lpstr>'311'!OSRRefD21_9x_8</vt:lpstr>
      <vt:lpstr>'315'!OSRRefD21_9x_8</vt:lpstr>
      <vt:lpstr>'316'!OSRRefD21_9x_8</vt:lpstr>
      <vt:lpstr>'317'!OSRRefD21_9x_8</vt:lpstr>
      <vt:lpstr>'321'!OSRRefD21_9x_8</vt:lpstr>
      <vt:lpstr>'325'!OSRRefD21_9x_8</vt:lpstr>
      <vt:lpstr>'326'!OSRRefD21_9x_8</vt:lpstr>
      <vt:lpstr>'331'!OSRRefD21_9x_8</vt:lpstr>
      <vt:lpstr>'332'!OSRRefD21_9x_8</vt:lpstr>
      <vt:lpstr>'333'!OSRRefD21_9x_8</vt:lpstr>
      <vt:lpstr>'405'!OSRRefD21_9x_8</vt:lpstr>
      <vt:lpstr>'411'!OSRRefD21_9x_8</vt:lpstr>
      <vt:lpstr>'415'!OSRRefD21_9x_8</vt:lpstr>
      <vt:lpstr>'418'!OSRRefD21_9x_8</vt:lpstr>
      <vt:lpstr>'433'!OSRRefD21_9x_8</vt:lpstr>
      <vt:lpstr>'444'!OSRRefD21_9x_8</vt:lpstr>
      <vt:lpstr>'450'!OSRRefD21_9x_8</vt:lpstr>
      <vt:lpstr>'491'!OSRRefD21_9x_8</vt:lpstr>
      <vt:lpstr>'492'!OSRRefD21_9x_8</vt:lpstr>
      <vt:lpstr>'501'!OSRRefD21_9x_8</vt:lpstr>
      <vt:lpstr>'Div 2'!OSRRefD21_9x_8</vt:lpstr>
      <vt:lpstr>'Div 3'!OSRRefD21_9x_8</vt:lpstr>
      <vt:lpstr>'Div 4'!OSRRefD21_9x_8</vt:lpstr>
      <vt:lpstr>'Div 5'!OSRRefD21_9x_8</vt:lpstr>
      <vt:lpstr>'Div 6'!OSRRefD21_9x_8</vt:lpstr>
      <vt:lpstr>Summary!OSRRefD21_9x_8</vt:lpstr>
      <vt:lpstr>'201'!OSRRefD21_9x_9</vt:lpstr>
      <vt:lpstr>'202'!OSRRefD21_9x_9</vt:lpstr>
      <vt:lpstr>'203'!OSRRefD21_9x_9</vt:lpstr>
      <vt:lpstr>'300'!OSRRefD21_9x_9</vt:lpstr>
      <vt:lpstr>'300 &amp; 317'!OSRRefD21_9x_9</vt:lpstr>
      <vt:lpstr>'301'!OSRRefD21_9x_9</vt:lpstr>
      <vt:lpstr>'307'!OSRRefD21_9x_9</vt:lpstr>
      <vt:lpstr>'308'!OSRRefD21_9x_9</vt:lpstr>
      <vt:lpstr>'309'!OSRRefD21_9x_9</vt:lpstr>
      <vt:lpstr>'310'!OSRRefD21_9x_9</vt:lpstr>
      <vt:lpstr>'310 &amp; 491'!OSRRefD21_9x_9</vt:lpstr>
      <vt:lpstr>'311'!OSRRefD21_9x_9</vt:lpstr>
      <vt:lpstr>'315'!OSRRefD21_9x_9</vt:lpstr>
      <vt:lpstr>'316'!OSRRefD21_9x_9</vt:lpstr>
      <vt:lpstr>'317'!OSRRefD21_9x_9</vt:lpstr>
      <vt:lpstr>'321'!OSRRefD21_9x_9</vt:lpstr>
      <vt:lpstr>'325'!OSRRefD21_9x_9</vt:lpstr>
      <vt:lpstr>'326'!OSRRefD21_9x_9</vt:lpstr>
      <vt:lpstr>'331'!OSRRefD21_9x_9</vt:lpstr>
      <vt:lpstr>'332'!OSRRefD21_9x_9</vt:lpstr>
      <vt:lpstr>'333'!OSRRefD21_9x_9</vt:lpstr>
      <vt:lpstr>'405'!OSRRefD21_9x_9</vt:lpstr>
      <vt:lpstr>'411'!OSRRefD21_9x_9</vt:lpstr>
      <vt:lpstr>'415'!OSRRefD21_9x_9</vt:lpstr>
      <vt:lpstr>'418'!OSRRefD21_9x_9</vt:lpstr>
      <vt:lpstr>'433'!OSRRefD21_9x_9</vt:lpstr>
      <vt:lpstr>'444'!OSRRefD21_9x_9</vt:lpstr>
      <vt:lpstr>'450'!OSRRefD21_9x_9</vt:lpstr>
      <vt:lpstr>'491'!OSRRefD21_9x_9</vt:lpstr>
      <vt:lpstr>'492'!OSRRefD21_9x_9</vt:lpstr>
      <vt:lpstr>'501'!OSRRefD21_9x_9</vt:lpstr>
      <vt:lpstr>'Div 2'!OSRRefD21_9x_9</vt:lpstr>
      <vt:lpstr>'Div 3'!OSRRefD21_9x_9</vt:lpstr>
      <vt:lpstr>'Div 4'!OSRRefD21_9x_9</vt:lpstr>
      <vt:lpstr>'Div 5'!OSRRefD21_9x_9</vt:lpstr>
      <vt:lpstr>'Div 6'!OSRRefD21_9x_9</vt:lpstr>
      <vt:lpstr>Summary!OSRRefD21_9x_9</vt:lpstr>
      <vt:lpstr>'100'!OSRRefD23_0x</vt:lpstr>
      <vt:lpstr>'200'!OSRRefD23_0x</vt:lpstr>
      <vt:lpstr>'201'!OSRRefD23_0x</vt:lpstr>
      <vt:lpstr>'202'!OSRRefD23_0x</vt:lpstr>
      <vt:lpstr>'203'!OSRRefD23_0x</vt:lpstr>
      <vt:lpstr>'204'!OSRRefD23_0x</vt:lpstr>
      <vt:lpstr>'205'!OSRRefD23_0x</vt:lpstr>
      <vt:lpstr>'206'!OSRRefD23_0x</vt:lpstr>
      <vt:lpstr>'300'!OSRRefD23_0x</vt:lpstr>
      <vt:lpstr>'300 &amp; 317'!OSRRefD23_0x</vt:lpstr>
      <vt:lpstr>'301'!OSRRefD23_0x</vt:lpstr>
      <vt:lpstr>'307'!OSRRefD23_0x</vt:lpstr>
      <vt:lpstr>'308'!OSRRefD23_0x</vt:lpstr>
      <vt:lpstr>'309'!OSRRefD23_0x</vt:lpstr>
      <vt:lpstr>'310'!OSRRefD23_0x</vt:lpstr>
      <vt:lpstr>'310 &amp; 491'!OSRRefD23_0x</vt:lpstr>
      <vt:lpstr>'311'!OSRRefD23_0x</vt:lpstr>
      <vt:lpstr>'313'!OSRRefD23_0x</vt:lpstr>
      <vt:lpstr>'315'!OSRRefD23_0x</vt:lpstr>
      <vt:lpstr>'316'!OSRRefD23_0x</vt:lpstr>
      <vt:lpstr>'317'!OSRRefD23_0x</vt:lpstr>
      <vt:lpstr>'321'!OSRRefD23_0x</vt:lpstr>
      <vt:lpstr>'322'!OSRRefD23_0x</vt:lpstr>
      <vt:lpstr>'324'!OSRRefD23_0x</vt:lpstr>
      <vt:lpstr>'325'!OSRRefD23_0x</vt:lpstr>
      <vt:lpstr>'326'!OSRRefD23_0x</vt:lpstr>
      <vt:lpstr>'327'!OSRRefD23_0x</vt:lpstr>
      <vt:lpstr>'331'!OSRRefD23_0x</vt:lpstr>
      <vt:lpstr>'332'!OSRRefD23_0x</vt:lpstr>
      <vt:lpstr>'333'!OSRRefD23_0x</vt:lpstr>
      <vt:lpstr>'405'!OSRRefD23_0x</vt:lpstr>
      <vt:lpstr>'406'!OSRRefD23_0x</vt:lpstr>
      <vt:lpstr>'411'!OSRRefD23_0x</vt:lpstr>
      <vt:lpstr>'412'!OSRRefD23_0x</vt:lpstr>
      <vt:lpstr>'413'!OSRRefD23_0x</vt:lpstr>
      <vt:lpstr>'414'!OSRRefD23_0x</vt:lpstr>
      <vt:lpstr>'415'!OSRRefD23_0x</vt:lpstr>
      <vt:lpstr>'418'!OSRRefD23_0x</vt:lpstr>
      <vt:lpstr>'423'!OSRRefD23_0x</vt:lpstr>
      <vt:lpstr>'424'!OSRRefD23_0x</vt:lpstr>
      <vt:lpstr>'425'!OSRRefD23_0x</vt:lpstr>
      <vt:lpstr>'430'!OSRRefD23_0x</vt:lpstr>
      <vt:lpstr>'433'!OSRRefD23_0x</vt:lpstr>
      <vt:lpstr>'435'!OSRRefD23_0x</vt:lpstr>
      <vt:lpstr>'444'!OSRRefD23_0x</vt:lpstr>
      <vt:lpstr>'450'!OSRRefD23_0x</vt:lpstr>
      <vt:lpstr>'455'!OSRRefD23_0x</vt:lpstr>
      <vt:lpstr>'491'!OSRRefD23_0x</vt:lpstr>
      <vt:lpstr>'492'!OSRRefD23_0x</vt:lpstr>
      <vt:lpstr>'501'!OSRRefD23_0x</vt:lpstr>
      <vt:lpstr>'Div 1'!OSRRefD23_0x</vt:lpstr>
      <vt:lpstr>'Div 2'!OSRRefD23_0x</vt:lpstr>
      <vt:lpstr>'Div 3'!OSRRefD23_0x</vt:lpstr>
      <vt:lpstr>'Div 4'!OSRRefD23_0x</vt:lpstr>
      <vt:lpstr>'Div 5'!OSRRefD23_0x</vt:lpstr>
      <vt:lpstr>'Div 6'!OSRRefD23_0x</vt:lpstr>
      <vt:lpstr>Summary!OSRRefD23_0x</vt:lpstr>
      <vt:lpstr>'100'!OSRRefD28_0x</vt:lpstr>
      <vt:lpstr>'200'!OSRRefD28_0x</vt:lpstr>
      <vt:lpstr>'201'!OSRRefD28_0x</vt:lpstr>
      <vt:lpstr>'202'!OSRRefD28_0x</vt:lpstr>
      <vt:lpstr>'203'!OSRRefD28_0x</vt:lpstr>
      <vt:lpstr>'204'!OSRRefD28_0x</vt:lpstr>
      <vt:lpstr>'205'!OSRRefD28_0x</vt:lpstr>
      <vt:lpstr>'206'!OSRRefD28_0x</vt:lpstr>
      <vt:lpstr>'300'!OSRRefD28_0x</vt:lpstr>
      <vt:lpstr>'300 &amp; 317'!OSRRefD28_0x</vt:lpstr>
      <vt:lpstr>'301'!OSRRefD28_0x</vt:lpstr>
      <vt:lpstr>'307'!OSRRefD28_0x</vt:lpstr>
      <vt:lpstr>'308'!OSRRefD28_0x</vt:lpstr>
      <vt:lpstr>'309'!OSRRefD28_0x</vt:lpstr>
      <vt:lpstr>'310'!OSRRefD28_0x</vt:lpstr>
      <vt:lpstr>'310 &amp; 491'!OSRRefD28_0x</vt:lpstr>
      <vt:lpstr>'311'!OSRRefD28_0x</vt:lpstr>
      <vt:lpstr>'313'!OSRRefD28_0x</vt:lpstr>
      <vt:lpstr>'315'!OSRRefD28_0x</vt:lpstr>
      <vt:lpstr>'316'!OSRRefD28_0x</vt:lpstr>
      <vt:lpstr>'317'!OSRRefD28_0x</vt:lpstr>
      <vt:lpstr>'321'!OSRRefD28_0x</vt:lpstr>
      <vt:lpstr>'322'!OSRRefD28_0x</vt:lpstr>
      <vt:lpstr>'324'!OSRRefD28_0x</vt:lpstr>
      <vt:lpstr>'325'!OSRRefD28_0x</vt:lpstr>
      <vt:lpstr>'326'!OSRRefD28_0x</vt:lpstr>
      <vt:lpstr>'327'!OSRRefD28_0x</vt:lpstr>
      <vt:lpstr>'331'!OSRRefD28_0x</vt:lpstr>
      <vt:lpstr>'332'!OSRRefD28_0x</vt:lpstr>
      <vt:lpstr>'333'!OSRRefD28_0x</vt:lpstr>
      <vt:lpstr>'405'!OSRRefD28_0x</vt:lpstr>
      <vt:lpstr>'406'!OSRRefD28_0x</vt:lpstr>
      <vt:lpstr>'411'!OSRRefD28_0x</vt:lpstr>
      <vt:lpstr>'412'!OSRRefD28_0x</vt:lpstr>
      <vt:lpstr>'413'!OSRRefD28_0x</vt:lpstr>
      <vt:lpstr>'414'!OSRRefD28_0x</vt:lpstr>
      <vt:lpstr>'415'!OSRRefD28_0x</vt:lpstr>
      <vt:lpstr>'418'!OSRRefD28_0x</vt:lpstr>
      <vt:lpstr>'423'!OSRRefD28_0x</vt:lpstr>
      <vt:lpstr>'424'!OSRRefD28_0x</vt:lpstr>
      <vt:lpstr>'425'!OSRRefD28_0x</vt:lpstr>
      <vt:lpstr>'430'!OSRRefD28_0x</vt:lpstr>
      <vt:lpstr>'433'!OSRRefD28_0x</vt:lpstr>
      <vt:lpstr>'435'!OSRRefD28_0x</vt:lpstr>
      <vt:lpstr>'444'!OSRRefD28_0x</vt:lpstr>
      <vt:lpstr>'450'!OSRRefD28_0x</vt:lpstr>
      <vt:lpstr>'455'!OSRRefD28_0x</vt:lpstr>
      <vt:lpstr>'491'!OSRRefD28_0x</vt:lpstr>
      <vt:lpstr>'492'!OSRRefD28_0x</vt:lpstr>
      <vt:lpstr>'501'!OSRRefD28_0x</vt:lpstr>
      <vt:lpstr>'Div 3'!OSRRefD28_0x</vt:lpstr>
      <vt:lpstr>'Div 4'!OSRRefD28_0x</vt:lpstr>
      <vt:lpstr>'Div 5'!OSRRefD28_0x</vt:lpstr>
      <vt:lpstr>'Div 6'!OSRRefD28_0x</vt:lpstr>
      <vt:lpstr>Summary!OSRRefD28_0x</vt:lpstr>
      <vt:lpstr>'100'!OSRRefD33_0x</vt:lpstr>
      <vt:lpstr>'Div 1'!OSRRefD33_0x</vt:lpstr>
      <vt:lpstr>Summary!OSRRefD33_0x</vt:lpstr>
      <vt:lpstr>'100'!OSRRefD34_0x</vt:lpstr>
      <vt:lpstr>'Div 1'!OSRRefD34_0x</vt:lpstr>
      <vt:lpstr>Summary!OSRRefD34_0x</vt:lpstr>
      <vt:lpstr>'300'!OSRRefE11_0x</vt:lpstr>
      <vt:lpstr>'300 &amp; 317'!OSRRefE11_0x</vt:lpstr>
      <vt:lpstr>'307'!OSRRefE11_0x</vt:lpstr>
      <vt:lpstr>'308'!OSRRefE11_0x</vt:lpstr>
      <vt:lpstr>'309'!OSRRefE11_0x</vt:lpstr>
      <vt:lpstr>'310'!OSRRefE11_0x</vt:lpstr>
      <vt:lpstr>'310 &amp; 491'!OSRRefE11_0x</vt:lpstr>
      <vt:lpstr>'311'!OSRRefE11_0x</vt:lpstr>
      <vt:lpstr>'315'!OSRRefE11_0x</vt:lpstr>
      <vt:lpstr>'316'!OSRRefE11_0x</vt:lpstr>
      <vt:lpstr>'317'!OSRRefE11_0x</vt:lpstr>
      <vt:lpstr>'321'!OSRRefE11_0x</vt:lpstr>
      <vt:lpstr>'324'!OSRRefE11_0x</vt:lpstr>
      <vt:lpstr>'325'!OSRRefE11_0x</vt:lpstr>
      <vt:lpstr>'326'!OSRRefE11_0x</vt:lpstr>
      <vt:lpstr>'327'!OSRRefE11_0x</vt:lpstr>
      <vt:lpstr>'331'!OSRRefE11_0x</vt:lpstr>
      <vt:lpstr>'332'!OSRRefE11_0x</vt:lpstr>
      <vt:lpstr>'333'!OSRRefE11_0x</vt:lpstr>
      <vt:lpstr>'405'!OSRRefE11_0x</vt:lpstr>
      <vt:lpstr>'415'!OSRRefE11_0x</vt:lpstr>
      <vt:lpstr>'418'!OSRRefE11_0x</vt:lpstr>
      <vt:lpstr>'425'!OSRRefE11_0x</vt:lpstr>
      <vt:lpstr>'433'!OSRRefE11_0x</vt:lpstr>
      <vt:lpstr>'435'!OSRRefE11_0x</vt:lpstr>
      <vt:lpstr>'444'!OSRRefE11_0x</vt:lpstr>
      <vt:lpstr>'450'!OSRRefE11_0x</vt:lpstr>
      <vt:lpstr>'491'!OSRRefE11_0x</vt:lpstr>
      <vt:lpstr>'492'!OSRRefE11_0x</vt:lpstr>
      <vt:lpstr>'501'!OSRRefE11_0x</vt:lpstr>
      <vt:lpstr>'Div 3'!OSRRefE11_0x</vt:lpstr>
      <vt:lpstr>'Div 4'!OSRRefE11_0x</vt:lpstr>
      <vt:lpstr>'Div 5'!OSRRefE11_0x</vt:lpstr>
      <vt:lpstr>'Div 6'!OSRRefE11_0x</vt:lpstr>
      <vt:lpstr>Summary!OSRRefE11_0x</vt:lpstr>
      <vt:lpstr>'Div 3'!OSRRefE11_10x</vt:lpstr>
      <vt:lpstr>Summary!OSRRefE11_10x</vt:lpstr>
      <vt:lpstr>Summary!OSRRefE11_11x</vt:lpstr>
      <vt:lpstr>Summary!OSRRefE11_12x</vt:lpstr>
      <vt:lpstr>'300'!OSRRefE11_1x</vt:lpstr>
      <vt:lpstr>'300 &amp; 317'!OSRRefE11_1x</vt:lpstr>
      <vt:lpstr>'307'!OSRRefE11_1x</vt:lpstr>
      <vt:lpstr>'308'!OSRRefE11_1x</vt:lpstr>
      <vt:lpstr>'309'!OSRRefE11_1x</vt:lpstr>
      <vt:lpstr>'310'!OSRRefE11_1x</vt:lpstr>
      <vt:lpstr>'310 &amp; 491'!OSRRefE11_1x</vt:lpstr>
      <vt:lpstr>'311'!OSRRefE11_1x</vt:lpstr>
      <vt:lpstr>'315'!OSRRefE11_1x</vt:lpstr>
      <vt:lpstr>'316'!OSRRefE11_1x</vt:lpstr>
      <vt:lpstr>'317'!OSRRefE11_1x</vt:lpstr>
      <vt:lpstr>'321'!OSRRefE11_1x</vt:lpstr>
      <vt:lpstr>'324'!OSRRefE11_1x</vt:lpstr>
      <vt:lpstr>'325'!OSRRefE11_1x</vt:lpstr>
      <vt:lpstr>'326'!OSRRefE11_1x</vt:lpstr>
      <vt:lpstr>'327'!OSRRefE11_1x</vt:lpstr>
      <vt:lpstr>'331'!OSRRefE11_1x</vt:lpstr>
      <vt:lpstr>'332'!OSRRefE11_1x</vt:lpstr>
      <vt:lpstr>'333'!OSRRefE11_1x</vt:lpstr>
      <vt:lpstr>'405'!OSRRefE11_1x</vt:lpstr>
      <vt:lpstr>'415'!OSRRefE11_1x</vt:lpstr>
      <vt:lpstr>'418'!OSRRefE11_1x</vt:lpstr>
      <vt:lpstr>'433'!OSRRefE11_1x</vt:lpstr>
      <vt:lpstr>'435'!OSRRefE11_1x</vt:lpstr>
      <vt:lpstr>'444'!OSRRefE11_1x</vt:lpstr>
      <vt:lpstr>'450'!OSRRefE11_1x</vt:lpstr>
      <vt:lpstr>'491'!OSRRefE11_1x</vt:lpstr>
      <vt:lpstr>'492'!OSRRefE11_1x</vt:lpstr>
      <vt:lpstr>'Div 3'!OSRRefE11_1x</vt:lpstr>
      <vt:lpstr>'Div 4'!OSRRefE11_1x</vt:lpstr>
      <vt:lpstr>'Div 6'!OSRRefE11_1x</vt:lpstr>
      <vt:lpstr>Summary!OSRRefE11_1x</vt:lpstr>
      <vt:lpstr>'300'!OSRRefE11_2x</vt:lpstr>
      <vt:lpstr>'300 &amp; 317'!OSRRefE11_2x</vt:lpstr>
      <vt:lpstr>'307'!OSRRefE11_2x</vt:lpstr>
      <vt:lpstr>'308'!OSRRefE11_2x</vt:lpstr>
      <vt:lpstr>'309'!OSRRefE11_2x</vt:lpstr>
      <vt:lpstr>'310'!OSRRefE11_2x</vt:lpstr>
      <vt:lpstr>'310 &amp; 491'!OSRRefE11_2x</vt:lpstr>
      <vt:lpstr>'311'!OSRRefE11_2x</vt:lpstr>
      <vt:lpstr>'315'!OSRRefE11_2x</vt:lpstr>
      <vt:lpstr>'316'!OSRRefE11_2x</vt:lpstr>
      <vt:lpstr>'317'!OSRRefE11_2x</vt:lpstr>
      <vt:lpstr>'326'!OSRRefE11_2x</vt:lpstr>
      <vt:lpstr>'327'!OSRRefE11_2x</vt:lpstr>
      <vt:lpstr>'331'!OSRRefE11_2x</vt:lpstr>
      <vt:lpstr>'332'!OSRRefE11_2x</vt:lpstr>
      <vt:lpstr>'333'!OSRRefE11_2x</vt:lpstr>
      <vt:lpstr>'405'!OSRRefE11_2x</vt:lpstr>
      <vt:lpstr>'415'!OSRRefE11_2x</vt:lpstr>
      <vt:lpstr>'433'!OSRRefE11_2x</vt:lpstr>
      <vt:lpstr>'444'!OSRRefE11_2x</vt:lpstr>
      <vt:lpstr>'450'!OSRRefE11_2x</vt:lpstr>
      <vt:lpstr>'491'!OSRRefE11_2x</vt:lpstr>
      <vt:lpstr>'492'!OSRRefE11_2x</vt:lpstr>
      <vt:lpstr>'Div 3'!OSRRefE11_2x</vt:lpstr>
      <vt:lpstr>'Div 4'!OSRRefE11_2x</vt:lpstr>
      <vt:lpstr>'Div 6'!OSRRefE11_2x</vt:lpstr>
      <vt:lpstr>Summary!OSRRefE11_2x</vt:lpstr>
      <vt:lpstr>'300'!OSRRefE11_3x</vt:lpstr>
      <vt:lpstr>'300 &amp; 317'!OSRRefE11_3x</vt:lpstr>
      <vt:lpstr>'307'!OSRRefE11_3x</vt:lpstr>
      <vt:lpstr>'308'!OSRRefE11_3x</vt:lpstr>
      <vt:lpstr>'309'!OSRRefE11_3x</vt:lpstr>
      <vt:lpstr>'310'!OSRRefE11_3x</vt:lpstr>
      <vt:lpstr>'310 &amp; 491'!OSRRefE11_3x</vt:lpstr>
      <vt:lpstr>'311'!OSRRefE11_3x</vt:lpstr>
      <vt:lpstr>'315'!OSRRefE11_3x</vt:lpstr>
      <vt:lpstr>'316'!OSRRefE11_3x</vt:lpstr>
      <vt:lpstr>'317'!OSRRefE11_3x</vt:lpstr>
      <vt:lpstr>'326'!OSRRefE11_3x</vt:lpstr>
      <vt:lpstr>'331'!OSRRefE11_3x</vt:lpstr>
      <vt:lpstr>'332'!OSRRefE11_3x</vt:lpstr>
      <vt:lpstr>'333'!OSRRefE11_3x</vt:lpstr>
      <vt:lpstr>'405'!OSRRefE11_3x</vt:lpstr>
      <vt:lpstr>'415'!OSRRefE11_3x</vt:lpstr>
      <vt:lpstr>'433'!OSRRefE11_3x</vt:lpstr>
      <vt:lpstr>'444'!OSRRefE11_3x</vt:lpstr>
      <vt:lpstr>'450'!OSRRefE11_3x</vt:lpstr>
      <vt:lpstr>'491'!OSRRefE11_3x</vt:lpstr>
      <vt:lpstr>'492'!OSRRefE11_3x</vt:lpstr>
      <vt:lpstr>'Div 3'!OSRRefE11_3x</vt:lpstr>
      <vt:lpstr>'Div 4'!OSRRefE11_3x</vt:lpstr>
      <vt:lpstr>'Div 6'!OSRRefE11_3x</vt:lpstr>
      <vt:lpstr>Summary!OSRRefE11_3x</vt:lpstr>
      <vt:lpstr>'300'!OSRRefE11_4x</vt:lpstr>
      <vt:lpstr>'300 &amp; 317'!OSRRefE11_4x</vt:lpstr>
      <vt:lpstr>'308'!OSRRefE11_4x</vt:lpstr>
      <vt:lpstr>'310'!OSRRefE11_4x</vt:lpstr>
      <vt:lpstr>'310 &amp; 491'!OSRRefE11_4x</vt:lpstr>
      <vt:lpstr>'311'!OSRRefE11_4x</vt:lpstr>
      <vt:lpstr>'315'!OSRRefE11_4x</vt:lpstr>
      <vt:lpstr>'316'!OSRRefE11_4x</vt:lpstr>
      <vt:lpstr>'317'!OSRRefE11_4x</vt:lpstr>
      <vt:lpstr>'331'!OSRRefE11_4x</vt:lpstr>
      <vt:lpstr>'332'!OSRRefE11_4x</vt:lpstr>
      <vt:lpstr>'333'!OSRRefE11_4x</vt:lpstr>
      <vt:lpstr>'491'!OSRRefE11_4x</vt:lpstr>
      <vt:lpstr>'492'!OSRRefE11_4x</vt:lpstr>
      <vt:lpstr>'Div 3'!OSRRefE11_4x</vt:lpstr>
      <vt:lpstr>'Div 4'!OSRRefE11_4x</vt:lpstr>
      <vt:lpstr>'Div 6'!OSRRefE11_4x</vt:lpstr>
      <vt:lpstr>Summary!OSRRefE11_4x</vt:lpstr>
      <vt:lpstr>'300'!OSRRefE11_5x</vt:lpstr>
      <vt:lpstr>'300 &amp; 317'!OSRRefE11_5x</vt:lpstr>
      <vt:lpstr>'310'!OSRRefE11_5x</vt:lpstr>
      <vt:lpstr>'310 &amp; 491'!OSRRefE11_5x</vt:lpstr>
      <vt:lpstr>'492'!OSRRefE11_5x</vt:lpstr>
      <vt:lpstr>'Div 3'!OSRRefE11_5x</vt:lpstr>
      <vt:lpstr>'Div 4'!OSRRefE11_5x</vt:lpstr>
      <vt:lpstr>Summary!OSRRefE11_5x</vt:lpstr>
      <vt:lpstr>'300'!OSRRefE11_6x</vt:lpstr>
      <vt:lpstr>'300 &amp; 317'!OSRRefE11_6x</vt:lpstr>
      <vt:lpstr>'Div 3'!OSRRefE11_6x</vt:lpstr>
      <vt:lpstr>'Div 4'!OSRRefE11_6x</vt:lpstr>
      <vt:lpstr>Summary!OSRRefE11_6x</vt:lpstr>
      <vt:lpstr>'Div 3'!OSRRefE11_7x</vt:lpstr>
      <vt:lpstr>'Div 4'!OSRRefE11_7x</vt:lpstr>
      <vt:lpstr>Summary!OSRRefE11_7x</vt:lpstr>
      <vt:lpstr>'Div 3'!OSRRefE11_8x</vt:lpstr>
      <vt:lpstr>Summary!OSRRefE11_8x</vt:lpstr>
      <vt:lpstr>'Div 3'!OSRRefE11_9x</vt:lpstr>
      <vt:lpstr>Summary!OSRRefE11_9x</vt:lpstr>
      <vt:lpstr>'300'!OSRRefE11x_0</vt:lpstr>
      <vt:lpstr>'300 &amp; 317'!OSRRefE11x_0</vt:lpstr>
      <vt:lpstr>'307'!OSRRefE11x_0</vt:lpstr>
      <vt:lpstr>'308'!OSRRefE11x_0</vt:lpstr>
      <vt:lpstr>'309'!OSRRefE11x_0</vt:lpstr>
      <vt:lpstr>'310'!OSRRefE11x_0</vt:lpstr>
      <vt:lpstr>'310 &amp; 491'!OSRRefE11x_0</vt:lpstr>
      <vt:lpstr>'311'!OSRRefE11x_0</vt:lpstr>
      <vt:lpstr>'315'!OSRRefE11x_0</vt:lpstr>
      <vt:lpstr>'316'!OSRRefE11x_0</vt:lpstr>
      <vt:lpstr>'317'!OSRRefE11x_0</vt:lpstr>
      <vt:lpstr>'321'!OSRRefE11x_0</vt:lpstr>
      <vt:lpstr>'324'!OSRRefE11x_0</vt:lpstr>
      <vt:lpstr>'325'!OSRRefE11x_0</vt:lpstr>
      <vt:lpstr>'326'!OSRRefE11x_0</vt:lpstr>
      <vt:lpstr>'327'!OSRRefE11x_0</vt:lpstr>
      <vt:lpstr>'331'!OSRRefE11x_0</vt:lpstr>
      <vt:lpstr>'332'!OSRRefE11x_0</vt:lpstr>
      <vt:lpstr>'333'!OSRRefE11x_0</vt:lpstr>
      <vt:lpstr>'405'!OSRRefE11x_0</vt:lpstr>
      <vt:lpstr>'415'!OSRRefE11x_0</vt:lpstr>
      <vt:lpstr>'418'!OSRRefE11x_0</vt:lpstr>
      <vt:lpstr>'425'!OSRRefE11x_0</vt:lpstr>
      <vt:lpstr>'433'!OSRRefE11x_0</vt:lpstr>
      <vt:lpstr>'435'!OSRRefE11x_0</vt:lpstr>
      <vt:lpstr>'444'!OSRRefE11x_0</vt:lpstr>
      <vt:lpstr>'450'!OSRRefE11x_0</vt:lpstr>
      <vt:lpstr>'491'!OSRRefE11x_0</vt:lpstr>
      <vt:lpstr>'492'!OSRRefE11x_0</vt:lpstr>
      <vt:lpstr>'501'!OSRRefE11x_0</vt:lpstr>
      <vt:lpstr>'Div 3'!OSRRefE11x_0</vt:lpstr>
      <vt:lpstr>'Div 4'!OSRRefE11x_0</vt:lpstr>
      <vt:lpstr>'Div 5'!OSRRefE11x_0</vt:lpstr>
      <vt:lpstr>'Div 6'!OSRRefE11x_0</vt:lpstr>
      <vt:lpstr>Summary!OSRRefE11x_0</vt:lpstr>
      <vt:lpstr>'300'!OSRRefE11x_1</vt:lpstr>
      <vt:lpstr>'300 &amp; 317'!OSRRefE11x_1</vt:lpstr>
      <vt:lpstr>'307'!OSRRefE11x_1</vt:lpstr>
      <vt:lpstr>'308'!OSRRefE11x_1</vt:lpstr>
      <vt:lpstr>'309'!OSRRefE11x_1</vt:lpstr>
      <vt:lpstr>'310'!OSRRefE11x_1</vt:lpstr>
      <vt:lpstr>'310 &amp; 491'!OSRRefE11x_1</vt:lpstr>
      <vt:lpstr>'311'!OSRRefE11x_1</vt:lpstr>
      <vt:lpstr>'315'!OSRRefE11x_1</vt:lpstr>
      <vt:lpstr>'316'!OSRRefE11x_1</vt:lpstr>
      <vt:lpstr>'317'!OSRRefE11x_1</vt:lpstr>
      <vt:lpstr>'321'!OSRRefE11x_1</vt:lpstr>
      <vt:lpstr>'324'!OSRRefE11x_1</vt:lpstr>
      <vt:lpstr>'325'!OSRRefE11x_1</vt:lpstr>
      <vt:lpstr>'326'!OSRRefE11x_1</vt:lpstr>
      <vt:lpstr>'327'!OSRRefE11x_1</vt:lpstr>
      <vt:lpstr>'331'!OSRRefE11x_1</vt:lpstr>
      <vt:lpstr>'332'!OSRRefE11x_1</vt:lpstr>
      <vt:lpstr>'333'!OSRRefE11x_1</vt:lpstr>
      <vt:lpstr>'405'!OSRRefE11x_1</vt:lpstr>
      <vt:lpstr>'415'!OSRRefE11x_1</vt:lpstr>
      <vt:lpstr>'418'!OSRRefE11x_1</vt:lpstr>
      <vt:lpstr>'425'!OSRRefE11x_1</vt:lpstr>
      <vt:lpstr>'433'!OSRRefE11x_1</vt:lpstr>
      <vt:lpstr>'435'!OSRRefE11x_1</vt:lpstr>
      <vt:lpstr>'444'!OSRRefE11x_1</vt:lpstr>
      <vt:lpstr>'450'!OSRRefE11x_1</vt:lpstr>
      <vt:lpstr>'491'!OSRRefE11x_1</vt:lpstr>
      <vt:lpstr>'492'!OSRRefE11x_1</vt:lpstr>
      <vt:lpstr>'501'!OSRRefE11x_1</vt:lpstr>
      <vt:lpstr>'Div 3'!OSRRefE11x_1</vt:lpstr>
      <vt:lpstr>'Div 4'!OSRRefE11x_1</vt:lpstr>
      <vt:lpstr>'Div 5'!OSRRefE11x_1</vt:lpstr>
      <vt:lpstr>'Div 6'!OSRRefE11x_1</vt:lpstr>
      <vt:lpstr>Summary!OSRRefE11x_1</vt:lpstr>
      <vt:lpstr>'300'!OSRRefE14_0x</vt:lpstr>
      <vt:lpstr>'300 &amp; 317'!OSRRefE14_0x</vt:lpstr>
      <vt:lpstr>'301'!OSRRefE14_0x</vt:lpstr>
      <vt:lpstr>'307'!OSRRefE14_0x</vt:lpstr>
      <vt:lpstr>'308'!OSRRefE14_0x</vt:lpstr>
      <vt:lpstr>'309'!OSRRefE14_0x</vt:lpstr>
      <vt:lpstr>'310'!OSRRefE14_0x</vt:lpstr>
      <vt:lpstr>'310 &amp; 491'!OSRRefE14_0x</vt:lpstr>
      <vt:lpstr>'311'!OSRRefE14_0x</vt:lpstr>
      <vt:lpstr>'315'!OSRRefE14_0x</vt:lpstr>
      <vt:lpstr>'316'!OSRRefE14_0x</vt:lpstr>
      <vt:lpstr>'317'!OSRRefE14_0x</vt:lpstr>
      <vt:lpstr>'321'!OSRRefE14_0x</vt:lpstr>
      <vt:lpstr>'324'!OSRRefE14_0x</vt:lpstr>
      <vt:lpstr>'325'!OSRRefE14_0x</vt:lpstr>
      <vt:lpstr>'326'!OSRRefE14_0x</vt:lpstr>
      <vt:lpstr>'327'!OSRRefE14_0x</vt:lpstr>
      <vt:lpstr>'331'!OSRRefE14_0x</vt:lpstr>
      <vt:lpstr>'332'!OSRRefE14_0x</vt:lpstr>
      <vt:lpstr>'333'!OSRRefE14_0x</vt:lpstr>
      <vt:lpstr>'405'!OSRRefE14_0x</vt:lpstr>
      <vt:lpstr>'415'!OSRRefE14_0x</vt:lpstr>
      <vt:lpstr>'418'!OSRRefE14_0x</vt:lpstr>
      <vt:lpstr>'425'!OSRRefE14_0x</vt:lpstr>
      <vt:lpstr>'433'!OSRRefE14_0x</vt:lpstr>
      <vt:lpstr>'435'!OSRRefE14_0x</vt:lpstr>
      <vt:lpstr>'444'!OSRRefE14_0x</vt:lpstr>
      <vt:lpstr>'450'!OSRRefE14_0x</vt:lpstr>
      <vt:lpstr>'491'!OSRRefE14_0x</vt:lpstr>
      <vt:lpstr>'492'!OSRRefE14_0x</vt:lpstr>
      <vt:lpstr>'Div 3'!OSRRefE14_0x</vt:lpstr>
      <vt:lpstr>'Div 4'!OSRRefE14_0x</vt:lpstr>
      <vt:lpstr>'Div 6'!OSRRefE14_0x</vt:lpstr>
      <vt:lpstr>Summary!OSRRefE14_0x</vt:lpstr>
      <vt:lpstr>'300'!OSRRefE14_10x</vt:lpstr>
      <vt:lpstr>'300 &amp; 317'!OSRRefE14_10x</vt:lpstr>
      <vt:lpstr>'315'!OSRRefE14_10x</vt:lpstr>
      <vt:lpstr>'331'!OSRRefE14_10x</vt:lpstr>
      <vt:lpstr>'333'!OSRRefE14_10x</vt:lpstr>
      <vt:lpstr>'Div 3'!OSRRefE14_10x</vt:lpstr>
      <vt:lpstr>Summary!OSRRefE14_10x</vt:lpstr>
      <vt:lpstr>'300'!OSRRefE14_11x</vt:lpstr>
      <vt:lpstr>'300 &amp; 317'!OSRRefE14_11x</vt:lpstr>
      <vt:lpstr>'315'!OSRRefE14_11x</vt:lpstr>
      <vt:lpstr>'331'!OSRRefE14_11x</vt:lpstr>
      <vt:lpstr>'333'!OSRRefE14_11x</vt:lpstr>
      <vt:lpstr>'Div 3'!OSRRefE14_11x</vt:lpstr>
      <vt:lpstr>Summary!OSRRefE14_11x</vt:lpstr>
      <vt:lpstr>'300'!OSRRefE14_12x</vt:lpstr>
      <vt:lpstr>'300 &amp; 317'!OSRRefE14_12x</vt:lpstr>
      <vt:lpstr>'315'!OSRRefE14_12x</vt:lpstr>
      <vt:lpstr>'331'!OSRRefE14_12x</vt:lpstr>
      <vt:lpstr>'333'!OSRRefE14_12x</vt:lpstr>
      <vt:lpstr>'Div 3'!OSRRefE14_12x</vt:lpstr>
      <vt:lpstr>Summary!OSRRefE14_12x</vt:lpstr>
      <vt:lpstr>'300'!OSRRefE14_13x</vt:lpstr>
      <vt:lpstr>'300 &amp; 317'!OSRRefE14_13x</vt:lpstr>
      <vt:lpstr>'315'!OSRRefE14_13x</vt:lpstr>
      <vt:lpstr>'331'!OSRRefE14_13x</vt:lpstr>
      <vt:lpstr>'333'!OSRRefE14_13x</vt:lpstr>
      <vt:lpstr>'Div 3'!OSRRefE14_13x</vt:lpstr>
      <vt:lpstr>Summary!OSRRefE14_13x</vt:lpstr>
      <vt:lpstr>'300'!OSRRefE14_14x</vt:lpstr>
      <vt:lpstr>'300 &amp; 317'!OSRRefE14_14x</vt:lpstr>
      <vt:lpstr>'315'!OSRRefE14_14x</vt:lpstr>
      <vt:lpstr>'331'!OSRRefE14_14x</vt:lpstr>
      <vt:lpstr>'333'!OSRRefE14_14x</vt:lpstr>
      <vt:lpstr>'Div 3'!OSRRefE14_14x</vt:lpstr>
      <vt:lpstr>Summary!OSRRefE14_14x</vt:lpstr>
      <vt:lpstr>'300'!OSRRefE14_15x</vt:lpstr>
      <vt:lpstr>'300 &amp; 317'!OSRRefE14_15x</vt:lpstr>
      <vt:lpstr>'315'!OSRRefE14_15x</vt:lpstr>
      <vt:lpstr>'331'!OSRRefE14_15x</vt:lpstr>
      <vt:lpstr>'333'!OSRRefE14_15x</vt:lpstr>
      <vt:lpstr>'Div 3'!OSRRefE14_15x</vt:lpstr>
      <vt:lpstr>Summary!OSRRefE14_15x</vt:lpstr>
      <vt:lpstr>'300'!OSRRefE14_16x</vt:lpstr>
      <vt:lpstr>'300 &amp; 317'!OSRRefE14_16x</vt:lpstr>
      <vt:lpstr>'315'!OSRRefE14_16x</vt:lpstr>
      <vt:lpstr>'331'!OSRRefE14_16x</vt:lpstr>
      <vt:lpstr>'333'!OSRRefE14_16x</vt:lpstr>
      <vt:lpstr>'Div 3'!OSRRefE14_16x</vt:lpstr>
      <vt:lpstr>Summary!OSRRefE14_16x</vt:lpstr>
      <vt:lpstr>'300'!OSRRefE14_17x</vt:lpstr>
      <vt:lpstr>'300 &amp; 317'!OSRRefE14_17x</vt:lpstr>
      <vt:lpstr>'315'!OSRRefE14_17x</vt:lpstr>
      <vt:lpstr>'331'!OSRRefE14_17x</vt:lpstr>
      <vt:lpstr>'333'!OSRRefE14_17x</vt:lpstr>
      <vt:lpstr>'Div 3'!OSRRefE14_17x</vt:lpstr>
      <vt:lpstr>Summary!OSRRefE14_17x</vt:lpstr>
      <vt:lpstr>'300'!OSRRefE14_18x</vt:lpstr>
      <vt:lpstr>'300 &amp; 317'!OSRRefE14_18x</vt:lpstr>
      <vt:lpstr>'315'!OSRRefE14_18x</vt:lpstr>
      <vt:lpstr>'331'!OSRRefE14_18x</vt:lpstr>
      <vt:lpstr>'333'!OSRRefE14_18x</vt:lpstr>
      <vt:lpstr>'Div 3'!OSRRefE14_18x</vt:lpstr>
      <vt:lpstr>Summary!OSRRefE14_18x</vt:lpstr>
      <vt:lpstr>'300'!OSRRefE14_19x</vt:lpstr>
      <vt:lpstr>'300 &amp; 317'!OSRRefE14_19x</vt:lpstr>
      <vt:lpstr>'333'!OSRRefE14_19x</vt:lpstr>
      <vt:lpstr>'Div 3'!OSRRefE14_19x</vt:lpstr>
      <vt:lpstr>Summary!OSRRefE14_19x</vt:lpstr>
      <vt:lpstr>'300'!OSRRefE14_1x</vt:lpstr>
      <vt:lpstr>'300 &amp; 317'!OSRRefE14_1x</vt:lpstr>
      <vt:lpstr>'307'!OSRRefE14_1x</vt:lpstr>
      <vt:lpstr>'308'!OSRRefE14_1x</vt:lpstr>
      <vt:lpstr>'309'!OSRRefE14_1x</vt:lpstr>
      <vt:lpstr>'310'!OSRRefE14_1x</vt:lpstr>
      <vt:lpstr>'310 &amp; 491'!OSRRefE14_1x</vt:lpstr>
      <vt:lpstr>'311'!OSRRefE14_1x</vt:lpstr>
      <vt:lpstr>'315'!OSRRefE14_1x</vt:lpstr>
      <vt:lpstr>'316'!OSRRefE14_1x</vt:lpstr>
      <vt:lpstr>'317'!OSRRefE14_1x</vt:lpstr>
      <vt:lpstr>'321'!OSRRefE14_1x</vt:lpstr>
      <vt:lpstr>'325'!OSRRefE14_1x</vt:lpstr>
      <vt:lpstr>'326'!OSRRefE14_1x</vt:lpstr>
      <vt:lpstr>'327'!OSRRefE14_1x</vt:lpstr>
      <vt:lpstr>'331'!OSRRefE14_1x</vt:lpstr>
      <vt:lpstr>'332'!OSRRefE14_1x</vt:lpstr>
      <vt:lpstr>'333'!OSRRefE14_1x</vt:lpstr>
      <vt:lpstr>'405'!OSRRefE14_1x</vt:lpstr>
      <vt:lpstr>'415'!OSRRefE14_1x</vt:lpstr>
      <vt:lpstr>'418'!OSRRefE14_1x</vt:lpstr>
      <vt:lpstr>'433'!OSRRefE14_1x</vt:lpstr>
      <vt:lpstr>'444'!OSRRefE14_1x</vt:lpstr>
      <vt:lpstr>'450'!OSRRefE14_1x</vt:lpstr>
      <vt:lpstr>'491'!OSRRefE14_1x</vt:lpstr>
      <vt:lpstr>'492'!OSRRefE14_1x</vt:lpstr>
      <vt:lpstr>'Div 3'!OSRRefE14_1x</vt:lpstr>
      <vt:lpstr>'Div 4'!OSRRefE14_1x</vt:lpstr>
      <vt:lpstr>'Div 6'!OSRRefE14_1x</vt:lpstr>
      <vt:lpstr>Summary!OSRRefE14_1x</vt:lpstr>
      <vt:lpstr>'300'!OSRRefE14_20x</vt:lpstr>
      <vt:lpstr>'300 &amp; 317'!OSRRefE14_20x</vt:lpstr>
      <vt:lpstr>'333'!OSRRefE14_20x</vt:lpstr>
      <vt:lpstr>'Div 3'!OSRRefE14_20x</vt:lpstr>
      <vt:lpstr>Summary!OSRRefE14_20x</vt:lpstr>
      <vt:lpstr>'300'!OSRRefE14_21x</vt:lpstr>
      <vt:lpstr>'300 &amp; 317'!OSRRefE14_21x</vt:lpstr>
      <vt:lpstr>'Div 3'!OSRRefE14_21x</vt:lpstr>
      <vt:lpstr>Summary!OSRRefE14_21x</vt:lpstr>
      <vt:lpstr>'300'!OSRRefE14_22x</vt:lpstr>
      <vt:lpstr>'300 &amp; 317'!OSRRefE14_22x</vt:lpstr>
      <vt:lpstr>'Div 3'!OSRRefE14_22x</vt:lpstr>
      <vt:lpstr>Summary!OSRRefE14_22x</vt:lpstr>
      <vt:lpstr>'300'!OSRRefE14_23x</vt:lpstr>
      <vt:lpstr>'300 &amp; 317'!OSRRefE14_23x</vt:lpstr>
      <vt:lpstr>'Div 3'!OSRRefE14_23x</vt:lpstr>
      <vt:lpstr>Summary!OSRRefE14_23x</vt:lpstr>
      <vt:lpstr>'300'!OSRRefE14_24x</vt:lpstr>
      <vt:lpstr>'300 &amp; 317'!OSRRefE14_24x</vt:lpstr>
      <vt:lpstr>'Div 3'!OSRRefE14_24x</vt:lpstr>
      <vt:lpstr>Summary!OSRRefE14_24x</vt:lpstr>
      <vt:lpstr>'300'!OSRRefE14_25x</vt:lpstr>
      <vt:lpstr>'300 &amp; 317'!OSRRefE14_25x</vt:lpstr>
      <vt:lpstr>'Div 3'!OSRRefE14_25x</vt:lpstr>
      <vt:lpstr>Summary!OSRRefE14_25x</vt:lpstr>
      <vt:lpstr>'300'!OSRRefE14_26x</vt:lpstr>
      <vt:lpstr>'300 &amp; 317'!OSRRefE14_26x</vt:lpstr>
      <vt:lpstr>'Div 3'!OSRRefE14_26x</vt:lpstr>
      <vt:lpstr>Summary!OSRRefE14_26x</vt:lpstr>
      <vt:lpstr>'300 &amp; 317'!OSRRefE14_27x</vt:lpstr>
      <vt:lpstr>'Div 3'!OSRRefE14_27x</vt:lpstr>
      <vt:lpstr>Summary!OSRRefE14_27x</vt:lpstr>
      <vt:lpstr>'300 &amp; 317'!OSRRefE14_28x</vt:lpstr>
      <vt:lpstr>'Div 3'!OSRRefE14_28x</vt:lpstr>
      <vt:lpstr>Summary!OSRRefE14_28x</vt:lpstr>
      <vt:lpstr>'300 &amp; 317'!OSRRefE14_29x</vt:lpstr>
      <vt:lpstr>Summary!OSRRefE14_29x</vt:lpstr>
      <vt:lpstr>'300'!OSRRefE14_2x</vt:lpstr>
      <vt:lpstr>'300 &amp; 317'!OSRRefE14_2x</vt:lpstr>
      <vt:lpstr>'307'!OSRRefE14_2x</vt:lpstr>
      <vt:lpstr>'308'!OSRRefE14_2x</vt:lpstr>
      <vt:lpstr>'310'!OSRRefE14_2x</vt:lpstr>
      <vt:lpstr>'310 &amp; 491'!OSRRefE14_2x</vt:lpstr>
      <vt:lpstr>'311'!OSRRefE14_2x</vt:lpstr>
      <vt:lpstr>'315'!OSRRefE14_2x</vt:lpstr>
      <vt:lpstr>'317'!OSRRefE14_2x</vt:lpstr>
      <vt:lpstr>'325'!OSRRefE14_2x</vt:lpstr>
      <vt:lpstr>'326'!OSRRefE14_2x</vt:lpstr>
      <vt:lpstr>'327'!OSRRefE14_2x</vt:lpstr>
      <vt:lpstr>'331'!OSRRefE14_2x</vt:lpstr>
      <vt:lpstr>'333'!OSRRefE14_2x</vt:lpstr>
      <vt:lpstr>'405'!OSRRefE14_2x</vt:lpstr>
      <vt:lpstr>'415'!OSRRefE14_2x</vt:lpstr>
      <vt:lpstr>'433'!OSRRefE14_2x</vt:lpstr>
      <vt:lpstr>'444'!OSRRefE14_2x</vt:lpstr>
      <vt:lpstr>'450'!OSRRefE14_2x</vt:lpstr>
      <vt:lpstr>'491'!OSRRefE14_2x</vt:lpstr>
      <vt:lpstr>'492'!OSRRefE14_2x</vt:lpstr>
      <vt:lpstr>'Div 3'!OSRRefE14_2x</vt:lpstr>
      <vt:lpstr>'Div 4'!OSRRefE14_2x</vt:lpstr>
      <vt:lpstr>'Div 6'!OSRRefE14_2x</vt:lpstr>
      <vt:lpstr>Summary!OSRRefE14_2x</vt:lpstr>
      <vt:lpstr>'300 &amp; 317'!OSRRefE14_30x</vt:lpstr>
      <vt:lpstr>Summary!OSRRefE14_30x</vt:lpstr>
      <vt:lpstr>'300 &amp; 317'!OSRRefE14_31x</vt:lpstr>
      <vt:lpstr>Summary!OSRRefE14_31x</vt:lpstr>
      <vt:lpstr>'300 &amp; 317'!OSRRefE14_32x</vt:lpstr>
      <vt:lpstr>Summary!OSRRefE14_32x</vt:lpstr>
      <vt:lpstr>Summary!OSRRefE14_33x</vt:lpstr>
      <vt:lpstr>Summary!OSRRefE14_34x</vt:lpstr>
      <vt:lpstr>'300'!OSRRefE14_3x</vt:lpstr>
      <vt:lpstr>'300 &amp; 317'!OSRRefE14_3x</vt:lpstr>
      <vt:lpstr>'307'!OSRRefE14_3x</vt:lpstr>
      <vt:lpstr>'308'!OSRRefE14_3x</vt:lpstr>
      <vt:lpstr>'311'!OSRRefE14_3x</vt:lpstr>
      <vt:lpstr>'315'!OSRRefE14_3x</vt:lpstr>
      <vt:lpstr>'317'!OSRRefE14_3x</vt:lpstr>
      <vt:lpstr>'326'!OSRRefE14_3x</vt:lpstr>
      <vt:lpstr>'331'!OSRRefE14_3x</vt:lpstr>
      <vt:lpstr>'333'!OSRRefE14_3x</vt:lpstr>
      <vt:lpstr>'Div 3'!OSRRefE14_3x</vt:lpstr>
      <vt:lpstr>'Div 6'!OSRRefE14_3x</vt:lpstr>
      <vt:lpstr>Summary!OSRRefE14_3x</vt:lpstr>
      <vt:lpstr>'300'!OSRRefE14_4x</vt:lpstr>
      <vt:lpstr>'300 &amp; 317'!OSRRefE14_4x</vt:lpstr>
      <vt:lpstr>'307'!OSRRefE14_4x</vt:lpstr>
      <vt:lpstr>'308'!OSRRefE14_4x</vt:lpstr>
      <vt:lpstr>'311'!OSRRefE14_4x</vt:lpstr>
      <vt:lpstr>'315'!OSRRefE14_4x</vt:lpstr>
      <vt:lpstr>'317'!OSRRefE14_4x</vt:lpstr>
      <vt:lpstr>'331'!OSRRefE14_4x</vt:lpstr>
      <vt:lpstr>'333'!OSRRefE14_4x</vt:lpstr>
      <vt:lpstr>'Div 3'!OSRRefE14_4x</vt:lpstr>
      <vt:lpstr>'Div 6'!OSRRefE14_4x</vt:lpstr>
      <vt:lpstr>Summary!OSRRefE14_4x</vt:lpstr>
      <vt:lpstr>'300'!OSRRefE14_5x</vt:lpstr>
      <vt:lpstr>'300 &amp; 317'!OSRRefE14_5x</vt:lpstr>
      <vt:lpstr>'307'!OSRRefE14_5x</vt:lpstr>
      <vt:lpstr>'308'!OSRRefE14_5x</vt:lpstr>
      <vt:lpstr>'311'!OSRRefE14_5x</vt:lpstr>
      <vt:lpstr>'315'!OSRRefE14_5x</vt:lpstr>
      <vt:lpstr>'317'!OSRRefE14_5x</vt:lpstr>
      <vt:lpstr>'331'!OSRRefE14_5x</vt:lpstr>
      <vt:lpstr>'333'!OSRRefE14_5x</vt:lpstr>
      <vt:lpstr>'Div 3'!OSRRefE14_5x</vt:lpstr>
      <vt:lpstr>'Div 6'!OSRRefE14_5x</vt:lpstr>
      <vt:lpstr>Summary!OSRRefE14_5x</vt:lpstr>
      <vt:lpstr>'300'!OSRRefE14_6x</vt:lpstr>
      <vt:lpstr>'300 &amp; 317'!OSRRefE14_6x</vt:lpstr>
      <vt:lpstr>'307'!OSRRefE14_6x</vt:lpstr>
      <vt:lpstr>'308'!OSRRefE14_6x</vt:lpstr>
      <vt:lpstr>'311'!OSRRefE14_6x</vt:lpstr>
      <vt:lpstr>'315'!OSRRefE14_6x</vt:lpstr>
      <vt:lpstr>'317'!OSRRefE14_6x</vt:lpstr>
      <vt:lpstr>'331'!OSRRefE14_6x</vt:lpstr>
      <vt:lpstr>'333'!OSRRefE14_6x</vt:lpstr>
      <vt:lpstr>'Div 3'!OSRRefE14_6x</vt:lpstr>
      <vt:lpstr>'Div 6'!OSRRefE14_6x</vt:lpstr>
      <vt:lpstr>Summary!OSRRefE14_6x</vt:lpstr>
      <vt:lpstr>'300'!OSRRefE14_7x</vt:lpstr>
      <vt:lpstr>'300 &amp; 317'!OSRRefE14_7x</vt:lpstr>
      <vt:lpstr>'307'!OSRRefE14_7x</vt:lpstr>
      <vt:lpstr>'308'!OSRRefE14_7x</vt:lpstr>
      <vt:lpstr>'311'!OSRRefE14_7x</vt:lpstr>
      <vt:lpstr>'315'!OSRRefE14_7x</vt:lpstr>
      <vt:lpstr>'317'!OSRRefE14_7x</vt:lpstr>
      <vt:lpstr>'331'!OSRRefE14_7x</vt:lpstr>
      <vt:lpstr>'333'!OSRRefE14_7x</vt:lpstr>
      <vt:lpstr>'Div 3'!OSRRefE14_7x</vt:lpstr>
      <vt:lpstr>'Div 6'!OSRRefE14_7x</vt:lpstr>
      <vt:lpstr>Summary!OSRRefE14_7x</vt:lpstr>
      <vt:lpstr>'300'!OSRRefE14_8x</vt:lpstr>
      <vt:lpstr>'300 &amp; 317'!OSRRefE14_8x</vt:lpstr>
      <vt:lpstr>'307'!OSRRefE14_8x</vt:lpstr>
      <vt:lpstr>'308'!OSRRefE14_8x</vt:lpstr>
      <vt:lpstr>'311'!OSRRefE14_8x</vt:lpstr>
      <vt:lpstr>'315'!OSRRefE14_8x</vt:lpstr>
      <vt:lpstr>'317'!OSRRefE14_8x</vt:lpstr>
      <vt:lpstr>'331'!OSRRefE14_8x</vt:lpstr>
      <vt:lpstr>'333'!OSRRefE14_8x</vt:lpstr>
      <vt:lpstr>'Div 3'!OSRRefE14_8x</vt:lpstr>
      <vt:lpstr>'Div 6'!OSRRefE14_8x</vt:lpstr>
      <vt:lpstr>Summary!OSRRefE14_8x</vt:lpstr>
      <vt:lpstr>'300'!OSRRefE14_9x</vt:lpstr>
      <vt:lpstr>'300 &amp; 317'!OSRRefE14_9x</vt:lpstr>
      <vt:lpstr>'307'!OSRRefE14_9x</vt:lpstr>
      <vt:lpstr>'308'!OSRRefE14_9x</vt:lpstr>
      <vt:lpstr>'311'!OSRRefE14_9x</vt:lpstr>
      <vt:lpstr>'315'!OSRRefE14_9x</vt:lpstr>
      <vt:lpstr>'317'!OSRRefE14_9x</vt:lpstr>
      <vt:lpstr>'331'!OSRRefE14_9x</vt:lpstr>
      <vt:lpstr>'333'!OSRRefE14_9x</vt:lpstr>
      <vt:lpstr>'Div 3'!OSRRefE14_9x</vt:lpstr>
      <vt:lpstr>'Div 6'!OSRRefE14_9x</vt:lpstr>
      <vt:lpstr>Summary!OSRRefE14_9x</vt:lpstr>
      <vt:lpstr>'300'!OSRRefE14x_0</vt:lpstr>
      <vt:lpstr>'300 &amp; 317'!OSRRefE14x_0</vt:lpstr>
      <vt:lpstr>'301'!OSRRefE14x_0</vt:lpstr>
      <vt:lpstr>'307'!OSRRefE14x_0</vt:lpstr>
      <vt:lpstr>'308'!OSRRefE14x_0</vt:lpstr>
      <vt:lpstr>'309'!OSRRefE14x_0</vt:lpstr>
      <vt:lpstr>'310'!OSRRefE14x_0</vt:lpstr>
      <vt:lpstr>'310 &amp; 491'!OSRRefE14x_0</vt:lpstr>
      <vt:lpstr>'311'!OSRRefE14x_0</vt:lpstr>
      <vt:lpstr>'315'!OSRRefE14x_0</vt:lpstr>
      <vt:lpstr>'316'!OSRRefE14x_0</vt:lpstr>
      <vt:lpstr>'317'!OSRRefE14x_0</vt:lpstr>
      <vt:lpstr>'321'!OSRRefE14x_0</vt:lpstr>
      <vt:lpstr>'324'!OSRRefE14x_0</vt:lpstr>
      <vt:lpstr>'325'!OSRRefE14x_0</vt:lpstr>
      <vt:lpstr>'326'!OSRRefE14x_0</vt:lpstr>
      <vt:lpstr>'327'!OSRRefE14x_0</vt:lpstr>
      <vt:lpstr>'331'!OSRRefE14x_0</vt:lpstr>
      <vt:lpstr>'332'!OSRRefE14x_0</vt:lpstr>
      <vt:lpstr>'333'!OSRRefE14x_0</vt:lpstr>
      <vt:lpstr>'405'!OSRRefE14x_0</vt:lpstr>
      <vt:lpstr>'415'!OSRRefE14x_0</vt:lpstr>
      <vt:lpstr>'418'!OSRRefE14x_0</vt:lpstr>
      <vt:lpstr>'425'!OSRRefE14x_0</vt:lpstr>
      <vt:lpstr>'433'!OSRRefE14x_0</vt:lpstr>
      <vt:lpstr>'435'!OSRRefE14x_0</vt:lpstr>
      <vt:lpstr>'444'!OSRRefE14x_0</vt:lpstr>
      <vt:lpstr>'450'!OSRRefE14x_0</vt:lpstr>
      <vt:lpstr>'491'!OSRRefE14x_0</vt:lpstr>
      <vt:lpstr>'492'!OSRRefE14x_0</vt:lpstr>
      <vt:lpstr>'Div 3'!OSRRefE14x_0</vt:lpstr>
      <vt:lpstr>'Div 4'!OSRRefE14x_0</vt:lpstr>
      <vt:lpstr>'Div 6'!OSRRefE14x_0</vt:lpstr>
      <vt:lpstr>Summary!OSRRefE14x_0</vt:lpstr>
      <vt:lpstr>'300'!OSRRefE14x_1</vt:lpstr>
      <vt:lpstr>'300 &amp; 317'!OSRRefE14x_1</vt:lpstr>
      <vt:lpstr>'301'!OSRRefE14x_1</vt:lpstr>
      <vt:lpstr>'307'!OSRRefE14x_1</vt:lpstr>
      <vt:lpstr>'308'!OSRRefE14x_1</vt:lpstr>
      <vt:lpstr>'309'!OSRRefE14x_1</vt:lpstr>
      <vt:lpstr>'310'!OSRRefE14x_1</vt:lpstr>
      <vt:lpstr>'310 &amp; 491'!OSRRefE14x_1</vt:lpstr>
      <vt:lpstr>'311'!OSRRefE14x_1</vt:lpstr>
      <vt:lpstr>'315'!OSRRefE14x_1</vt:lpstr>
      <vt:lpstr>'316'!OSRRefE14x_1</vt:lpstr>
      <vt:lpstr>'317'!OSRRefE14x_1</vt:lpstr>
      <vt:lpstr>'321'!OSRRefE14x_1</vt:lpstr>
      <vt:lpstr>'324'!OSRRefE14x_1</vt:lpstr>
      <vt:lpstr>'325'!OSRRefE14x_1</vt:lpstr>
      <vt:lpstr>'326'!OSRRefE14x_1</vt:lpstr>
      <vt:lpstr>'327'!OSRRefE14x_1</vt:lpstr>
      <vt:lpstr>'331'!OSRRefE14x_1</vt:lpstr>
      <vt:lpstr>'332'!OSRRefE14x_1</vt:lpstr>
      <vt:lpstr>'333'!OSRRefE14x_1</vt:lpstr>
      <vt:lpstr>'405'!OSRRefE14x_1</vt:lpstr>
      <vt:lpstr>'415'!OSRRefE14x_1</vt:lpstr>
      <vt:lpstr>'418'!OSRRefE14x_1</vt:lpstr>
      <vt:lpstr>'425'!OSRRefE14x_1</vt:lpstr>
      <vt:lpstr>'433'!OSRRefE14x_1</vt:lpstr>
      <vt:lpstr>'435'!OSRRefE14x_1</vt:lpstr>
      <vt:lpstr>'444'!OSRRefE14x_1</vt:lpstr>
      <vt:lpstr>'450'!OSRRefE14x_1</vt:lpstr>
      <vt:lpstr>'491'!OSRRefE14x_1</vt:lpstr>
      <vt:lpstr>'492'!OSRRefE14x_1</vt:lpstr>
      <vt:lpstr>'Div 3'!OSRRefE14x_1</vt:lpstr>
      <vt:lpstr>'Div 4'!OSRRefE14x_1</vt:lpstr>
      <vt:lpstr>'Div 6'!OSRRefE14x_1</vt:lpstr>
      <vt:lpstr>Summary!OSRRefE14x_1</vt:lpstr>
      <vt:lpstr>'200'!OSRRefE20_0x</vt:lpstr>
      <vt:lpstr>'201'!OSRRefE20_0x</vt:lpstr>
      <vt:lpstr>'202'!OSRRefE20_0x</vt:lpstr>
      <vt:lpstr>'203'!OSRRefE20_0x</vt:lpstr>
      <vt:lpstr>'204'!OSRRefE20_0x</vt:lpstr>
      <vt:lpstr>'205'!OSRRefE20_0x</vt:lpstr>
      <vt:lpstr>'206'!OSRRefE20_0x</vt:lpstr>
      <vt:lpstr>'300'!OSRRefE20_0x</vt:lpstr>
      <vt:lpstr>'300 &amp; 317'!OSRRefE20_0x</vt:lpstr>
      <vt:lpstr>'301'!OSRRefE20_0x</vt:lpstr>
      <vt:lpstr>'307'!OSRRefE20_0x</vt:lpstr>
      <vt:lpstr>'308'!OSRRefE20_0x</vt:lpstr>
      <vt:lpstr>'309'!OSRRefE20_0x</vt:lpstr>
      <vt:lpstr>'310'!OSRRefE20_0x</vt:lpstr>
      <vt:lpstr>'310 &amp; 491'!OSRRefE20_0x</vt:lpstr>
      <vt:lpstr>'311'!OSRRefE20_0x</vt:lpstr>
      <vt:lpstr>'313'!OSRRefE20_0x</vt:lpstr>
      <vt:lpstr>'315'!OSRRefE20_0x</vt:lpstr>
      <vt:lpstr>'316'!OSRRefE20_0x</vt:lpstr>
      <vt:lpstr>'317'!OSRRefE20_0x</vt:lpstr>
      <vt:lpstr>'321'!OSRRefE20_0x</vt:lpstr>
      <vt:lpstr>'322'!OSRRefE20_0x</vt:lpstr>
      <vt:lpstr>'325'!OSRRefE20_0x</vt:lpstr>
      <vt:lpstr>'326'!OSRRefE20_0x</vt:lpstr>
      <vt:lpstr>'327'!OSRRefE20_0x</vt:lpstr>
      <vt:lpstr>'331'!OSRRefE20_0x</vt:lpstr>
      <vt:lpstr>'332'!OSRRefE20_0x</vt:lpstr>
      <vt:lpstr>'333'!OSRRefE20_0x</vt:lpstr>
      <vt:lpstr>'405'!OSRRefE20_0x</vt:lpstr>
      <vt:lpstr>'406'!OSRRefE20_0x</vt:lpstr>
      <vt:lpstr>'411'!OSRRefE20_0x</vt:lpstr>
      <vt:lpstr>'412'!OSRRefE20_0x</vt:lpstr>
      <vt:lpstr>'413'!OSRRefE20_0x</vt:lpstr>
      <vt:lpstr>'414'!OSRRefE20_0x</vt:lpstr>
      <vt:lpstr>'415'!OSRRefE20_0x</vt:lpstr>
      <vt:lpstr>'418'!OSRRefE20_0x</vt:lpstr>
      <vt:lpstr>'423'!OSRRefE20_0x</vt:lpstr>
      <vt:lpstr>'424'!OSRRefE20_0x</vt:lpstr>
      <vt:lpstr>'425'!OSRRefE20_0x</vt:lpstr>
      <vt:lpstr>'430'!OSRRefE20_0x</vt:lpstr>
      <vt:lpstr>'433'!OSRRefE20_0x</vt:lpstr>
      <vt:lpstr>'435'!OSRRefE20_0x</vt:lpstr>
      <vt:lpstr>'444'!OSRRefE20_0x</vt:lpstr>
      <vt:lpstr>'450'!OSRRefE20_0x</vt:lpstr>
      <vt:lpstr>'491'!OSRRefE20_0x</vt:lpstr>
      <vt:lpstr>'492'!OSRRefE20_0x</vt:lpstr>
      <vt:lpstr>'501'!OSRRefE20_0x</vt:lpstr>
      <vt:lpstr>'Div 2'!OSRRefE20_0x</vt:lpstr>
      <vt:lpstr>'Div 3'!OSRRefE20_0x</vt:lpstr>
      <vt:lpstr>'Div 4'!OSRRefE20_0x</vt:lpstr>
      <vt:lpstr>'Div 5'!OSRRefE20_0x</vt:lpstr>
      <vt:lpstr>'Div 6'!OSRRefE20_0x</vt:lpstr>
      <vt:lpstr>Summary!OSRRefE20_0x</vt:lpstr>
      <vt:lpstr>'201'!OSRRefE20_10x</vt:lpstr>
      <vt:lpstr>'202'!OSRRefE20_10x</vt:lpstr>
      <vt:lpstr>'203'!OSRRefE20_10x</vt:lpstr>
      <vt:lpstr>'300'!OSRRefE20_10x</vt:lpstr>
      <vt:lpstr>'300 &amp; 317'!OSRRefE20_10x</vt:lpstr>
      <vt:lpstr>'301'!OSRRefE20_10x</vt:lpstr>
      <vt:lpstr>'307'!OSRRefE20_10x</vt:lpstr>
      <vt:lpstr>'308'!OSRRefE20_10x</vt:lpstr>
      <vt:lpstr>'309'!OSRRefE20_10x</vt:lpstr>
      <vt:lpstr>'310'!OSRRefE20_10x</vt:lpstr>
      <vt:lpstr>'310 &amp; 491'!OSRRefE20_10x</vt:lpstr>
      <vt:lpstr>'311'!OSRRefE20_10x</vt:lpstr>
      <vt:lpstr>'315'!OSRRefE20_10x</vt:lpstr>
      <vt:lpstr>'316'!OSRRefE20_10x</vt:lpstr>
      <vt:lpstr>'317'!OSRRefE20_10x</vt:lpstr>
      <vt:lpstr>'321'!OSRRefE20_10x</vt:lpstr>
      <vt:lpstr>'325'!OSRRefE20_10x</vt:lpstr>
      <vt:lpstr>'326'!OSRRefE20_10x</vt:lpstr>
      <vt:lpstr>'331'!OSRRefE20_10x</vt:lpstr>
      <vt:lpstr>'332'!OSRRefE20_10x</vt:lpstr>
      <vt:lpstr>'333'!OSRRefE20_10x</vt:lpstr>
      <vt:lpstr>'405'!OSRRefE20_10x</vt:lpstr>
      <vt:lpstr>'411'!OSRRefE20_10x</vt:lpstr>
      <vt:lpstr>'415'!OSRRefE20_10x</vt:lpstr>
      <vt:lpstr>'418'!OSRRefE20_10x</vt:lpstr>
      <vt:lpstr>'433'!OSRRefE20_10x</vt:lpstr>
      <vt:lpstr>'444'!OSRRefE20_10x</vt:lpstr>
      <vt:lpstr>'450'!OSRRefE20_10x</vt:lpstr>
      <vt:lpstr>'491'!OSRRefE20_10x</vt:lpstr>
      <vt:lpstr>'492'!OSRRefE20_10x</vt:lpstr>
      <vt:lpstr>'501'!OSRRefE20_10x</vt:lpstr>
      <vt:lpstr>'Div 2'!OSRRefE20_10x</vt:lpstr>
      <vt:lpstr>'Div 3'!OSRRefE20_10x</vt:lpstr>
      <vt:lpstr>'Div 4'!OSRRefE20_10x</vt:lpstr>
      <vt:lpstr>'Div 5'!OSRRefE20_10x</vt:lpstr>
      <vt:lpstr>'Div 6'!OSRRefE20_10x</vt:lpstr>
      <vt:lpstr>Summary!OSRRefE20_10x</vt:lpstr>
      <vt:lpstr>'201'!OSRRefE20_11x</vt:lpstr>
      <vt:lpstr>'202'!OSRRefE20_11x</vt:lpstr>
      <vt:lpstr>'203'!OSRRefE20_11x</vt:lpstr>
      <vt:lpstr>'300'!OSRRefE20_11x</vt:lpstr>
      <vt:lpstr>'300 &amp; 317'!OSRRefE20_11x</vt:lpstr>
      <vt:lpstr>'301'!OSRRefE20_11x</vt:lpstr>
      <vt:lpstr>'307'!OSRRefE20_11x</vt:lpstr>
      <vt:lpstr>'308'!OSRRefE20_11x</vt:lpstr>
      <vt:lpstr>'309'!OSRRefE20_11x</vt:lpstr>
      <vt:lpstr>'310'!OSRRefE20_11x</vt:lpstr>
      <vt:lpstr>'310 &amp; 491'!OSRRefE20_11x</vt:lpstr>
      <vt:lpstr>'311'!OSRRefE20_11x</vt:lpstr>
      <vt:lpstr>'315'!OSRRefE20_11x</vt:lpstr>
      <vt:lpstr>'316'!OSRRefE20_11x</vt:lpstr>
      <vt:lpstr>'321'!OSRRefE20_11x</vt:lpstr>
      <vt:lpstr>'325'!OSRRefE20_11x</vt:lpstr>
      <vt:lpstr>'326'!OSRRefE20_11x</vt:lpstr>
      <vt:lpstr>'331'!OSRRefE20_11x</vt:lpstr>
      <vt:lpstr>'332'!OSRRefE20_11x</vt:lpstr>
      <vt:lpstr>'333'!OSRRefE20_11x</vt:lpstr>
      <vt:lpstr>'405'!OSRRefE20_11x</vt:lpstr>
      <vt:lpstr>'411'!OSRRefE20_11x</vt:lpstr>
      <vt:lpstr>'415'!OSRRefE20_11x</vt:lpstr>
      <vt:lpstr>'418'!OSRRefE20_11x</vt:lpstr>
      <vt:lpstr>'433'!OSRRefE20_11x</vt:lpstr>
      <vt:lpstr>'444'!OSRRefE20_11x</vt:lpstr>
      <vt:lpstr>'450'!OSRRefE20_11x</vt:lpstr>
      <vt:lpstr>'491'!OSRRefE20_11x</vt:lpstr>
      <vt:lpstr>'492'!OSRRefE20_11x</vt:lpstr>
      <vt:lpstr>'501'!OSRRefE20_11x</vt:lpstr>
      <vt:lpstr>'Div 2'!OSRRefE20_11x</vt:lpstr>
      <vt:lpstr>'Div 3'!OSRRefE20_11x</vt:lpstr>
      <vt:lpstr>'Div 4'!OSRRefE20_11x</vt:lpstr>
      <vt:lpstr>'Div 5'!OSRRefE20_11x</vt:lpstr>
      <vt:lpstr>Summary!OSRRefE20_11x</vt:lpstr>
      <vt:lpstr>'201'!OSRRefE20_12x</vt:lpstr>
      <vt:lpstr>'202'!OSRRefE20_12x</vt:lpstr>
      <vt:lpstr>'203'!OSRRefE20_12x</vt:lpstr>
      <vt:lpstr>'300'!OSRRefE20_12x</vt:lpstr>
      <vt:lpstr>'300 &amp; 317'!OSRRefE20_12x</vt:lpstr>
      <vt:lpstr>'301'!OSRRefE20_12x</vt:lpstr>
      <vt:lpstr>'307'!OSRRefE20_12x</vt:lpstr>
      <vt:lpstr>'308'!OSRRefE20_12x</vt:lpstr>
      <vt:lpstr>'309'!OSRRefE20_12x</vt:lpstr>
      <vt:lpstr>'310'!OSRRefE20_12x</vt:lpstr>
      <vt:lpstr>'310 &amp; 491'!OSRRefE20_12x</vt:lpstr>
      <vt:lpstr>'311'!OSRRefE20_12x</vt:lpstr>
      <vt:lpstr>'315'!OSRRefE20_12x</vt:lpstr>
      <vt:lpstr>'321'!OSRRefE20_12x</vt:lpstr>
      <vt:lpstr>'325'!OSRRefE20_12x</vt:lpstr>
      <vt:lpstr>'326'!OSRRefE20_12x</vt:lpstr>
      <vt:lpstr>'331'!OSRRefE20_12x</vt:lpstr>
      <vt:lpstr>'333'!OSRRefE20_12x</vt:lpstr>
      <vt:lpstr>'405'!OSRRefE20_12x</vt:lpstr>
      <vt:lpstr>'411'!OSRRefE20_12x</vt:lpstr>
      <vt:lpstr>'415'!OSRRefE20_12x</vt:lpstr>
      <vt:lpstr>'418'!OSRRefE20_12x</vt:lpstr>
      <vt:lpstr>'433'!OSRRefE20_12x</vt:lpstr>
      <vt:lpstr>'444'!OSRRefE20_12x</vt:lpstr>
      <vt:lpstr>'450'!OSRRefE20_12x</vt:lpstr>
      <vt:lpstr>'491'!OSRRefE20_12x</vt:lpstr>
      <vt:lpstr>'492'!OSRRefE20_12x</vt:lpstr>
      <vt:lpstr>'501'!OSRRefE20_12x</vt:lpstr>
      <vt:lpstr>'Div 2'!OSRRefE20_12x</vt:lpstr>
      <vt:lpstr>'Div 3'!OSRRefE20_12x</vt:lpstr>
      <vt:lpstr>'Div 4'!OSRRefE20_12x</vt:lpstr>
      <vt:lpstr>'Div 5'!OSRRefE20_12x</vt:lpstr>
      <vt:lpstr>Summary!OSRRefE20_12x</vt:lpstr>
      <vt:lpstr>'201'!OSRRefE20_13x</vt:lpstr>
      <vt:lpstr>'203'!OSRRefE20_13x</vt:lpstr>
      <vt:lpstr>'300'!OSRRefE20_13x</vt:lpstr>
      <vt:lpstr>'300 &amp; 317'!OSRRefE20_13x</vt:lpstr>
      <vt:lpstr>'301'!OSRRefE20_13x</vt:lpstr>
      <vt:lpstr>'307'!OSRRefE20_13x</vt:lpstr>
      <vt:lpstr>'308'!OSRRefE20_13x</vt:lpstr>
      <vt:lpstr>'310'!OSRRefE20_13x</vt:lpstr>
      <vt:lpstr>'310 &amp; 491'!OSRRefE20_13x</vt:lpstr>
      <vt:lpstr>'311'!OSRRefE20_13x</vt:lpstr>
      <vt:lpstr>'315'!OSRRefE20_13x</vt:lpstr>
      <vt:lpstr>'325'!OSRRefE20_13x</vt:lpstr>
      <vt:lpstr>'326'!OSRRefE20_13x</vt:lpstr>
      <vt:lpstr>'331'!OSRRefE20_13x</vt:lpstr>
      <vt:lpstr>'333'!OSRRefE20_13x</vt:lpstr>
      <vt:lpstr>'405'!OSRRefE20_13x</vt:lpstr>
      <vt:lpstr>'411'!OSRRefE20_13x</vt:lpstr>
      <vt:lpstr>'415'!OSRRefE20_13x</vt:lpstr>
      <vt:lpstr>'418'!OSRRefE20_13x</vt:lpstr>
      <vt:lpstr>'433'!OSRRefE20_13x</vt:lpstr>
      <vt:lpstr>'444'!OSRRefE20_13x</vt:lpstr>
      <vt:lpstr>'450'!OSRRefE20_13x</vt:lpstr>
      <vt:lpstr>'491'!OSRRefE20_13x</vt:lpstr>
      <vt:lpstr>'492'!OSRRefE20_13x</vt:lpstr>
      <vt:lpstr>'501'!OSRRefE20_13x</vt:lpstr>
      <vt:lpstr>'Div 2'!OSRRefE20_13x</vt:lpstr>
      <vt:lpstr>'Div 3'!OSRRefE20_13x</vt:lpstr>
      <vt:lpstr>'Div 4'!OSRRefE20_13x</vt:lpstr>
      <vt:lpstr>'Div 5'!OSRRefE20_13x</vt:lpstr>
      <vt:lpstr>Summary!OSRRefE20_13x</vt:lpstr>
      <vt:lpstr>'201'!OSRRefE20_14x</vt:lpstr>
      <vt:lpstr>'300'!OSRRefE20_14x</vt:lpstr>
      <vt:lpstr>'300 &amp; 317'!OSRRefE20_14x</vt:lpstr>
      <vt:lpstr>'301'!OSRRefE20_14x</vt:lpstr>
      <vt:lpstr>'310'!OSRRefE20_14x</vt:lpstr>
      <vt:lpstr>'310 &amp; 491'!OSRRefE20_14x</vt:lpstr>
      <vt:lpstr>'315'!OSRRefE20_14x</vt:lpstr>
      <vt:lpstr>'325'!OSRRefE20_14x</vt:lpstr>
      <vt:lpstr>'326'!OSRRefE20_14x</vt:lpstr>
      <vt:lpstr>'331'!OSRRefE20_14x</vt:lpstr>
      <vt:lpstr>'333'!OSRRefE20_14x</vt:lpstr>
      <vt:lpstr>'405'!OSRRefE20_14x</vt:lpstr>
      <vt:lpstr>'411'!OSRRefE20_14x</vt:lpstr>
      <vt:lpstr>'415'!OSRRefE20_14x</vt:lpstr>
      <vt:lpstr>'418'!OSRRefE20_14x</vt:lpstr>
      <vt:lpstr>'433'!OSRRefE20_14x</vt:lpstr>
      <vt:lpstr>'444'!OSRRefE20_14x</vt:lpstr>
      <vt:lpstr>'450'!OSRRefE20_14x</vt:lpstr>
      <vt:lpstr>'491'!OSRRefE20_14x</vt:lpstr>
      <vt:lpstr>'492'!OSRRefE20_14x</vt:lpstr>
      <vt:lpstr>'Div 2'!OSRRefE20_14x</vt:lpstr>
      <vt:lpstr>'Div 3'!OSRRefE20_14x</vt:lpstr>
      <vt:lpstr>'Div 4'!OSRRefE20_14x</vt:lpstr>
      <vt:lpstr>Summary!OSRRefE20_14x</vt:lpstr>
      <vt:lpstr>'300'!OSRRefE20_15x</vt:lpstr>
      <vt:lpstr>'300 &amp; 317'!OSRRefE20_15x</vt:lpstr>
      <vt:lpstr>'301'!OSRRefE20_15x</vt:lpstr>
      <vt:lpstr>'310'!OSRRefE20_15x</vt:lpstr>
      <vt:lpstr>'310 &amp; 491'!OSRRefE20_15x</vt:lpstr>
      <vt:lpstr>'315'!OSRRefE20_15x</vt:lpstr>
      <vt:lpstr>'325'!OSRRefE20_15x</vt:lpstr>
      <vt:lpstr>'326'!OSRRefE20_15x</vt:lpstr>
      <vt:lpstr>'331'!OSRRefE20_15x</vt:lpstr>
      <vt:lpstr>'333'!OSRRefE20_15x</vt:lpstr>
      <vt:lpstr>'405'!OSRRefE20_15x</vt:lpstr>
      <vt:lpstr>'415'!OSRRefE20_15x</vt:lpstr>
      <vt:lpstr>'433'!OSRRefE20_15x</vt:lpstr>
      <vt:lpstr>'444'!OSRRefE20_15x</vt:lpstr>
      <vt:lpstr>'450'!OSRRefE20_15x</vt:lpstr>
      <vt:lpstr>'491'!OSRRefE20_15x</vt:lpstr>
      <vt:lpstr>'492'!OSRRefE20_15x</vt:lpstr>
      <vt:lpstr>'Div 2'!OSRRefE20_15x</vt:lpstr>
      <vt:lpstr>'Div 3'!OSRRefE20_15x</vt:lpstr>
      <vt:lpstr>'Div 4'!OSRRefE20_15x</vt:lpstr>
      <vt:lpstr>Summary!OSRRefE20_15x</vt:lpstr>
      <vt:lpstr>'300'!OSRRefE20_16x</vt:lpstr>
      <vt:lpstr>'300 &amp; 317'!OSRRefE20_16x</vt:lpstr>
      <vt:lpstr>'301'!OSRRefE20_16x</vt:lpstr>
      <vt:lpstr>'310'!OSRRefE20_16x</vt:lpstr>
      <vt:lpstr>'310 &amp; 491'!OSRRefE20_16x</vt:lpstr>
      <vt:lpstr>'315'!OSRRefE20_16x</vt:lpstr>
      <vt:lpstr>'325'!OSRRefE20_16x</vt:lpstr>
      <vt:lpstr>'326'!OSRRefE20_16x</vt:lpstr>
      <vt:lpstr>'331'!OSRRefE20_16x</vt:lpstr>
      <vt:lpstr>'333'!OSRRefE20_16x</vt:lpstr>
      <vt:lpstr>'415'!OSRRefE20_16x</vt:lpstr>
      <vt:lpstr>'450'!OSRRefE20_16x</vt:lpstr>
      <vt:lpstr>'491'!OSRRefE20_16x</vt:lpstr>
      <vt:lpstr>'492'!OSRRefE20_16x</vt:lpstr>
      <vt:lpstr>'Div 2'!OSRRefE20_16x</vt:lpstr>
      <vt:lpstr>'Div 3'!OSRRefE20_16x</vt:lpstr>
      <vt:lpstr>'Div 4'!OSRRefE20_16x</vt:lpstr>
      <vt:lpstr>Summary!OSRRefE20_16x</vt:lpstr>
      <vt:lpstr>'300'!OSRRefE20_17x</vt:lpstr>
      <vt:lpstr>'300 &amp; 317'!OSRRefE20_17x</vt:lpstr>
      <vt:lpstr>'301'!OSRRefE20_17x</vt:lpstr>
      <vt:lpstr>'310'!OSRRefE20_17x</vt:lpstr>
      <vt:lpstr>'310 &amp; 491'!OSRRefE20_17x</vt:lpstr>
      <vt:lpstr>'315'!OSRRefE20_17x</vt:lpstr>
      <vt:lpstr>'326'!OSRRefE20_17x</vt:lpstr>
      <vt:lpstr>'331'!OSRRefE20_17x</vt:lpstr>
      <vt:lpstr>'333'!OSRRefE20_17x</vt:lpstr>
      <vt:lpstr>'415'!OSRRefE20_17x</vt:lpstr>
      <vt:lpstr>'491'!OSRRefE20_17x</vt:lpstr>
      <vt:lpstr>'492'!OSRRefE20_17x</vt:lpstr>
      <vt:lpstr>'Div 2'!OSRRefE20_17x</vt:lpstr>
      <vt:lpstr>'Div 3'!OSRRefE20_17x</vt:lpstr>
      <vt:lpstr>'Div 4'!OSRRefE20_17x</vt:lpstr>
      <vt:lpstr>Summary!OSRRefE20_17x</vt:lpstr>
      <vt:lpstr>'300'!OSRRefE20_18x</vt:lpstr>
      <vt:lpstr>'300 &amp; 317'!OSRRefE20_18x</vt:lpstr>
      <vt:lpstr>'301'!OSRRefE20_18x</vt:lpstr>
      <vt:lpstr>'310 &amp; 491'!OSRRefE20_18x</vt:lpstr>
      <vt:lpstr>'315'!OSRRefE20_18x</vt:lpstr>
      <vt:lpstr>'331'!OSRRefE20_18x</vt:lpstr>
      <vt:lpstr>'333'!OSRRefE20_18x</vt:lpstr>
      <vt:lpstr>'491'!OSRRefE20_18x</vt:lpstr>
      <vt:lpstr>'Div 2'!OSRRefE20_18x</vt:lpstr>
      <vt:lpstr>'Div 3'!OSRRefE20_18x</vt:lpstr>
      <vt:lpstr>'Div 4'!OSRRefE20_18x</vt:lpstr>
      <vt:lpstr>Summary!OSRRefE20_18x</vt:lpstr>
      <vt:lpstr>'300'!OSRRefE20_19x</vt:lpstr>
      <vt:lpstr>'300 &amp; 317'!OSRRefE20_19x</vt:lpstr>
      <vt:lpstr>'301'!OSRRefE20_19x</vt:lpstr>
      <vt:lpstr>'310 &amp; 491'!OSRRefE20_19x</vt:lpstr>
      <vt:lpstr>'331'!OSRRefE20_19x</vt:lpstr>
      <vt:lpstr>'333'!OSRRefE20_19x</vt:lpstr>
      <vt:lpstr>'491'!OSRRefE20_19x</vt:lpstr>
      <vt:lpstr>'Div 2'!OSRRefE20_19x</vt:lpstr>
      <vt:lpstr>'Div 3'!OSRRefE20_19x</vt:lpstr>
      <vt:lpstr>'Div 4'!OSRRefE20_19x</vt:lpstr>
      <vt:lpstr>Summary!OSRRefE20_19x</vt:lpstr>
      <vt:lpstr>'200'!OSRRefE20_1x</vt:lpstr>
      <vt:lpstr>'201'!OSRRefE20_1x</vt:lpstr>
      <vt:lpstr>'202'!OSRRefE20_1x</vt:lpstr>
      <vt:lpstr>'203'!OSRRefE20_1x</vt:lpstr>
      <vt:lpstr>'204'!OSRRefE20_1x</vt:lpstr>
      <vt:lpstr>'205'!OSRRefE20_1x</vt:lpstr>
      <vt:lpstr>'206'!OSRRefE20_1x</vt:lpstr>
      <vt:lpstr>'300'!OSRRefE20_1x</vt:lpstr>
      <vt:lpstr>'300 &amp; 317'!OSRRefE20_1x</vt:lpstr>
      <vt:lpstr>'301'!OSRRefE20_1x</vt:lpstr>
      <vt:lpstr>'307'!OSRRefE20_1x</vt:lpstr>
      <vt:lpstr>'308'!OSRRefE20_1x</vt:lpstr>
      <vt:lpstr>'309'!OSRRefE20_1x</vt:lpstr>
      <vt:lpstr>'310'!OSRRefE20_1x</vt:lpstr>
      <vt:lpstr>'310 &amp; 491'!OSRRefE20_1x</vt:lpstr>
      <vt:lpstr>'311'!OSRRefE20_1x</vt:lpstr>
      <vt:lpstr>'313'!OSRRefE20_1x</vt:lpstr>
      <vt:lpstr>'315'!OSRRefE20_1x</vt:lpstr>
      <vt:lpstr>'316'!OSRRefE20_1x</vt:lpstr>
      <vt:lpstr>'317'!OSRRefE20_1x</vt:lpstr>
      <vt:lpstr>'321'!OSRRefE20_1x</vt:lpstr>
      <vt:lpstr>'325'!OSRRefE20_1x</vt:lpstr>
      <vt:lpstr>'326'!OSRRefE20_1x</vt:lpstr>
      <vt:lpstr>'327'!OSRRefE20_1x</vt:lpstr>
      <vt:lpstr>'331'!OSRRefE20_1x</vt:lpstr>
      <vt:lpstr>'332'!OSRRefE20_1x</vt:lpstr>
      <vt:lpstr>'333'!OSRRefE20_1x</vt:lpstr>
      <vt:lpstr>'405'!OSRRefE20_1x</vt:lpstr>
      <vt:lpstr>'411'!OSRRefE20_1x</vt:lpstr>
      <vt:lpstr>'412'!OSRRefE20_1x</vt:lpstr>
      <vt:lpstr>'413'!OSRRefE20_1x</vt:lpstr>
      <vt:lpstr>'414'!OSRRefE20_1x</vt:lpstr>
      <vt:lpstr>'415'!OSRRefE20_1x</vt:lpstr>
      <vt:lpstr>'418'!OSRRefE20_1x</vt:lpstr>
      <vt:lpstr>'423'!OSRRefE20_1x</vt:lpstr>
      <vt:lpstr>'424'!OSRRefE20_1x</vt:lpstr>
      <vt:lpstr>'425'!OSRRefE20_1x</vt:lpstr>
      <vt:lpstr>'430'!OSRRefE20_1x</vt:lpstr>
      <vt:lpstr>'433'!OSRRefE20_1x</vt:lpstr>
      <vt:lpstr>'435'!OSRRefE20_1x</vt:lpstr>
      <vt:lpstr>'444'!OSRRefE20_1x</vt:lpstr>
      <vt:lpstr>'450'!OSRRefE20_1x</vt:lpstr>
      <vt:lpstr>'491'!OSRRefE20_1x</vt:lpstr>
      <vt:lpstr>'492'!OSRRefE20_1x</vt:lpstr>
      <vt:lpstr>'501'!OSRRefE20_1x</vt:lpstr>
      <vt:lpstr>'Div 2'!OSRRefE20_1x</vt:lpstr>
      <vt:lpstr>'Div 3'!OSRRefE20_1x</vt:lpstr>
      <vt:lpstr>'Div 4'!OSRRefE20_1x</vt:lpstr>
      <vt:lpstr>'Div 5'!OSRRefE20_1x</vt:lpstr>
      <vt:lpstr>'Div 6'!OSRRefE20_1x</vt:lpstr>
      <vt:lpstr>Summary!OSRRefE20_1x</vt:lpstr>
      <vt:lpstr>'300'!OSRRefE20_20x</vt:lpstr>
      <vt:lpstr>'300 &amp; 317'!OSRRefE20_20x</vt:lpstr>
      <vt:lpstr>'301'!OSRRefE20_20x</vt:lpstr>
      <vt:lpstr>'310 &amp; 491'!OSRRefE20_20x</vt:lpstr>
      <vt:lpstr>'331'!OSRRefE20_20x</vt:lpstr>
      <vt:lpstr>'333'!OSRRefE20_20x</vt:lpstr>
      <vt:lpstr>'491'!OSRRefE20_20x</vt:lpstr>
      <vt:lpstr>'Div 3'!OSRRefE20_20x</vt:lpstr>
      <vt:lpstr>'Div 4'!OSRRefE20_20x</vt:lpstr>
      <vt:lpstr>Summary!OSRRefE20_20x</vt:lpstr>
      <vt:lpstr>'300'!OSRRefE20_21x</vt:lpstr>
      <vt:lpstr>'300 &amp; 317'!OSRRefE20_21x</vt:lpstr>
      <vt:lpstr>'301'!OSRRefE20_21x</vt:lpstr>
      <vt:lpstr>'331'!OSRRefE20_21x</vt:lpstr>
      <vt:lpstr>'333'!OSRRefE20_21x</vt:lpstr>
      <vt:lpstr>'Div 3'!OSRRefE20_21x</vt:lpstr>
      <vt:lpstr>'Div 4'!OSRRefE20_21x</vt:lpstr>
      <vt:lpstr>Summary!OSRRefE20_21x</vt:lpstr>
      <vt:lpstr>'300'!OSRRefE20_22x</vt:lpstr>
      <vt:lpstr>'300 &amp; 317'!OSRRefE20_22x</vt:lpstr>
      <vt:lpstr>'301'!OSRRefE20_22x</vt:lpstr>
      <vt:lpstr>'331'!OSRRefE20_22x</vt:lpstr>
      <vt:lpstr>'333'!OSRRefE20_22x</vt:lpstr>
      <vt:lpstr>'Div 3'!OSRRefE20_22x</vt:lpstr>
      <vt:lpstr>'Div 4'!OSRRefE20_22x</vt:lpstr>
      <vt:lpstr>Summary!OSRRefE20_22x</vt:lpstr>
      <vt:lpstr>'300'!OSRRefE20_23x</vt:lpstr>
      <vt:lpstr>'300 &amp; 317'!OSRRefE20_23x</vt:lpstr>
      <vt:lpstr>'Div 3'!OSRRefE20_23x</vt:lpstr>
      <vt:lpstr>Summary!OSRRefE20_23x</vt:lpstr>
      <vt:lpstr>'300'!OSRRefE20_24x</vt:lpstr>
      <vt:lpstr>'300 &amp; 317'!OSRRefE20_24x</vt:lpstr>
      <vt:lpstr>'Div 3'!OSRRefE20_24x</vt:lpstr>
      <vt:lpstr>Summary!OSRRefE20_24x</vt:lpstr>
      <vt:lpstr>'Div 3'!OSRRefE20_25x</vt:lpstr>
      <vt:lpstr>Summary!OSRRefE20_25x</vt:lpstr>
      <vt:lpstr>Summary!OSRRefE20_26x</vt:lpstr>
      <vt:lpstr>'200'!OSRRefE20_2x</vt:lpstr>
      <vt:lpstr>'201'!OSRRefE20_2x</vt:lpstr>
      <vt:lpstr>'202'!OSRRefE20_2x</vt:lpstr>
      <vt:lpstr>'203'!OSRRefE20_2x</vt:lpstr>
      <vt:lpstr>'204'!OSRRefE20_2x</vt:lpstr>
      <vt:lpstr>'205'!OSRRefE20_2x</vt:lpstr>
      <vt:lpstr>'206'!OSRRefE20_2x</vt:lpstr>
      <vt:lpstr>'300'!OSRRefE20_2x</vt:lpstr>
      <vt:lpstr>'300 &amp; 317'!OSRRefE20_2x</vt:lpstr>
      <vt:lpstr>'301'!OSRRefE20_2x</vt:lpstr>
      <vt:lpstr>'307'!OSRRefE20_2x</vt:lpstr>
      <vt:lpstr>'308'!OSRRefE20_2x</vt:lpstr>
      <vt:lpstr>'309'!OSRRefE20_2x</vt:lpstr>
      <vt:lpstr>'310'!OSRRefE20_2x</vt:lpstr>
      <vt:lpstr>'310 &amp; 491'!OSRRefE20_2x</vt:lpstr>
      <vt:lpstr>'311'!OSRRefE20_2x</vt:lpstr>
      <vt:lpstr>'313'!OSRRefE20_2x</vt:lpstr>
      <vt:lpstr>'315'!OSRRefE20_2x</vt:lpstr>
      <vt:lpstr>'316'!OSRRefE20_2x</vt:lpstr>
      <vt:lpstr>'317'!OSRRefE20_2x</vt:lpstr>
      <vt:lpstr>'321'!OSRRefE20_2x</vt:lpstr>
      <vt:lpstr>'325'!OSRRefE20_2x</vt:lpstr>
      <vt:lpstr>'326'!OSRRefE20_2x</vt:lpstr>
      <vt:lpstr>'331'!OSRRefE20_2x</vt:lpstr>
      <vt:lpstr>'332'!OSRRefE20_2x</vt:lpstr>
      <vt:lpstr>'333'!OSRRefE20_2x</vt:lpstr>
      <vt:lpstr>'405'!OSRRefE20_2x</vt:lpstr>
      <vt:lpstr>'411'!OSRRefE20_2x</vt:lpstr>
      <vt:lpstr>'412'!OSRRefE20_2x</vt:lpstr>
      <vt:lpstr>'415'!OSRRefE20_2x</vt:lpstr>
      <vt:lpstr>'418'!OSRRefE20_2x</vt:lpstr>
      <vt:lpstr>'423'!OSRRefE20_2x</vt:lpstr>
      <vt:lpstr>'425'!OSRRefE20_2x</vt:lpstr>
      <vt:lpstr>'430'!OSRRefE20_2x</vt:lpstr>
      <vt:lpstr>'433'!OSRRefE20_2x</vt:lpstr>
      <vt:lpstr>'435'!OSRRefE20_2x</vt:lpstr>
      <vt:lpstr>'444'!OSRRefE20_2x</vt:lpstr>
      <vt:lpstr>'450'!OSRRefE20_2x</vt:lpstr>
      <vt:lpstr>'491'!OSRRefE20_2x</vt:lpstr>
      <vt:lpstr>'492'!OSRRefE20_2x</vt:lpstr>
      <vt:lpstr>'501'!OSRRefE20_2x</vt:lpstr>
      <vt:lpstr>'Div 2'!OSRRefE20_2x</vt:lpstr>
      <vt:lpstr>'Div 3'!OSRRefE20_2x</vt:lpstr>
      <vt:lpstr>'Div 4'!OSRRefE20_2x</vt:lpstr>
      <vt:lpstr>'Div 5'!OSRRefE20_2x</vt:lpstr>
      <vt:lpstr>'Div 6'!OSRRefE20_2x</vt:lpstr>
      <vt:lpstr>Summary!OSRRefE20_2x</vt:lpstr>
      <vt:lpstr>'200'!OSRRefE20_3x</vt:lpstr>
      <vt:lpstr>'201'!OSRRefE20_3x</vt:lpstr>
      <vt:lpstr>'202'!OSRRefE20_3x</vt:lpstr>
      <vt:lpstr>'203'!OSRRefE20_3x</vt:lpstr>
      <vt:lpstr>'204'!OSRRefE20_3x</vt:lpstr>
      <vt:lpstr>'205'!OSRRefE20_3x</vt:lpstr>
      <vt:lpstr>'206'!OSRRefE20_3x</vt:lpstr>
      <vt:lpstr>'300'!OSRRefE20_3x</vt:lpstr>
      <vt:lpstr>'300 &amp; 317'!OSRRefE20_3x</vt:lpstr>
      <vt:lpstr>'301'!OSRRefE20_3x</vt:lpstr>
      <vt:lpstr>'307'!OSRRefE20_3x</vt:lpstr>
      <vt:lpstr>'308'!OSRRefE20_3x</vt:lpstr>
      <vt:lpstr>'309'!OSRRefE20_3x</vt:lpstr>
      <vt:lpstr>'310'!OSRRefE20_3x</vt:lpstr>
      <vt:lpstr>'310 &amp; 491'!OSRRefE20_3x</vt:lpstr>
      <vt:lpstr>'311'!OSRRefE20_3x</vt:lpstr>
      <vt:lpstr>'315'!OSRRefE20_3x</vt:lpstr>
      <vt:lpstr>'316'!OSRRefE20_3x</vt:lpstr>
      <vt:lpstr>'317'!OSRRefE20_3x</vt:lpstr>
      <vt:lpstr>'321'!OSRRefE20_3x</vt:lpstr>
      <vt:lpstr>'325'!OSRRefE20_3x</vt:lpstr>
      <vt:lpstr>'326'!OSRRefE20_3x</vt:lpstr>
      <vt:lpstr>'331'!OSRRefE20_3x</vt:lpstr>
      <vt:lpstr>'332'!OSRRefE20_3x</vt:lpstr>
      <vt:lpstr>'333'!OSRRefE20_3x</vt:lpstr>
      <vt:lpstr>'405'!OSRRefE20_3x</vt:lpstr>
      <vt:lpstr>'411'!OSRRefE20_3x</vt:lpstr>
      <vt:lpstr>'412'!OSRRefE20_3x</vt:lpstr>
      <vt:lpstr>'415'!OSRRefE20_3x</vt:lpstr>
      <vt:lpstr>'418'!OSRRefE20_3x</vt:lpstr>
      <vt:lpstr>'423'!OSRRefE20_3x</vt:lpstr>
      <vt:lpstr>'425'!OSRRefE20_3x</vt:lpstr>
      <vt:lpstr>'430'!OSRRefE20_3x</vt:lpstr>
      <vt:lpstr>'433'!OSRRefE20_3x</vt:lpstr>
      <vt:lpstr>'435'!OSRRefE20_3x</vt:lpstr>
      <vt:lpstr>'444'!OSRRefE20_3x</vt:lpstr>
      <vt:lpstr>'450'!OSRRefE20_3x</vt:lpstr>
      <vt:lpstr>'491'!OSRRefE20_3x</vt:lpstr>
      <vt:lpstr>'492'!OSRRefE20_3x</vt:lpstr>
      <vt:lpstr>'501'!OSRRefE20_3x</vt:lpstr>
      <vt:lpstr>'Div 2'!OSRRefE20_3x</vt:lpstr>
      <vt:lpstr>'Div 3'!OSRRefE20_3x</vt:lpstr>
      <vt:lpstr>'Div 4'!OSRRefE20_3x</vt:lpstr>
      <vt:lpstr>'Div 5'!OSRRefE20_3x</vt:lpstr>
      <vt:lpstr>'Div 6'!OSRRefE20_3x</vt:lpstr>
      <vt:lpstr>Summary!OSRRefE20_3x</vt:lpstr>
      <vt:lpstr>'201'!OSRRefE20_4x</vt:lpstr>
      <vt:lpstr>'202'!OSRRefE20_4x</vt:lpstr>
      <vt:lpstr>'203'!OSRRefE20_4x</vt:lpstr>
      <vt:lpstr>'204'!OSRRefE20_4x</vt:lpstr>
      <vt:lpstr>'205'!OSRRefE20_4x</vt:lpstr>
      <vt:lpstr>'206'!OSRRefE20_4x</vt:lpstr>
      <vt:lpstr>'300'!OSRRefE20_4x</vt:lpstr>
      <vt:lpstr>'300 &amp; 317'!OSRRefE20_4x</vt:lpstr>
      <vt:lpstr>'301'!OSRRefE20_4x</vt:lpstr>
      <vt:lpstr>'307'!OSRRefE20_4x</vt:lpstr>
      <vt:lpstr>'308'!OSRRefE20_4x</vt:lpstr>
      <vt:lpstr>'309'!OSRRefE20_4x</vt:lpstr>
      <vt:lpstr>'310'!OSRRefE20_4x</vt:lpstr>
      <vt:lpstr>'310 &amp; 491'!OSRRefE20_4x</vt:lpstr>
      <vt:lpstr>'311'!OSRRefE20_4x</vt:lpstr>
      <vt:lpstr>'315'!OSRRefE20_4x</vt:lpstr>
      <vt:lpstr>'316'!OSRRefE20_4x</vt:lpstr>
      <vt:lpstr>'317'!OSRRefE20_4x</vt:lpstr>
      <vt:lpstr>'321'!OSRRefE20_4x</vt:lpstr>
      <vt:lpstr>'325'!OSRRefE20_4x</vt:lpstr>
      <vt:lpstr>'326'!OSRRefE20_4x</vt:lpstr>
      <vt:lpstr>'331'!OSRRefE20_4x</vt:lpstr>
      <vt:lpstr>'332'!OSRRefE20_4x</vt:lpstr>
      <vt:lpstr>'333'!OSRRefE20_4x</vt:lpstr>
      <vt:lpstr>'405'!OSRRefE20_4x</vt:lpstr>
      <vt:lpstr>'411'!OSRRefE20_4x</vt:lpstr>
      <vt:lpstr>'415'!OSRRefE20_4x</vt:lpstr>
      <vt:lpstr>'418'!OSRRefE20_4x</vt:lpstr>
      <vt:lpstr>'423'!OSRRefE20_4x</vt:lpstr>
      <vt:lpstr>'425'!OSRRefE20_4x</vt:lpstr>
      <vt:lpstr>'430'!OSRRefE20_4x</vt:lpstr>
      <vt:lpstr>'433'!OSRRefE20_4x</vt:lpstr>
      <vt:lpstr>'435'!OSRRefE20_4x</vt:lpstr>
      <vt:lpstr>'444'!OSRRefE20_4x</vt:lpstr>
      <vt:lpstr>'450'!OSRRefE20_4x</vt:lpstr>
      <vt:lpstr>'491'!OSRRefE20_4x</vt:lpstr>
      <vt:lpstr>'492'!OSRRefE20_4x</vt:lpstr>
      <vt:lpstr>'501'!OSRRefE20_4x</vt:lpstr>
      <vt:lpstr>'Div 2'!OSRRefE20_4x</vt:lpstr>
      <vt:lpstr>'Div 3'!OSRRefE20_4x</vt:lpstr>
      <vt:lpstr>'Div 4'!OSRRefE20_4x</vt:lpstr>
      <vt:lpstr>'Div 5'!OSRRefE20_4x</vt:lpstr>
      <vt:lpstr>'Div 6'!OSRRefE20_4x</vt:lpstr>
      <vt:lpstr>Summary!OSRRefE20_4x</vt:lpstr>
      <vt:lpstr>'201'!OSRRefE20_5x</vt:lpstr>
      <vt:lpstr>'202'!OSRRefE20_5x</vt:lpstr>
      <vt:lpstr>'203'!OSRRefE20_5x</vt:lpstr>
      <vt:lpstr>'204'!OSRRefE20_5x</vt:lpstr>
      <vt:lpstr>'205'!OSRRefE20_5x</vt:lpstr>
      <vt:lpstr>'206'!OSRRefE20_5x</vt:lpstr>
      <vt:lpstr>'300'!OSRRefE20_5x</vt:lpstr>
      <vt:lpstr>'300 &amp; 317'!OSRRefE20_5x</vt:lpstr>
      <vt:lpstr>'301'!OSRRefE20_5x</vt:lpstr>
      <vt:lpstr>'307'!OSRRefE20_5x</vt:lpstr>
      <vt:lpstr>'308'!OSRRefE20_5x</vt:lpstr>
      <vt:lpstr>'309'!OSRRefE20_5x</vt:lpstr>
      <vt:lpstr>'310'!OSRRefE20_5x</vt:lpstr>
      <vt:lpstr>'310 &amp; 491'!OSRRefE20_5x</vt:lpstr>
      <vt:lpstr>'311'!OSRRefE20_5x</vt:lpstr>
      <vt:lpstr>'315'!OSRRefE20_5x</vt:lpstr>
      <vt:lpstr>'316'!OSRRefE20_5x</vt:lpstr>
      <vt:lpstr>'317'!OSRRefE20_5x</vt:lpstr>
      <vt:lpstr>'321'!OSRRefE20_5x</vt:lpstr>
      <vt:lpstr>'325'!OSRRefE20_5x</vt:lpstr>
      <vt:lpstr>'326'!OSRRefE20_5x</vt:lpstr>
      <vt:lpstr>'331'!OSRRefE20_5x</vt:lpstr>
      <vt:lpstr>'332'!OSRRefE20_5x</vt:lpstr>
      <vt:lpstr>'333'!OSRRefE20_5x</vt:lpstr>
      <vt:lpstr>'405'!OSRRefE20_5x</vt:lpstr>
      <vt:lpstr>'411'!OSRRefE20_5x</vt:lpstr>
      <vt:lpstr>'415'!OSRRefE20_5x</vt:lpstr>
      <vt:lpstr>'418'!OSRRefE20_5x</vt:lpstr>
      <vt:lpstr>'430'!OSRRefE20_5x</vt:lpstr>
      <vt:lpstr>'433'!OSRRefE20_5x</vt:lpstr>
      <vt:lpstr>'444'!OSRRefE20_5x</vt:lpstr>
      <vt:lpstr>'450'!OSRRefE20_5x</vt:lpstr>
      <vt:lpstr>'491'!OSRRefE20_5x</vt:lpstr>
      <vt:lpstr>'492'!OSRRefE20_5x</vt:lpstr>
      <vt:lpstr>'501'!OSRRefE20_5x</vt:lpstr>
      <vt:lpstr>'Div 2'!OSRRefE20_5x</vt:lpstr>
      <vt:lpstr>'Div 3'!OSRRefE20_5x</vt:lpstr>
      <vt:lpstr>'Div 4'!OSRRefE20_5x</vt:lpstr>
      <vt:lpstr>'Div 5'!OSRRefE20_5x</vt:lpstr>
      <vt:lpstr>'Div 6'!OSRRefE20_5x</vt:lpstr>
      <vt:lpstr>Summary!OSRRefE20_5x</vt:lpstr>
      <vt:lpstr>'201'!OSRRefE20_6x</vt:lpstr>
      <vt:lpstr>'202'!OSRRefE20_6x</vt:lpstr>
      <vt:lpstr>'203'!OSRRefE20_6x</vt:lpstr>
      <vt:lpstr>'204'!OSRRefE20_6x</vt:lpstr>
      <vt:lpstr>'205'!OSRRefE20_6x</vt:lpstr>
      <vt:lpstr>'300'!OSRRefE20_6x</vt:lpstr>
      <vt:lpstr>'300 &amp; 317'!OSRRefE20_6x</vt:lpstr>
      <vt:lpstr>'301'!OSRRefE20_6x</vt:lpstr>
      <vt:lpstr>'307'!OSRRefE20_6x</vt:lpstr>
      <vt:lpstr>'308'!OSRRefE20_6x</vt:lpstr>
      <vt:lpstr>'309'!OSRRefE20_6x</vt:lpstr>
      <vt:lpstr>'310'!OSRRefE20_6x</vt:lpstr>
      <vt:lpstr>'310 &amp; 491'!OSRRefE20_6x</vt:lpstr>
      <vt:lpstr>'311'!OSRRefE20_6x</vt:lpstr>
      <vt:lpstr>'315'!OSRRefE20_6x</vt:lpstr>
      <vt:lpstr>'316'!OSRRefE20_6x</vt:lpstr>
      <vt:lpstr>'317'!OSRRefE20_6x</vt:lpstr>
      <vt:lpstr>'321'!OSRRefE20_6x</vt:lpstr>
      <vt:lpstr>'325'!OSRRefE20_6x</vt:lpstr>
      <vt:lpstr>'326'!OSRRefE20_6x</vt:lpstr>
      <vt:lpstr>'331'!OSRRefE20_6x</vt:lpstr>
      <vt:lpstr>'332'!OSRRefE20_6x</vt:lpstr>
      <vt:lpstr>'333'!OSRRefE20_6x</vt:lpstr>
      <vt:lpstr>'405'!OSRRefE20_6x</vt:lpstr>
      <vt:lpstr>'411'!OSRRefE20_6x</vt:lpstr>
      <vt:lpstr>'415'!OSRRefE20_6x</vt:lpstr>
      <vt:lpstr>'418'!OSRRefE20_6x</vt:lpstr>
      <vt:lpstr>'430'!OSRRefE20_6x</vt:lpstr>
      <vt:lpstr>'433'!OSRRefE20_6x</vt:lpstr>
      <vt:lpstr>'444'!OSRRefE20_6x</vt:lpstr>
      <vt:lpstr>'450'!OSRRefE20_6x</vt:lpstr>
      <vt:lpstr>'491'!OSRRefE20_6x</vt:lpstr>
      <vt:lpstr>'492'!OSRRefE20_6x</vt:lpstr>
      <vt:lpstr>'501'!OSRRefE20_6x</vt:lpstr>
      <vt:lpstr>'Div 2'!OSRRefE20_6x</vt:lpstr>
      <vt:lpstr>'Div 3'!OSRRefE20_6x</vt:lpstr>
      <vt:lpstr>'Div 4'!OSRRefE20_6x</vt:lpstr>
      <vt:lpstr>'Div 5'!OSRRefE20_6x</vt:lpstr>
      <vt:lpstr>'Div 6'!OSRRefE20_6x</vt:lpstr>
      <vt:lpstr>Summary!OSRRefE20_6x</vt:lpstr>
      <vt:lpstr>'201'!OSRRefE20_7x</vt:lpstr>
      <vt:lpstr>'202'!OSRRefE20_7x</vt:lpstr>
      <vt:lpstr>'203'!OSRRefE20_7x</vt:lpstr>
      <vt:lpstr>'204'!OSRRefE20_7x</vt:lpstr>
      <vt:lpstr>'205'!OSRRefE20_7x</vt:lpstr>
      <vt:lpstr>'300'!OSRRefE20_7x</vt:lpstr>
      <vt:lpstr>'300 &amp; 317'!OSRRefE20_7x</vt:lpstr>
      <vt:lpstr>'301'!OSRRefE20_7x</vt:lpstr>
      <vt:lpstr>'307'!OSRRefE20_7x</vt:lpstr>
      <vt:lpstr>'308'!OSRRefE20_7x</vt:lpstr>
      <vt:lpstr>'309'!OSRRefE20_7x</vt:lpstr>
      <vt:lpstr>'310'!OSRRefE20_7x</vt:lpstr>
      <vt:lpstr>'310 &amp; 491'!OSRRefE20_7x</vt:lpstr>
      <vt:lpstr>'311'!OSRRefE20_7x</vt:lpstr>
      <vt:lpstr>'315'!OSRRefE20_7x</vt:lpstr>
      <vt:lpstr>'316'!OSRRefE20_7x</vt:lpstr>
      <vt:lpstr>'317'!OSRRefE20_7x</vt:lpstr>
      <vt:lpstr>'321'!OSRRefE20_7x</vt:lpstr>
      <vt:lpstr>'325'!OSRRefE20_7x</vt:lpstr>
      <vt:lpstr>'326'!OSRRefE20_7x</vt:lpstr>
      <vt:lpstr>'331'!OSRRefE20_7x</vt:lpstr>
      <vt:lpstr>'332'!OSRRefE20_7x</vt:lpstr>
      <vt:lpstr>'333'!OSRRefE20_7x</vt:lpstr>
      <vt:lpstr>'405'!OSRRefE20_7x</vt:lpstr>
      <vt:lpstr>'411'!OSRRefE20_7x</vt:lpstr>
      <vt:lpstr>'415'!OSRRefE20_7x</vt:lpstr>
      <vt:lpstr>'418'!OSRRefE20_7x</vt:lpstr>
      <vt:lpstr>'430'!OSRRefE20_7x</vt:lpstr>
      <vt:lpstr>'433'!OSRRefE20_7x</vt:lpstr>
      <vt:lpstr>'444'!OSRRefE20_7x</vt:lpstr>
      <vt:lpstr>'450'!OSRRefE20_7x</vt:lpstr>
      <vt:lpstr>'491'!OSRRefE20_7x</vt:lpstr>
      <vt:lpstr>'492'!OSRRefE20_7x</vt:lpstr>
      <vt:lpstr>'501'!OSRRefE20_7x</vt:lpstr>
      <vt:lpstr>'Div 2'!OSRRefE20_7x</vt:lpstr>
      <vt:lpstr>'Div 3'!OSRRefE20_7x</vt:lpstr>
      <vt:lpstr>'Div 4'!OSRRefE20_7x</vt:lpstr>
      <vt:lpstr>'Div 5'!OSRRefE20_7x</vt:lpstr>
      <vt:lpstr>'Div 6'!OSRRefE20_7x</vt:lpstr>
      <vt:lpstr>Summary!OSRRefE20_7x</vt:lpstr>
      <vt:lpstr>'201'!OSRRefE20_8x</vt:lpstr>
      <vt:lpstr>'202'!OSRRefE20_8x</vt:lpstr>
      <vt:lpstr>'203'!OSRRefE20_8x</vt:lpstr>
      <vt:lpstr>'204'!OSRRefE20_8x</vt:lpstr>
      <vt:lpstr>'300'!OSRRefE20_8x</vt:lpstr>
      <vt:lpstr>'300 &amp; 317'!OSRRefE20_8x</vt:lpstr>
      <vt:lpstr>'301'!OSRRefE20_8x</vt:lpstr>
      <vt:lpstr>'307'!OSRRefE20_8x</vt:lpstr>
      <vt:lpstr>'308'!OSRRefE20_8x</vt:lpstr>
      <vt:lpstr>'309'!OSRRefE20_8x</vt:lpstr>
      <vt:lpstr>'310'!OSRRefE20_8x</vt:lpstr>
      <vt:lpstr>'310 &amp; 491'!OSRRefE20_8x</vt:lpstr>
      <vt:lpstr>'311'!OSRRefE20_8x</vt:lpstr>
      <vt:lpstr>'315'!OSRRefE20_8x</vt:lpstr>
      <vt:lpstr>'316'!OSRRefE20_8x</vt:lpstr>
      <vt:lpstr>'317'!OSRRefE20_8x</vt:lpstr>
      <vt:lpstr>'321'!OSRRefE20_8x</vt:lpstr>
      <vt:lpstr>'325'!OSRRefE20_8x</vt:lpstr>
      <vt:lpstr>'326'!OSRRefE20_8x</vt:lpstr>
      <vt:lpstr>'331'!OSRRefE20_8x</vt:lpstr>
      <vt:lpstr>'332'!OSRRefE20_8x</vt:lpstr>
      <vt:lpstr>'333'!OSRRefE20_8x</vt:lpstr>
      <vt:lpstr>'405'!OSRRefE20_8x</vt:lpstr>
      <vt:lpstr>'411'!OSRRefE20_8x</vt:lpstr>
      <vt:lpstr>'415'!OSRRefE20_8x</vt:lpstr>
      <vt:lpstr>'418'!OSRRefE20_8x</vt:lpstr>
      <vt:lpstr>'430'!OSRRefE20_8x</vt:lpstr>
      <vt:lpstr>'433'!OSRRefE20_8x</vt:lpstr>
      <vt:lpstr>'444'!OSRRefE20_8x</vt:lpstr>
      <vt:lpstr>'450'!OSRRefE20_8x</vt:lpstr>
      <vt:lpstr>'491'!OSRRefE20_8x</vt:lpstr>
      <vt:lpstr>'492'!OSRRefE20_8x</vt:lpstr>
      <vt:lpstr>'501'!OSRRefE20_8x</vt:lpstr>
      <vt:lpstr>'Div 2'!OSRRefE20_8x</vt:lpstr>
      <vt:lpstr>'Div 3'!OSRRefE20_8x</vt:lpstr>
      <vt:lpstr>'Div 4'!OSRRefE20_8x</vt:lpstr>
      <vt:lpstr>'Div 5'!OSRRefE20_8x</vt:lpstr>
      <vt:lpstr>'Div 6'!OSRRefE20_8x</vt:lpstr>
      <vt:lpstr>Summary!OSRRefE20_8x</vt:lpstr>
      <vt:lpstr>'201'!OSRRefE20_9x</vt:lpstr>
      <vt:lpstr>'202'!OSRRefE20_9x</vt:lpstr>
      <vt:lpstr>'203'!OSRRefE20_9x</vt:lpstr>
      <vt:lpstr>'300'!OSRRefE20_9x</vt:lpstr>
      <vt:lpstr>'300 &amp; 317'!OSRRefE20_9x</vt:lpstr>
      <vt:lpstr>'301'!OSRRefE20_9x</vt:lpstr>
      <vt:lpstr>'307'!OSRRefE20_9x</vt:lpstr>
      <vt:lpstr>'308'!OSRRefE20_9x</vt:lpstr>
      <vt:lpstr>'309'!OSRRefE20_9x</vt:lpstr>
      <vt:lpstr>'310'!OSRRefE20_9x</vt:lpstr>
      <vt:lpstr>'310 &amp; 491'!OSRRefE20_9x</vt:lpstr>
      <vt:lpstr>'311'!OSRRefE20_9x</vt:lpstr>
      <vt:lpstr>'315'!OSRRefE20_9x</vt:lpstr>
      <vt:lpstr>'316'!OSRRefE20_9x</vt:lpstr>
      <vt:lpstr>'317'!OSRRefE20_9x</vt:lpstr>
      <vt:lpstr>'321'!OSRRefE20_9x</vt:lpstr>
      <vt:lpstr>'325'!OSRRefE20_9x</vt:lpstr>
      <vt:lpstr>'326'!OSRRefE20_9x</vt:lpstr>
      <vt:lpstr>'331'!OSRRefE20_9x</vt:lpstr>
      <vt:lpstr>'332'!OSRRefE20_9x</vt:lpstr>
      <vt:lpstr>'333'!OSRRefE20_9x</vt:lpstr>
      <vt:lpstr>'405'!OSRRefE20_9x</vt:lpstr>
      <vt:lpstr>'411'!OSRRefE20_9x</vt:lpstr>
      <vt:lpstr>'415'!OSRRefE20_9x</vt:lpstr>
      <vt:lpstr>'418'!OSRRefE20_9x</vt:lpstr>
      <vt:lpstr>'433'!OSRRefE20_9x</vt:lpstr>
      <vt:lpstr>'444'!OSRRefE20_9x</vt:lpstr>
      <vt:lpstr>'450'!OSRRefE20_9x</vt:lpstr>
      <vt:lpstr>'491'!OSRRefE20_9x</vt:lpstr>
      <vt:lpstr>'492'!OSRRefE20_9x</vt:lpstr>
      <vt:lpstr>'501'!OSRRefE20_9x</vt:lpstr>
      <vt:lpstr>'Div 2'!OSRRefE20_9x</vt:lpstr>
      <vt:lpstr>'Div 3'!OSRRefE20_9x</vt:lpstr>
      <vt:lpstr>'Div 4'!OSRRefE20_9x</vt:lpstr>
      <vt:lpstr>'Div 5'!OSRRefE20_9x</vt:lpstr>
      <vt:lpstr>'Div 6'!OSRRefE20_9x</vt:lpstr>
      <vt:lpstr>Summary!OSRRefE20_9x</vt:lpstr>
      <vt:lpstr>'200'!OSRRefE20x_0</vt:lpstr>
      <vt:lpstr>'201'!OSRRefE20x_0</vt:lpstr>
      <vt:lpstr>'202'!OSRRefE20x_0</vt:lpstr>
      <vt:lpstr>'203'!OSRRefE20x_0</vt:lpstr>
      <vt:lpstr>'204'!OSRRefE20x_0</vt:lpstr>
      <vt:lpstr>'205'!OSRRefE20x_0</vt:lpstr>
      <vt:lpstr>'206'!OSRRefE20x_0</vt:lpstr>
      <vt:lpstr>'300'!OSRRefE20x_0</vt:lpstr>
      <vt:lpstr>'300 &amp; 317'!OSRRefE20x_0</vt:lpstr>
      <vt:lpstr>'301'!OSRRefE20x_0</vt:lpstr>
      <vt:lpstr>'307'!OSRRefE20x_0</vt:lpstr>
      <vt:lpstr>'308'!OSRRefE20x_0</vt:lpstr>
      <vt:lpstr>'309'!OSRRefE20x_0</vt:lpstr>
      <vt:lpstr>'310'!OSRRefE20x_0</vt:lpstr>
      <vt:lpstr>'310 &amp; 491'!OSRRefE20x_0</vt:lpstr>
      <vt:lpstr>'311'!OSRRefE20x_0</vt:lpstr>
      <vt:lpstr>'313'!OSRRefE20x_0</vt:lpstr>
      <vt:lpstr>'315'!OSRRefE20x_0</vt:lpstr>
      <vt:lpstr>'316'!OSRRefE20x_0</vt:lpstr>
      <vt:lpstr>'317'!OSRRefE20x_0</vt:lpstr>
      <vt:lpstr>'321'!OSRRefE20x_0</vt:lpstr>
      <vt:lpstr>'322'!OSRRefE20x_0</vt:lpstr>
      <vt:lpstr>'325'!OSRRefE20x_0</vt:lpstr>
      <vt:lpstr>'326'!OSRRefE20x_0</vt:lpstr>
      <vt:lpstr>'327'!OSRRefE20x_0</vt:lpstr>
      <vt:lpstr>'331'!OSRRefE20x_0</vt:lpstr>
      <vt:lpstr>'332'!OSRRefE20x_0</vt:lpstr>
      <vt:lpstr>'333'!OSRRefE20x_0</vt:lpstr>
      <vt:lpstr>'405'!OSRRefE20x_0</vt:lpstr>
      <vt:lpstr>'406'!OSRRefE20x_0</vt:lpstr>
      <vt:lpstr>'411'!OSRRefE20x_0</vt:lpstr>
      <vt:lpstr>'412'!OSRRefE20x_0</vt:lpstr>
      <vt:lpstr>'413'!OSRRefE20x_0</vt:lpstr>
      <vt:lpstr>'414'!OSRRefE20x_0</vt:lpstr>
      <vt:lpstr>'415'!OSRRefE20x_0</vt:lpstr>
      <vt:lpstr>'418'!OSRRefE20x_0</vt:lpstr>
      <vt:lpstr>'423'!OSRRefE20x_0</vt:lpstr>
      <vt:lpstr>'424'!OSRRefE20x_0</vt:lpstr>
      <vt:lpstr>'425'!OSRRefE20x_0</vt:lpstr>
      <vt:lpstr>'430'!OSRRefE20x_0</vt:lpstr>
      <vt:lpstr>'433'!OSRRefE20x_0</vt:lpstr>
      <vt:lpstr>'435'!OSRRefE20x_0</vt:lpstr>
      <vt:lpstr>'444'!OSRRefE20x_0</vt:lpstr>
      <vt:lpstr>'450'!OSRRefE20x_0</vt:lpstr>
      <vt:lpstr>'491'!OSRRefE20x_0</vt:lpstr>
      <vt:lpstr>'492'!OSRRefE20x_0</vt:lpstr>
      <vt:lpstr>'501'!OSRRefE20x_0</vt:lpstr>
      <vt:lpstr>'Div 2'!OSRRefE20x_0</vt:lpstr>
      <vt:lpstr>'Div 3'!OSRRefE20x_0</vt:lpstr>
      <vt:lpstr>'Div 4'!OSRRefE20x_0</vt:lpstr>
      <vt:lpstr>'Div 5'!OSRRefE20x_0</vt:lpstr>
      <vt:lpstr>'Div 6'!OSRRefE20x_0</vt:lpstr>
      <vt:lpstr>Summary!OSRRefE20x_0</vt:lpstr>
      <vt:lpstr>'200'!OSRRefE20x_1</vt:lpstr>
      <vt:lpstr>'201'!OSRRefE20x_1</vt:lpstr>
      <vt:lpstr>'202'!OSRRefE20x_1</vt:lpstr>
      <vt:lpstr>'203'!OSRRefE20x_1</vt:lpstr>
      <vt:lpstr>'204'!OSRRefE20x_1</vt:lpstr>
      <vt:lpstr>'205'!OSRRefE20x_1</vt:lpstr>
      <vt:lpstr>'206'!OSRRefE20x_1</vt:lpstr>
      <vt:lpstr>'300'!OSRRefE20x_1</vt:lpstr>
      <vt:lpstr>'300 &amp; 317'!OSRRefE20x_1</vt:lpstr>
      <vt:lpstr>'301'!OSRRefE20x_1</vt:lpstr>
      <vt:lpstr>'307'!OSRRefE20x_1</vt:lpstr>
      <vt:lpstr>'308'!OSRRefE20x_1</vt:lpstr>
      <vt:lpstr>'309'!OSRRefE20x_1</vt:lpstr>
      <vt:lpstr>'310'!OSRRefE20x_1</vt:lpstr>
      <vt:lpstr>'310 &amp; 491'!OSRRefE20x_1</vt:lpstr>
      <vt:lpstr>'311'!OSRRefE20x_1</vt:lpstr>
      <vt:lpstr>'313'!OSRRefE20x_1</vt:lpstr>
      <vt:lpstr>'315'!OSRRefE20x_1</vt:lpstr>
      <vt:lpstr>'316'!OSRRefE20x_1</vt:lpstr>
      <vt:lpstr>'317'!OSRRefE20x_1</vt:lpstr>
      <vt:lpstr>'321'!OSRRefE20x_1</vt:lpstr>
      <vt:lpstr>'322'!OSRRefE20x_1</vt:lpstr>
      <vt:lpstr>'325'!OSRRefE20x_1</vt:lpstr>
      <vt:lpstr>'326'!OSRRefE20x_1</vt:lpstr>
      <vt:lpstr>'327'!OSRRefE20x_1</vt:lpstr>
      <vt:lpstr>'331'!OSRRefE20x_1</vt:lpstr>
      <vt:lpstr>'332'!OSRRefE20x_1</vt:lpstr>
      <vt:lpstr>'333'!OSRRefE20x_1</vt:lpstr>
      <vt:lpstr>'405'!OSRRefE20x_1</vt:lpstr>
      <vt:lpstr>'406'!OSRRefE20x_1</vt:lpstr>
      <vt:lpstr>'411'!OSRRefE20x_1</vt:lpstr>
      <vt:lpstr>'412'!OSRRefE20x_1</vt:lpstr>
      <vt:lpstr>'413'!OSRRefE20x_1</vt:lpstr>
      <vt:lpstr>'414'!OSRRefE20x_1</vt:lpstr>
      <vt:lpstr>'415'!OSRRefE20x_1</vt:lpstr>
      <vt:lpstr>'418'!OSRRefE20x_1</vt:lpstr>
      <vt:lpstr>'423'!OSRRefE20x_1</vt:lpstr>
      <vt:lpstr>'424'!OSRRefE20x_1</vt:lpstr>
      <vt:lpstr>'425'!OSRRefE20x_1</vt:lpstr>
      <vt:lpstr>'430'!OSRRefE20x_1</vt:lpstr>
      <vt:lpstr>'433'!OSRRefE20x_1</vt:lpstr>
      <vt:lpstr>'435'!OSRRefE20x_1</vt:lpstr>
      <vt:lpstr>'444'!OSRRefE20x_1</vt:lpstr>
      <vt:lpstr>'450'!OSRRefE20x_1</vt:lpstr>
      <vt:lpstr>'491'!OSRRefE20x_1</vt:lpstr>
      <vt:lpstr>'492'!OSRRefE20x_1</vt:lpstr>
      <vt:lpstr>'501'!OSRRefE20x_1</vt:lpstr>
      <vt:lpstr>'Div 2'!OSRRefE20x_1</vt:lpstr>
      <vt:lpstr>'Div 3'!OSRRefE20x_1</vt:lpstr>
      <vt:lpstr>'Div 4'!OSRRefE20x_1</vt:lpstr>
      <vt:lpstr>'Div 5'!OSRRefE20x_1</vt:lpstr>
      <vt:lpstr>'Div 6'!OSRRefE20x_1</vt:lpstr>
      <vt:lpstr>Summary!OSRRefE20x_1</vt:lpstr>
      <vt:lpstr>'200'!OSRRefE21_0_0x</vt:lpstr>
      <vt:lpstr>'201'!OSRRefE21_0_0x</vt:lpstr>
      <vt:lpstr>'202'!OSRRefE21_0_0x</vt:lpstr>
      <vt:lpstr>'203'!OSRRefE21_0_0x</vt:lpstr>
      <vt:lpstr>'204'!OSRRefE21_0_0x</vt:lpstr>
      <vt:lpstr>'205'!OSRRefE21_0_0x</vt:lpstr>
      <vt:lpstr>'206'!OSRRefE21_0_0x</vt:lpstr>
      <vt:lpstr>'300'!OSRRefE21_0_0x</vt:lpstr>
      <vt:lpstr>'300 &amp; 317'!OSRRefE21_0_0x</vt:lpstr>
      <vt:lpstr>'301'!OSRRefE21_0_0x</vt:lpstr>
      <vt:lpstr>'307'!OSRRefE21_0_0x</vt:lpstr>
      <vt:lpstr>'308'!OSRRefE21_0_0x</vt:lpstr>
      <vt:lpstr>'309'!OSRRefE21_0_0x</vt:lpstr>
      <vt:lpstr>'310'!OSRRefE21_0_0x</vt:lpstr>
      <vt:lpstr>'310 &amp; 491'!OSRRefE21_0_0x</vt:lpstr>
      <vt:lpstr>'311'!OSRRefE21_0_0x</vt:lpstr>
      <vt:lpstr>'313'!OSRRefE21_0_0x</vt:lpstr>
      <vt:lpstr>'315'!OSRRefE21_0_0x</vt:lpstr>
      <vt:lpstr>'316'!OSRRefE21_0_0x</vt:lpstr>
      <vt:lpstr>'317'!OSRRefE21_0_0x</vt:lpstr>
      <vt:lpstr>'321'!OSRRefE21_0_0x</vt:lpstr>
      <vt:lpstr>'322'!OSRRefE21_0_0x</vt:lpstr>
      <vt:lpstr>'325'!OSRRefE21_0_0x</vt:lpstr>
      <vt:lpstr>'326'!OSRRefE21_0_0x</vt:lpstr>
      <vt:lpstr>'327'!OSRRefE21_0_0x</vt:lpstr>
      <vt:lpstr>'331'!OSRRefE21_0_0x</vt:lpstr>
      <vt:lpstr>'332'!OSRRefE21_0_0x</vt:lpstr>
      <vt:lpstr>'333'!OSRRefE21_0_0x</vt:lpstr>
      <vt:lpstr>'405'!OSRRefE21_0_0x</vt:lpstr>
      <vt:lpstr>'406'!OSRRefE21_0_0x</vt:lpstr>
      <vt:lpstr>'411'!OSRRefE21_0_0x</vt:lpstr>
      <vt:lpstr>'412'!OSRRefE21_0_0x</vt:lpstr>
      <vt:lpstr>'413'!OSRRefE21_0_0x</vt:lpstr>
      <vt:lpstr>'414'!OSRRefE21_0_0x</vt:lpstr>
      <vt:lpstr>'415'!OSRRefE21_0_0x</vt:lpstr>
      <vt:lpstr>'418'!OSRRefE21_0_0x</vt:lpstr>
      <vt:lpstr>'423'!OSRRefE21_0_0x</vt:lpstr>
      <vt:lpstr>'424'!OSRRefE21_0_0x</vt:lpstr>
      <vt:lpstr>'425'!OSRRefE21_0_0x</vt:lpstr>
      <vt:lpstr>'430'!OSRRefE21_0_0x</vt:lpstr>
      <vt:lpstr>'433'!OSRRefE21_0_0x</vt:lpstr>
      <vt:lpstr>'435'!OSRRefE21_0_0x</vt:lpstr>
      <vt:lpstr>'444'!OSRRefE21_0_0x</vt:lpstr>
      <vt:lpstr>'450'!OSRRefE21_0_0x</vt:lpstr>
      <vt:lpstr>'491'!OSRRefE21_0_0x</vt:lpstr>
      <vt:lpstr>'492'!OSRRefE21_0_0x</vt:lpstr>
      <vt:lpstr>'501'!OSRRefE21_0_0x</vt:lpstr>
      <vt:lpstr>'Div 2'!OSRRefE21_0_0x</vt:lpstr>
      <vt:lpstr>'Div 3'!OSRRefE21_0_0x</vt:lpstr>
      <vt:lpstr>'Div 4'!OSRRefE21_0_0x</vt:lpstr>
      <vt:lpstr>'Div 5'!OSRRefE21_0_0x</vt:lpstr>
      <vt:lpstr>'Div 6'!OSRRefE21_0_0x</vt:lpstr>
      <vt:lpstr>Summary!OSRRefE21_0_0x</vt:lpstr>
      <vt:lpstr>'Div 2'!OSRRefE21_0_10x</vt:lpstr>
      <vt:lpstr>'201'!OSRRefE21_0_1x</vt:lpstr>
      <vt:lpstr>'202'!OSRRefE21_0_1x</vt:lpstr>
      <vt:lpstr>'203'!OSRRefE21_0_1x</vt:lpstr>
      <vt:lpstr>'204'!OSRRefE21_0_1x</vt:lpstr>
      <vt:lpstr>'205'!OSRRefE21_0_1x</vt:lpstr>
      <vt:lpstr>'206'!OSRRefE21_0_1x</vt:lpstr>
      <vt:lpstr>'300'!OSRRefE21_0_1x</vt:lpstr>
      <vt:lpstr>'300 &amp; 317'!OSRRefE21_0_1x</vt:lpstr>
      <vt:lpstr>'301'!OSRRefE21_0_1x</vt:lpstr>
      <vt:lpstr>'307'!OSRRefE21_0_1x</vt:lpstr>
      <vt:lpstr>'308'!OSRRefE21_0_1x</vt:lpstr>
      <vt:lpstr>'309'!OSRRefE21_0_1x</vt:lpstr>
      <vt:lpstr>'310'!OSRRefE21_0_1x</vt:lpstr>
      <vt:lpstr>'310 &amp; 491'!OSRRefE21_0_1x</vt:lpstr>
      <vt:lpstr>'311'!OSRRefE21_0_1x</vt:lpstr>
      <vt:lpstr>'315'!OSRRefE21_0_1x</vt:lpstr>
      <vt:lpstr>'316'!OSRRefE21_0_1x</vt:lpstr>
      <vt:lpstr>'317'!OSRRefE21_0_1x</vt:lpstr>
      <vt:lpstr>'321'!OSRRefE21_0_1x</vt:lpstr>
      <vt:lpstr>'325'!OSRRefE21_0_1x</vt:lpstr>
      <vt:lpstr>'326'!OSRRefE21_0_1x</vt:lpstr>
      <vt:lpstr>'331'!OSRRefE21_0_1x</vt:lpstr>
      <vt:lpstr>'332'!OSRRefE21_0_1x</vt:lpstr>
      <vt:lpstr>'333'!OSRRefE21_0_1x</vt:lpstr>
      <vt:lpstr>'405'!OSRRefE21_0_1x</vt:lpstr>
      <vt:lpstr>'411'!OSRRefE21_0_1x</vt:lpstr>
      <vt:lpstr>'415'!OSRRefE21_0_1x</vt:lpstr>
      <vt:lpstr>'418'!OSRRefE21_0_1x</vt:lpstr>
      <vt:lpstr>'423'!OSRRefE21_0_1x</vt:lpstr>
      <vt:lpstr>'430'!OSRRefE21_0_1x</vt:lpstr>
      <vt:lpstr>'433'!OSRRefE21_0_1x</vt:lpstr>
      <vt:lpstr>'435'!OSRRefE21_0_1x</vt:lpstr>
      <vt:lpstr>'444'!OSRRefE21_0_1x</vt:lpstr>
      <vt:lpstr>'450'!OSRRefE21_0_1x</vt:lpstr>
      <vt:lpstr>'491'!OSRRefE21_0_1x</vt:lpstr>
      <vt:lpstr>'492'!OSRRefE21_0_1x</vt:lpstr>
      <vt:lpstr>'501'!OSRRefE21_0_1x</vt:lpstr>
      <vt:lpstr>'Div 2'!OSRRefE21_0_1x</vt:lpstr>
      <vt:lpstr>'Div 3'!OSRRefE21_0_1x</vt:lpstr>
      <vt:lpstr>'Div 4'!OSRRefE21_0_1x</vt:lpstr>
      <vt:lpstr>'Div 5'!OSRRefE21_0_1x</vt:lpstr>
      <vt:lpstr>'Div 6'!OSRRefE21_0_1x</vt:lpstr>
      <vt:lpstr>Summary!OSRRefE21_0_1x</vt:lpstr>
      <vt:lpstr>'201'!OSRRefE21_0_2x</vt:lpstr>
      <vt:lpstr>'202'!OSRRefE21_0_2x</vt:lpstr>
      <vt:lpstr>'203'!OSRRefE21_0_2x</vt:lpstr>
      <vt:lpstr>'204'!OSRRefE21_0_2x</vt:lpstr>
      <vt:lpstr>'205'!OSRRefE21_0_2x</vt:lpstr>
      <vt:lpstr>'206'!OSRRefE21_0_2x</vt:lpstr>
      <vt:lpstr>'300'!OSRRefE21_0_2x</vt:lpstr>
      <vt:lpstr>'300 &amp; 317'!OSRRefE21_0_2x</vt:lpstr>
      <vt:lpstr>'301'!OSRRefE21_0_2x</vt:lpstr>
      <vt:lpstr>'307'!OSRRefE21_0_2x</vt:lpstr>
      <vt:lpstr>'308'!OSRRefE21_0_2x</vt:lpstr>
      <vt:lpstr>'310'!OSRRefE21_0_2x</vt:lpstr>
      <vt:lpstr>'310 &amp; 491'!OSRRefE21_0_2x</vt:lpstr>
      <vt:lpstr>'311'!OSRRefE21_0_2x</vt:lpstr>
      <vt:lpstr>'315'!OSRRefE21_0_2x</vt:lpstr>
      <vt:lpstr>'316'!OSRRefE21_0_2x</vt:lpstr>
      <vt:lpstr>'317'!OSRRefE21_0_2x</vt:lpstr>
      <vt:lpstr>'321'!OSRRefE21_0_2x</vt:lpstr>
      <vt:lpstr>'325'!OSRRefE21_0_2x</vt:lpstr>
      <vt:lpstr>'326'!OSRRefE21_0_2x</vt:lpstr>
      <vt:lpstr>'331'!OSRRefE21_0_2x</vt:lpstr>
      <vt:lpstr>'332'!OSRRefE21_0_2x</vt:lpstr>
      <vt:lpstr>'333'!OSRRefE21_0_2x</vt:lpstr>
      <vt:lpstr>'405'!OSRRefE21_0_2x</vt:lpstr>
      <vt:lpstr>'411'!OSRRefE21_0_2x</vt:lpstr>
      <vt:lpstr>'415'!OSRRefE21_0_2x</vt:lpstr>
      <vt:lpstr>'418'!OSRRefE21_0_2x</vt:lpstr>
      <vt:lpstr>'423'!OSRRefE21_0_2x</vt:lpstr>
      <vt:lpstr>'430'!OSRRefE21_0_2x</vt:lpstr>
      <vt:lpstr>'433'!OSRRefE21_0_2x</vt:lpstr>
      <vt:lpstr>'444'!OSRRefE21_0_2x</vt:lpstr>
      <vt:lpstr>'450'!OSRRefE21_0_2x</vt:lpstr>
      <vt:lpstr>'491'!OSRRefE21_0_2x</vt:lpstr>
      <vt:lpstr>'492'!OSRRefE21_0_2x</vt:lpstr>
      <vt:lpstr>'501'!OSRRefE21_0_2x</vt:lpstr>
      <vt:lpstr>'Div 2'!OSRRefE21_0_2x</vt:lpstr>
      <vt:lpstr>'Div 3'!OSRRefE21_0_2x</vt:lpstr>
      <vt:lpstr>'Div 4'!OSRRefE21_0_2x</vt:lpstr>
      <vt:lpstr>'Div 5'!OSRRefE21_0_2x</vt:lpstr>
      <vt:lpstr>'Div 6'!OSRRefE21_0_2x</vt:lpstr>
      <vt:lpstr>Summary!OSRRefE21_0_2x</vt:lpstr>
      <vt:lpstr>'201'!OSRRefE21_0_3x</vt:lpstr>
      <vt:lpstr>'202'!OSRRefE21_0_3x</vt:lpstr>
      <vt:lpstr>'203'!OSRRefE21_0_3x</vt:lpstr>
      <vt:lpstr>'204'!OSRRefE21_0_3x</vt:lpstr>
      <vt:lpstr>'205'!OSRRefE21_0_3x</vt:lpstr>
      <vt:lpstr>'206'!OSRRefE21_0_3x</vt:lpstr>
      <vt:lpstr>'300'!OSRRefE21_0_3x</vt:lpstr>
      <vt:lpstr>'300 &amp; 317'!OSRRefE21_0_3x</vt:lpstr>
      <vt:lpstr>'301'!OSRRefE21_0_3x</vt:lpstr>
      <vt:lpstr>'307'!OSRRefE21_0_3x</vt:lpstr>
      <vt:lpstr>'308'!OSRRefE21_0_3x</vt:lpstr>
      <vt:lpstr>'310'!OSRRefE21_0_3x</vt:lpstr>
      <vt:lpstr>'310 &amp; 491'!OSRRefE21_0_3x</vt:lpstr>
      <vt:lpstr>'311'!OSRRefE21_0_3x</vt:lpstr>
      <vt:lpstr>'315'!OSRRefE21_0_3x</vt:lpstr>
      <vt:lpstr>'316'!OSRRefE21_0_3x</vt:lpstr>
      <vt:lpstr>'317'!OSRRefE21_0_3x</vt:lpstr>
      <vt:lpstr>'321'!OSRRefE21_0_3x</vt:lpstr>
      <vt:lpstr>'325'!OSRRefE21_0_3x</vt:lpstr>
      <vt:lpstr>'326'!OSRRefE21_0_3x</vt:lpstr>
      <vt:lpstr>'331'!OSRRefE21_0_3x</vt:lpstr>
      <vt:lpstr>'332'!OSRRefE21_0_3x</vt:lpstr>
      <vt:lpstr>'333'!OSRRefE21_0_3x</vt:lpstr>
      <vt:lpstr>'405'!OSRRefE21_0_3x</vt:lpstr>
      <vt:lpstr>'411'!OSRRefE21_0_3x</vt:lpstr>
      <vt:lpstr>'415'!OSRRefE21_0_3x</vt:lpstr>
      <vt:lpstr>'418'!OSRRefE21_0_3x</vt:lpstr>
      <vt:lpstr>'423'!OSRRefE21_0_3x</vt:lpstr>
      <vt:lpstr>'430'!OSRRefE21_0_3x</vt:lpstr>
      <vt:lpstr>'433'!OSRRefE21_0_3x</vt:lpstr>
      <vt:lpstr>'444'!OSRRefE21_0_3x</vt:lpstr>
      <vt:lpstr>'450'!OSRRefE21_0_3x</vt:lpstr>
      <vt:lpstr>'491'!OSRRefE21_0_3x</vt:lpstr>
      <vt:lpstr>'492'!OSRRefE21_0_3x</vt:lpstr>
      <vt:lpstr>'501'!OSRRefE21_0_3x</vt:lpstr>
      <vt:lpstr>'Div 2'!OSRRefE21_0_3x</vt:lpstr>
      <vt:lpstr>'Div 3'!OSRRefE21_0_3x</vt:lpstr>
      <vt:lpstr>'Div 4'!OSRRefE21_0_3x</vt:lpstr>
      <vt:lpstr>'Div 5'!OSRRefE21_0_3x</vt:lpstr>
      <vt:lpstr>'Div 6'!OSRRefE21_0_3x</vt:lpstr>
      <vt:lpstr>Summary!OSRRefE21_0_3x</vt:lpstr>
      <vt:lpstr>'201'!OSRRefE21_0_4x</vt:lpstr>
      <vt:lpstr>'202'!OSRRefE21_0_4x</vt:lpstr>
      <vt:lpstr>'203'!OSRRefE21_0_4x</vt:lpstr>
      <vt:lpstr>'204'!OSRRefE21_0_4x</vt:lpstr>
      <vt:lpstr>'205'!OSRRefE21_0_4x</vt:lpstr>
      <vt:lpstr>'206'!OSRRefE21_0_4x</vt:lpstr>
      <vt:lpstr>'300'!OSRRefE21_0_4x</vt:lpstr>
      <vt:lpstr>'300 &amp; 317'!OSRRefE21_0_4x</vt:lpstr>
      <vt:lpstr>'301'!OSRRefE21_0_4x</vt:lpstr>
      <vt:lpstr>'307'!OSRRefE21_0_4x</vt:lpstr>
      <vt:lpstr>'308'!OSRRefE21_0_4x</vt:lpstr>
      <vt:lpstr>'310'!OSRRefE21_0_4x</vt:lpstr>
      <vt:lpstr>'310 &amp; 491'!OSRRefE21_0_4x</vt:lpstr>
      <vt:lpstr>'311'!OSRRefE21_0_4x</vt:lpstr>
      <vt:lpstr>'315'!OSRRefE21_0_4x</vt:lpstr>
      <vt:lpstr>'316'!OSRRefE21_0_4x</vt:lpstr>
      <vt:lpstr>'317'!OSRRefE21_0_4x</vt:lpstr>
      <vt:lpstr>'321'!OSRRefE21_0_4x</vt:lpstr>
      <vt:lpstr>'325'!OSRRefE21_0_4x</vt:lpstr>
      <vt:lpstr>'326'!OSRRefE21_0_4x</vt:lpstr>
      <vt:lpstr>'331'!OSRRefE21_0_4x</vt:lpstr>
      <vt:lpstr>'332'!OSRRefE21_0_4x</vt:lpstr>
      <vt:lpstr>'333'!OSRRefE21_0_4x</vt:lpstr>
      <vt:lpstr>'405'!OSRRefE21_0_4x</vt:lpstr>
      <vt:lpstr>'411'!OSRRefE21_0_4x</vt:lpstr>
      <vt:lpstr>'415'!OSRRefE21_0_4x</vt:lpstr>
      <vt:lpstr>'418'!OSRRefE21_0_4x</vt:lpstr>
      <vt:lpstr>'423'!OSRRefE21_0_4x</vt:lpstr>
      <vt:lpstr>'430'!OSRRefE21_0_4x</vt:lpstr>
      <vt:lpstr>'433'!OSRRefE21_0_4x</vt:lpstr>
      <vt:lpstr>'444'!OSRRefE21_0_4x</vt:lpstr>
      <vt:lpstr>'450'!OSRRefE21_0_4x</vt:lpstr>
      <vt:lpstr>'491'!OSRRefE21_0_4x</vt:lpstr>
      <vt:lpstr>'492'!OSRRefE21_0_4x</vt:lpstr>
      <vt:lpstr>'501'!OSRRefE21_0_4x</vt:lpstr>
      <vt:lpstr>'Div 2'!OSRRefE21_0_4x</vt:lpstr>
      <vt:lpstr>'Div 3'!OSRRefE21_0_4x</vt:lpstr>
      <vt:lpstr>'Div 4'!OSRRefE21_0_4x</vt:lpstr>
      <vt:lpstr>'Div 5'!OSRRefE21_0_4x</vt:lpstr>
      <vt:lpstr>'Div 6'!OSRRefE21_0_4x</vt:lpstr>
      <vt:lpstr>Summary!OSRRefE21_0_4x</vt:lpstr>
      <vt:lpstr>'201'!OSRRefE21_0_5x</vt:lpstr>
      <vt:lpstr>'202'!OSRRefE21_0_5x</vt:lpstr>
      <vt:lpstr>'203'!OSRRefE21_0_5x</vt:lpstr>
      <vt:lpstr>'204'!OSRRefE21_0_5x</vt:lpstr>
      <vt:lpstr>'205'!OSRRefE21_0_5x</vt:lpstr>
      <vt:lpstr>'206'!OSRRefE21_0_5x</vt:lpstr>
      <vt:lpstr>'300'!OSRRefE21_0_5x</vt:lpstr>
      <vt:lpstr>'300 &amp; 317'!OSRRefE21_0_5x</vt:lpstr>
      <vt:lpstr>'301'!OSRRefE21_0_5x</vt:lpstr>
      <vt:lpstr>'307'!OSRRefE21_0_5x</vt:lpstr>
      <vt:lpstr>'308'!OSRRefE21_0_5x</vt:lpstr>
      <vt:lpstr>'310'!OSRRefE21_0_5x</vt:lpstr>
      <vt:lpstr>'310 &amp; 491'!OSRRefE21_0_5x</vt:lpstr>
      <vt:lpstr>'311'!OSRRefE21_0_5x</vt:lpstr>
      <vt:lpstr>'315'!OSRRefE21_0_5x</vt:lpstr>
      <vt:lpstr>'316'!OSRRefE21_0_5x</vt:lpstr>
      <vt:lpstr>'317'!OSRRefE21_0_5x</vt:lpstr>
      <vt:lpstr>'321'!OSRRefE21_0_5x</vt:lpstr>
      <vt:lpstr>'325'!OSRRefE21_0_5x</vt:lpstr>
      <vt:lpstr>'326'!OSRRefE21_0_5x</vt:lpstr>
      <vt:lpstr>'331'!OSRRefE21_0_5x</vt:lpstr>
      <vt:lpstr>'332'!OSRRefE21_0_5x</vt:lpstr>
      <vt:lpstr>'333'!OSRRefE21_0_5x</vt:lpstr>
      <vt:lpstr>'405'!OSRRefE21_0_5x</vt:lpstr>
      <vt:lpstr>'411'!OSRRefE21_0_5x</vt:lpstr>
      <vt:lpstr>'415'!OSRRefE21_0_5x</vt:lpstr>
      <vt:lpstr>'418'!OSRRefE21_0_5x</vt:lpstr>
      <vt:lpstr>'423'!OSRRefE21_0_5x</vt:lpstr>
      <vt:lpstr>'430'!OSRRefE21_0_5x</vt:lpstr>
      <vt:lpstr>'433'!OSRRefE21_0_5x</vt:lpstr>
      <vt:lpstr>'444'!OSRRefE21_0_5x</vt:lpstr>
      <vt:lpstr>'450'!OSRRefE21_0_5x</vt:lpstr>
      <vt:lpstr>'491'!OSRRefE21_0_5x</vt:lpstr>
      <vt:lpstr>'492'!OSRRefE21_0_5x</vt:lpstr>
      <vt:lpstr>'501'!OSRRefE21_0_5x</vt:lpstr>
      <vt:lpstr>'Div 2'!OSRRefE21_0_5x</vt:lpstr>
      <vt:lpstr>'Div 3'!OSRRefE21_0_5x</vt:lpstr>
      <vt:lpstr>'Div 4'!OSRRefE21_0_5x</vt:lpstr>
      <vt:lpstr>'Div 5'!OSRRefE21_0_5x</vt:lpstr>
      <vt:lpstr>'Div 6'!OSRRefE21_0_5x</vt:lpstr>
      <vt:lpstr>Summary!OSRRefE21_0_5x</vt:lpstr>
      <vt:lpstr>'201'!OSRRefE21_0_6x</vt:lpstr>
      <vt:lpstr>'202'!OSRRefE21_0_6x</vt:lpstr>
      <vt:lpstr>'203'!OSRRefE21_0_6x</vt:lpstr>
      <vt:lpstr>'204'!OSRRefE21_0_6x</vt:lpstr>
      <vt:lpstr>'205'!OSRRefE21_0_6x</vt:lpstr>
      <vt:lpstr>'206'!OSRRefE21_0_6x</vt:lpstr>
      <vt:lpstr>'300'!OSRRefE21_0_6x</vt:lpstr>
      <vt:lpstr>'300 &amp; 317'!OSRRefE21_0_6x</vt:lpstr>
      <vt:lpstr>'301'!OSRRefE21_0_6x</vt:lpstr>
      <vt:lpstr>'307'!OSRRefE21_0_6x</vt:lpstr>
      <vt:lpstr>'308'!OSRRefE21_0_6x</vt:lpstr>
      <vt:lpstr>'310'!OSRRefE21_0_6x</vt:lpstr>
      <vt:lpstr>'310 &amp; 491'!OSRRefE21_0_6x</vt:lpstr>
      <vt:lpstr>'311'!OSRRefE21_0_6x</vt:lpstr>
      <vt:lpstr>'315'!OSRRefE21_0_6x</vt:lpstr>
      <vt:lpstr>'316'!OSRRefE21_0_6x</vt:lpstr>
      <vt:lpstr>'317'!OSRRefE21_0_6x</vt:lpstr>
      <vt:lpstr>'321'!OSRRefE21_0_6x</vt:lpstr>
      <vt:lpstr>'325'!OSRRefE21_0_6x</vt:lpstr>
      <vt:lpstr>'326'!OSRRefE21_0_6x</vt:lpstr>
      <vt:lpstr>'331'!OSRRefE21_0_6x</vt:lpstr>
      <vt:lpstr>'332'!OSRRefE21_0_6x</vt:lpstr>
      <vt:lpstr>'333'!OSRRefE21_0_6x</vt:lpstr>
      <vt:lpstr>'405'!OSRRefE21_0_6x</vt:lpstr>
      <vt:lpstr>'411'!OSRRefE21_0_6x</vt:lpstr>
      <vt:lpstr>'415'!OSRRefE21_0_6x</vt:lpstr>
      <vt:lpstr>'418'!OSRRefE21_0_6x</vt:lpstr>
      <vt:lpstr>'423'!OSRRefE21_0_6x</vt:lpstr>
      <vt:lpstr>'430'!OSRRefE21_0_6x</vt:lpstr>
      <vt:lpstr>'433'!OSRRefE21_0_6x</vt:lpstr>
      <vt:lpstr>'444'!OSRRefE21_0_6x</vt:lpstr>
      <vt:lpstr>'450'!OSRRefE21_0_6x</vt:lpstr>
      <vt:lpstr>'491'!OSRRefE21_0_6x</vt:lpstr>
      <vt:lpstr>'492'!OSRRefE21_0_6x</vt:lpstr>
      <vt:lpstr>'501'!OSRRefE21_0_6x</vt:lpstr>
      <vt:lpstr>'Div 2'!OSRRefE21_0_6x</vt:lpstr>
      <vt:lpstr>'Div 3'!OSRRefE21_0_6x</vt:lpstr>
      <vt:lpstr>'Div 4'!OSRRefE21_0_6x</vt:lpstr>
      <vt:lpstr>'Div 5'!OSRRefE21_0_6x</vt:lpstr>
      <vt:lpstr>'Div 6'!OSRRefE21_0_6x</vt:lpstr>
      <vt:lpstr>Summary!OSRRefE21_0_6x</vt:lpstr>
      <vt:lpstr>'201'!OSRRefE21_0_7x</vt:lpstr>
      <vt:lpstr>'202'!OSRRefE21_0_7x</vt:lpstr>
      <vt:lpstr>'203'!OSRRefE21_0_7x</vt:lpstr>
      <vt:lpstr>'204'!OSRRefE21_0_7x</vt:lpstr>
      <vt:lpstr>'205'!OSRRefE21_0_7x</vt:lpstr>
      <vt:lpstr>'206'!OSRRefE21_0_7x</vt:lpstr>
      <vt:lpstr>'300'!OSRRefE21_0_7x</vt:lpstr>
      <vt:lpstr>'300 &amp; 317'!OSRRefE21_0_7x</vt:lpstr>
      <vt:lpstr>'301'!OSRRefE21_0_7x</vt:lpstr>
      <vt:lpstr>'307'!OSRRefE21_0_7x</vt:lpstr>
      <vt:lpstr>'308'!OSRRefE21_0_7x</vt:lpstr>
      <vt:lpstr>'310'!OSRRefE21_0_7x</vt:lpstr>
      <vt:lpstr>'310 &amp; 491'!OSRRefE21_0_7x</vt:lpstr>
      <vt:lpstr>'311'!OSRRefE21_0_7x</vt:lpstr>
      <vt:lpstr>'315'!OSRRefE21_0_7x</vt:lpstr>
      <vt:lpstr>'316'!OSRRefE21_0_7x</vt:lpstr>
      <vt:lpstr>'317'!OSRRefE21_0_7x</vt:lpstr>
      <vt:lpstr>'321'!OSRRefE21_0_7x</vt:lpstr>
      <vt:lpstr>'325'!OSRRefE21_0_7x</vt:lpstr>
      <vt:lpstr>'326'!OSRRefE21_0_7x</vt:lpstr>
      <vt:lpstr>'331'!OSRRefE21_0_7x</vt:lpstr>
      <vt:lpstr>'332'!OSRRefE21_0_7x</vt:lpstr>
      <vt:lpstr>'333'!OSRRefE21_0_7x</vt:lpstr>
      <vt:lpstr>'405'!OSRRefE21_0_7x</vt:lpstr>
      <vt:lpstr>'411'!OSRRefE21_0_7x</vt:lpstr>
      <vt:lpstr>'415'!OSRRefE21_0_7x</vt:lpstr>
      <vt:lpstr>'418'!OSRRefE21_0_7x</vt:lpstr>
      <vt:lpstr>'423'!OSRRefE21_0_7x</vt:lpstr>
      <vt:lpstr>'430'!OSRRefE21_0_7x</vt:lpstr>
      <vt:lpstr>'433'!OSRRefE21_0_7x</vt:lpstr>
      <vt:lpstr>'444'!OSRRefE21_0_7x</vt:lpstr>
      <vt:lpstr>'450'!OSRRefE21_0_7x</vt:lpstr>
      <vt:lpstr>'491'!OSRRefE21_0_7x</vt:lpstr>
      <vt:lpstr>'492'!OSRRefE21_0_7x</vt:lpstr>
      <vt:lpstr>'501'!OSRRefE21_0_7x</vt:lpstr>
      <vt:lpstr>'Div 2'!OSRRefE21_0_7x</vt:lpstr>
      <vt:lpstr>'Div 3'!OSRRefE21_0_7x</vt:lpstr>
      <vt:lpstr>'Div 4'!OSRRefE21_0_7x</vt:lpstr>
      <vt:lpstr>'Div 5'!OSRRefE21_0_7x</vt:lpstr>
      <vt:lpstr>'Div 6'!OSRRefE21_0_7x</vt:lpstr>
      <vt:lpstr>Summary!OSRRefE21_0_7x</vt:lpstr>
      <vt:lpstr>'201'!OSRRefE21_0_8x</vt:lpstr>
      <vt:lpstr>'202'!OSRRefE21_0_8x</vt:lpstr>
      <vt:lpstr>'203'!OSRRefE21_0_8x</vt:lpstr>
      <vt:lpstr>'204'!OSRRefE21_0_8x</vt:lpstr>
      <vt:lpstr>'205'!OSRRefE21_0_8x</vt:lpstr>
      <vt:lpstr>'206'!OSRRefE21_0_8x</vt:lpstr>
      <vt:lpstr>'300'!OSRRefE21_0_8x</vt:lpstr>
      <vt:lpstr>'300 &amp; 317'!OSRRefE21_0_8x</vt:lpstr>
      <vt:lpstr>'301'!OSRRefE21_0_8x</vt:lpstr>
      <vt:lpstr>'307'!OSRRefE21_0_8x</vt:lpstr>
      <vt:lpstr>'308'!OSRRefE21_0_8x</vt:lpstr>
      <vt:lpstr>'310'!OSRRefE21_0_8x</vt:lpstr>
      <vt:lpstr>'310 &amp; 491'!OSRRefE21_0_8x</vt:lpstr>
      <vt:lpstr>'311'!OSRRefE21_0_8x</vt:lpstr>
      <vt:lpstr>'315'!OSRRefE21_0_8x</vt:lpstr>
      <vt:lpstr>'316'!OSRRefE21_0_8x</vt:lpstr>
      <vt:lpstr>'317'!OSRRefE21_0_8x</vt:lpstr>
      <vt:lpstr>'321'!OSRRefE21_0_8x</vt:lpstr>
      <vt:lpstr>'325'!OSRRefE21_0_8x</vt:lpstr>
      <vt:lpstr>'326'!OSRRefE21_0_8x</vt:lpstr>
      <vt:lpstr>'331'!OSRRefE21_0_8x</vt:lpstr>
      <vt:lpstr>'332'!OSRRefE21_0_8x</vt:lpstr>
      <vt:lpstr>'333'!OSRRefE21_0_8x</vt:lpstr>
      <vt:lpstr>'405'!OSRRefE21_0_8x</vt:lpstr>
      <vt:lpstr>'411'!OSRRefE21_0_8x</vt:lpstr>
      <vt:lpstr>'415'!OSRRefE21_0_8x</vt:lpstr>
      <vt:lpstr>'418'!OSRRefE21_0_8x</vt:lpstr>
      <vt:lpstr>'430'!OSRRefE21_0_8x</vt:lpstr>
      <vt:lpstr>'433'!OSRRefE21_0_8x</vt:lpstr>
      <vt:lpstr>'444'!OSRRefE21_0_8x</vt:lpstr>
      <vt:lpstr>'450'!OSRRefE21_0_8x</vt:lpstr>
      <vt:lpstr>'491'!OSRRefE21_0_8x</vt:lpstr>
      <vt:lpstr>'492'!OSRRefE21_0_8x</vt:lpstr>
      <vt:lpstr>'501'!OSRRefE21_0_8x</vt:lpstr>
      <vt:lpstr>'Div 2'!OSRRefE21_0_8x</vt:lpstr>
      <vt:lpstr>'Div 3'!OSRRefE21_0_8x</vt:lpstr>
      <vt:lpstr>'Div 4'!OSRRefE21_0_8x</vt:lpstr>
      <vt:lpstr>'Div 5'!OSRRefE21_0_8x</vt:lpstr>
      <vt:lpstr>'Div 6'!OSRRefE21_0_8x</vt:lpstr>
      <vt:lpstr>Summary!OSRRefE21_0_8x</vt:lpstr>
      <vt:lpstr>'203'!OSRRefE21_0_9x</vt:lpstr>
      <vt:lpstr>'300'!OSRRefE21_0_9x</vt:lpstr>
      <vt:lpstr>'300 &amp; 317'!OSRRefE21_0_9x</vt:lpstr>
      <vt:lpstr>'301'!OSRRefE21_0_9x</vt:lpstr>
      <vt:lpstr>'308'!OSRRefE21_0_9x</vt:lpstr>
      <vt:lpstr>'310'!OSRRefE21_0_9x</vt:lpstr>
      <vt:lpstr>'310 &amp; 491'!OSRRefE21_0_9x</vt:lpstr>
      <vt:lpstr>'311'!OSRRefE21_0_9x</vt:lpstr>
      <vt:lpstr>'317'!OSRRefE21_0_9x</vt:lpstr>
      <vt:lpstr>'321'!OSRRefE21_0_9x</vt:lpstr>
      <vt:lpstr>'415'!OSRRefE21_0_9x</vt:lpstr>
      <vt:lpstr>'433'!OSRRefE21_0_9x</vt:lpstr>
      <vt:lpstr>'444'!OSRRefE21_0_9x</vt:lpstr>
      <vt:lpstr>'450'!OSRRefE21_0_9x</vt:lpstr>
      <vt:lpstr>'491'!OSRRefE21_0_9x</vt:lpstr>
      <vt:lpstr>'492'!OSRRefE21_0_9x</vt:lpstr>
      <vt:lpstr>'501'!OSRRefE21_0_9x</vt:lpstr>
      <vt:lpstr>'Div 2'!OSRRefE21_0_9x</vt:lpstr>
      <vt:lpstr>'Div 3'!OSRRefE21_0_9x</vt:lpstr>
      <vt:lpstr>'Div 4'!OSRRefE21_0_9x</vt:lpstr>
      <vt:lpstr>'Div 5'!OSRRefE21_0_9x</vt:lpstr>
      <vt:lpstr>'Div 6'!OSRRefE21_0_9x</vt:lpstr>
      <vt:lpstr>Summary!OSRRefE21_0_9x</vt:lpstr>
      <vt:lpstr>'200'!OSRRefE21_0x_0</vt:lpstr>
      <vt:lpstr>'201'!OSRRefE21_0x_0</vt:lpstr>
      <vt:lpstr>'202'!OSRRefE21_0x_0</vt:lpstr>
      <vt:lpstr>'203'!OSRRefE21_0x_0</vt:lpstr>
      <vt:lpstr>'204'!OSRRefE21_0x_0</vt:lpstr>
      <vt:lpstr>'205'!OSRRefE21_0x_0</vt:lpstr>
      <vt:lpstr>'206'!OSRRefE21_0x_0</vt:lpstr>
      <vt:lpstr>'300'!OSRRefE21_0x_0</vt:lpstr>
      <vt:lpstr>'300 &amp; 317'!OSRRefE21_0x_0</vt:lpstr>
      <vt:lpstr>'301'!OSRRefE21_0x_0</vt:lpstr>
      <vt:lpstr>'307'!OSRRefE21_0x_0</vt:lpstr>
      <vt:lpstr>'308'!OSRRefE21_0x_0</vt:lpstr>
      <vt:lpstr>'309'!OSRRefE21_0x_0</vt:lpstr>
      <vt:lpstr>'310'!OSRRefE21_0x_0</vt:lpstr>
      <vt:lpstr>'310 &amp; 491'!OSRRefE21_0x_0</vt:lpstr>
      <vt:lpstr>'311'!OSRRefE21_0x_0</vt:lpstr>
      <vt:lpstr>'313'!OSRRefE21_0x_0</vt:lpstr>
      <vt:lpstr>'315'!OSRRefE21_0x_0</vt:lpstr>
      <vt:lpstr>'316'!OSRRefE21_0x_0</vt:lpstr>
      <vt:lpstr>'317'!OSRRefE21_0x_0</vt:lpstr>
      <vt:lpstr>'321'!OSRRefE21_0x_0</vt:lpstr>
      <vt:lpstr>'322'!OSRRefE21_0x_0</vt:lpstr>
      <vt:lpstr>'325'!OSRRefE21_0x_0</vt:lpstr>
      <vt:lpstr>'326'!OSRRefE21_0x_0</vt:lpstr>
      <vt:lpstr>'327'!OSRRefE21_0x_0</vt:lpstr>
      <vt:lpstr>'331'!OSRRefE21_0x_0</vt:lpstr>
      <vt:lpstr>'332'!OSRRefE21_0x_0</vt:lpstr>
      <vt:lpstr>'333'!OSRRefE21_0x_0</vt:lpstr>
      <vt:lpstr>'405'!OSRRefE21_0x_0</vt:lpstr>
      <vt:lpstr>'406'!OSRRefE21_0x_0</vt:lpstr>
      <vt:lpstr>'411'!OSRRefE21_0x_0</vt:lpstr>
      <vt:lpstr>'412'!OSRRefE21_0x_0</vt:lpstr>
      <vt:lpstr>'413'!OSRRefE21_0x_0</vt:lpstr>
      <vt:lpstr>'414'!OSRRefE21_0x_0</vt:lpstr>
      <vt:lpstr>'415'!OSRRefE21_0x_0</vt:lpstr>
      <vt:lpstr>'418'!OSRRefE21_0x_0</vt:lpstr>
      <vt:lpstr>'423'!OSRRefE21_0x_0</vt:lpstr>
      <vt:lpstr>'424'!OSRRefE21_0x_0</vt:lpstr>
      <vt:lpstr>'425'!OSRRefE21_0x_0</vt:lpstr>
      <vt:lpstr>'430'!OSRRefE21_0x_0</vt:lpstr>
      <vt:lpstr>'433'!OSRRefE21_0x_0</vt:lpstr>
      <vt:lpstr>'435'!OSRRefE21_0x_0</vt:lpstr>
      <vt:lpstr>'444'!OSRRefE21_0x_0</vt:lpstr>
      <vt:lpstr>'450'!OSRRefE21_0x_0</vt:lpstr>
      <vt:lpstr>'491'!OSRRefE21_0x_0</vt:lpstr>
      <vt:lpstr>'492'!OSRRefE21_0x_0</vt:lpstr>
      <vt:lpstr>'501'!OSRRefE21_0x_0</vt:lpstr>
      <vt:lpstr>'Div 2'!OSRRefE21_0x_0</vt:lpstr>
      <vt:lpstr>'Div 3'!OSRRefE21_0x_0</vt:lpstr>
      <vt:lpstr>'Div 4'!OSRRefE21_0x_0</vt:lpstr>
      <vt:lpstr>'Div 5'!OSRRefE21_0x_0</vt:lpstr>
      <vt:lpstr>'Div 6'!OSRRefE21_0x_0</vt:lpstr>
      <vt:lpstr>Summary!OSRRefE21_0x_0</vt:lpstr>
      <vt:lpstr>'200'!OSRRefE21_0x_1</vt:lpstr>
      <vt:lpstr>'201'!OSRRefE21_0x_1</vt:lpstr>
      <vt:lpstr>'202'!OSRRefE21_0x_1</vt:lpstr>
      <vt:lpstr>'203'!OSRRefE21_0x_1</vt:lpstr>
      <vt:lpstr>'204'!OSRRefE21_0x_1</vt:lpstr>
      <vt:lpstr>'205'!OSRRefE21_0x_1</vt:lpstr>
      <vt:lpstr>'206'!OSRRefE21_0x_1</vt:lpstr>
      <vt:lpstr>'300'!OSRRefE21_0x_1</vt:lpstr>
      <vt:lpstr>'300 &amp; 317'!OSRRefE21_0x_1</vt:lpstr>
      <vt:lpstr>'301'!OSRRefE21_0x_1</vt:lpstr>
      <vt:lpstr>'307'!OSRRefE21_0x_1</vt:lpstr>
      <vt:lpstr>'308'!OSRRefE21_0x_1</vt:lpstr>
      <vt:lpstr>'309'!OSRRefE21_0x_1</vt:lpstr>
      <vt:lpstr>'310'!OSRRefE21_0x_1</vt:lpstr>
      <vt:lpstr>'310 &amp; 491'!OSRRefE21_0x_1</vt:lpstr>
      <vt:lpstr>'311'!OSRRefE21_0x_1</vt:lpstr>
      <vt:lpstr>'313'!OSRRefE21_0x_1</vt:lpstr>
      <vt:lpstr>'315'!OSRRefE21_0x_1</vt:lpstr>
      <vt:lpstr>'316'!OSRRefE21_0x_1</vt:lpstr>
      <vt:lpstr>'317'!OSRRefE21_0x_1</vt:lpstr>
      <vt:lpstr>'321'!OSRRefE21_0x_1</vt:lpstr>
      <vt:lpstr>'322'!OSRRefE21_0x_1</vt:lpstr>
      <vt:lpstr>'325'!OSRRefE21_0x_1</vt:lpstr>
      <vt:lpstr>'326'!OSRRefE21_0x_1</vt:lpstr>
      <vt:lpstr>'327'!OSRRefE21_0x_1</vt:lpstr>
      <vt:lpstr>'331'!OSRRefE21_0x_1</vt:lpstr>
      <vt:lpstr>'332'!OSRRefE21_0x_1</vt:lpstr>
      <vt:lpstr>'333'!OSRRefE21_0x_1</vt:lpstr>
      <vt:lpstr>'405'!OSRRefE21_0x_1</vt:lpstr>
      <vt:lpstr>'406'!OSRRefE21_0x_1</vt:lpstr>
      <vt:lpstr>'411'!OSRRefE21_0x_1</vt:lpstr>
      <vt:lpstr>'412'!OSRRefE21_0x_1</vt:lpstr>
      <vt:lpstr>'413'!OSRRefE21_0x_1</vt:lpstr>
      <vt:lpstr>'414'!OSRRefE21_0x_1</vt:lpstr>
      <vt:lpstr>'415'!OSRRefE21_0x_1</vt:lpstr>
      <vt:lpstr>'418'!OSRRefE21_0x_1</vt:lpstr>
      <vt:lpstr>'423'!OSRRefE21_0x_1</vt:lpstr>
      <vt:lpstr>'424'!OSRRefE21_0x_1</vt:lpstr>
      <vt:lpstr>'425'!OSRRefE21_0x_1</vt:lpstr>
      <vt:lpstr>'430'!OSRRefE21_0x_1</vt:lpstr>
      <vt:lpstr>'433'!OSRRefE21_0x_1</vt:lpstr>
      <vt:lpstr>'435'!OSRRefE21_0x_1</vt:lpstr>
      <vt:lpstr>'444'!OSRRefE21_0x_1</vt:lpstr>
      <vt:lpstr>'450'!OSRRefE21_0x_1</vt:lpstr>
      <vt:lpstr>'491'!OSRRefE21_0x_1</vt:lpstr>
      <vt:lpstr>'492'!OSRRefE21_0x_1</vt:lpstr>
      <vt:lpstr>'501'!OSRRefE21_0x_1</vt:lpstr>
      <vt:lpstr>'Div 2'!OSRRefE21_0x_1</vt:lpstr>
      <vt:lpstr>'Div 3'!OSRRefE21_0x_1</vt:lpstr>
      <vt:lpstr>'Div 4'!OSRRefE21_0x_1</vt:lpstr>
      <vt:lpstr>'Div 5'!OSRRefE21_0x_1</vt:lpstr>
      <vt:lpstr>'Div 6'!OSRRefE21_0x_1</vt:lpstr>
      <vt:lpstr>Summary!OSRRefE21_0x_1</vt:lpstr>
      <vt:lpstr>'200'!OSRRefE21_1_0x</vt:lpstr>
      <vt:lpstr>'201'!OSRRefE21_1_0x</vt:lpstr>
      <vt:lpstr>'202'!OSRRefE21_1_0x</vt:lpstr>
      <vt:lpstr>'203'!OSRRefE21_1_0x</vt:lpstr>
      <vt:lpstr>'204'!OSRRefE21_1_0x</vt:lpstr>
      <vt:lpstr>'205'!OSRRefE21_1_0x</vt:lpstr>
      <vt:lpstr>'206'!OSRRefE21_1_0x</vt:lpstr>
      <vt:lpstr>'300'!OSRRefE21_1_0x</vt:lpstr>
      <vt:lpstr>'300 &amp; 317'!OSRRefE21_1_0x</vt:lpstr>
      <vt:lpstr>'301'!OSRRefE21_1_0x</vt:lpstr>
      <vt:lpstr>'307'!OSRRefE21_1_0x</vt:lpstr>
      <vt:lpstr>'308'!OSRRefE21_1_0x</vt:lpstr>
      <vt:lpstr>'309'!OSRRefE21_1_0x</vt:lpstr>
      <vt:lpstr>'310'!OSRRefE21_1_0x</vt:lpstr>
      <vt:lpstr>'310 &amp; 491'!OSRRefE21_1_0x</vt:lpstr>
      <vt:lpstr>'311'!OSRRefE21_1_0x</vt:lpstr>
      <vt:lpstr>'313'!OSRRefE21_1_0x</vt:lpstr>
      <vt:lpstr>'315'!OSRRefE21_1_0x</vt:lpstr>
      <vt:lpstr>'316'!OSRRefE21_1_0x</vt:lpstr>
      <vt:lpstr>'317'!OSRRefE21_1_0x</vt:lpstr>
      <vt:lpstr>'321'!OSRRefE21_1_0x</vt:lpstr>
      <vt:lpstr>'325'!OSRRefE21_1_0x</vt:lpstr>
      <vt:lpstr>'326'!OSRRefE21_1_0x</vt:lpstr>
      <vt:lpstr>'327'!OSRRefE21_1_0x</vt:lpstr>
      <vt:lpstr>'331'!OSRRefE21_1_0x</vt:lpstr>
      <vt:lpstr>'332'!OSRRefE21_1_0x</vt:lpstr>
      <vt:lpstr>'333'!OSRRefE21_1_0x</vt:lpstr>
      <vt:lpstr>'405'!OSRRefE21_1_0x</vt:lpstr>
      <vt:lpstr>'411'!OSRRefE21_1_0x</vt:lpstr>
      <vt:lpstr>'412'!OSRRefE21_1_0x</vt:lpstr>
      <vt:lpstr>'413'!OSRRefE21_1_0x</vt:lpstr>
      <vt:lpstr>'414'!OSRRefE21_1_0x</vt:lpstr>
      <vt:lpstr>'415'!OSRRefE21_1_0x</vt:lpstr>
      <vt:lpstr>'418'!OSRRefE21_1_0x</vt:lpstr>
      <vt:lpstr>'423'!OSRRefE21_1_0x</vt:lpstr>
      <vt:lpstr>'424'!OSRRefE21_1_0x</vt:lpstr>
      <vt:lpstr>'425'!OSRRefE21_1_0x</vt:lpstr>
      <vt:lpstr>'430'!OSRRefE21_1_0x</vt:lpstr>
      <vt:lpstr>'433'!OSRRefE21_1_0x</vt:lpstr>
      <vt:lpstr>'435'!OSRRefE21_1_0x</vt:lpstr>
      <vt:lpstr>'444'!OSRRefE21_1_0x</vt:lpstr>
      <vt:lpstr>'450'!OSRRefE21_1_0x</vt:lpstr>
      <vt:lpstr>'491'!OSRRefE21_1_0x</vt:lpstr>
      <vt:lpstr>'492'!OSRRefE21_1_0x</vt:lpstr>
      <vt:lpstr>'501'!OSRRefE21_1_0x</vt:lpstr>
      <vt:lpstr>'Div 2'!OSRRefE21_1_0x</vt:lpstr>
      <vt:lpstr>'Div 3'!OSRRefE21_1_0x</vt:lpstr>
      <vt:lpstr>'Div 4'!OSRRefE21_1_0x</vt:lpstr>
      <vt:lpstr>'Div 5'!OSRRefE21_1_0x</vt:lpstr>
      <vt:lpstr>'Div 6'!OSRRefE21_1_0x</vt:lpstr>
      <vt:lpstr>Summary!OSRRefE21_1_0x</vt:lpstr>
      <vt:lpstr>'201'!OSRRefE21_1_1x</vt:lpstr>
      <vt:lpstr>'202'!OSRRefE21_1_1x</vt:lpstr>
      <vt:lpstr>'203'!OSRRefE21_1_1x</vt:lpstr>
      <vt:lpstr>'204'!OSRRefE21_1_1x</vt:lpstr>
      <vt:lpstr>'205'!OSRRefE21_1_1x</vt:lpstr>
      <vt:lpstr>'206'!OSRRefE21_1_1x</vt:lpstr>
      <vt:lpstr>'300'!OSRRefE21_1_1x</vt:lpstr>
      <vt:lpstr>'300 &amp; 317'!OSRRefE21_1_1x</vt:lpstr>
      <vt:lpstr>'301'!OSRRefE21_1_1x</vt:lpstr>
      <vt:lpstr>'307'!OSRRefE21_1_1x</vt:lpstr>
      <vt:lpstr>'308'!OSRRefE21_1_1x</vt:lpstr>
      <vt:lpstr>'309'!OSRRefE21_1_1x</vt:lpstr>
      <vt:lpstr>'310'!OSRRefE21_1_1x</vt:lpstr>
      <vt:lpstr>'310 &amp; 491'!OSRRefE21_1_1x</vt:lpstr>
      <vt:lpstr>'311'!OSRRefE21_1_1x</vt:lpstr>
      <vt:lpstr>'315'!OSRRefE21_1_1x</vt:lpstr>
      <vt:lpstr>'316'!OSRRefE21_1_1x</vt:lpstr>
      <vt:lpstr>'317'!OSRRefE21_1_1x</vt:lpstr>
      <vt:lpstr>'321'!OSRRefE21_1_1x</vt:lpstr>
      <vt:lpstr>'325'!OSRRefE21_1_1x</vt:lpstr>
      <vt:lpstr>'326'!OSRRefE21_1_1x</vt:lpstr>
      <vt:lpstr>'331'!OSRRefE21_1_1x</vt:lpstr>
      <vt:lpstr>'332'!OSRRefE21_1_1x</vt:lpstr>
      <vt:lpstr>'333'!OSRRefE21_1_1x</vt:lpstr>
      <vt:lpstr>'405'!OSRRefE21_1_1x</vt:lpstr>
      <vt:lpstr>'411'!OSRRefE21_1_1x</vt:lpstr>
      <vt:lpstr>'415'!OSRRefE21_1_1x</vt:lpstr>
      <vt:lpstr>'418'!OSRRefE21_1_1x</vt:lpstr>
      <vt:lpstr>'423'!OSRRefE21_1_1x</vt:lpstr>
      <vt:lpstr>'430'!OSRRefE21_1_1x</vt:lpstr>
      <vt:lpstr>'433'!OSRRefE21_1_1x</vt:lpstr>
      <vt:lpstr>'444'!OSRRefE21_1_1x</vt:lpstr>
      <vt:lpstr>'450'!OSRRefE21_1_1x</vt:lpstr>
      <vt:lpstr>'491'!OSRRefE21_1_1x</vt:lpstr>
      <vt:lpstr>'492'!OSRRefE21_1_1x</vt:lpstr>
      <vt:lpstr>'501'!OSRRefE21_1_1x</vt:lpstr>
      <vt:lpstr>'Div 2'!OSRRefE21_1_1x</vt:lpstr>
      <vt:lpstr>'Div 3'!OSRRefE21_1_1x</vt:lpstr>
      <vt:lpstr>'Div 4'!OSRRefE21_1_1x</vt:lpstr>
      <vt:lpstr>'Div 5'!OSRRefE21_1_1x</vt:lpstr>
      <vt:lpstr>'Div 6'!OSRRefE21_1_1x</vt:lpstr>
      <vt:lpstr>Summary!OSRRefE21_1_1x</vt:lpstr>
      <vt:lpstr>'201'!OSRRefE21_1_2x</vt:lpstr>
      <vt:lpstr>'202'!OSRRefE21_1_2x</vt:lpstr>
      <vt:lpstr>'203'!OSRRefE21_1_2x</vt:lpstr>
      <vt:lpstr>'204'!OSRRefE21_1_2x</vt:lpstr>
      <vt:lpstr>'205'!OSRRefE21_1_2x</vt:lpstr>
      <vt:lpstr>'206'!OSRRefE21_1_2x</vt:lpstr>
      <vt:lpstr>'300'!OSRRefE21_1_2x</vt:lpstr>
      <vt:lpstr>'300 &amp; 317'!OSRRefE21_1_2x</vt:lpstr>
      <vt:lpstr>'301'!OSRRefE21_1_2x</vt:lpstr>
      <vt:lpstr>'307'!OSRRefE21_1_2x</vt:lpstr>
      <vt:lpstr>'308'!OSRRefE21_1_2x</vt:lpstr>
      <vt:lpstr>'310'!OSRRefE21_1_2x</vt:lpstr>
      <vt:lpstr>'310 &amp; 491'!OSRRefE21_1_2x</vt:lpstr>
      <vt:lpstr>'311'!OSRRefE21_1_2x</vt:lpstr>
      <vt:lpstr>'315'!OSRRefE21_1_2x</vt:lpstr>
      <vt:lpstr>'316'!OSRRefE21_1_2x</vt:lpstr>
      <vt:lpstr>'317'!OSRRefE21_1_2x</vt:lpstr>
      <vt:lpstr>'321'!OSRRefE21_1_2x</vt:lpstr>
      <vt:lpstr>'325'!OSRRefE21_1_2x</vt:lpstr>
      <vt:lpstr>'326'!OSRRefE21_1_2x</vt:lpstr>
      <vt:lpstr>'331'!OSRRefE21_1_2x</vt:lpstr>
      <vt:lpstr>'332'!OSRRefE21_1_2x</vt:lpstr>
      <vt:lpstr>'333'!OSRRefE21_1_2x</vt:lpstr>
      <vt:lpstr>'405'!OSRRefE21_1_2x</vt:lpstr>
      <vt:lpstr>'411'!OSRRefE21_1_2x</vt:lpstr>
      <vt:lpstr>'415'!OSRRefE21_1_2x</vt:lpstr>
      <vt:lpstr>'418'!OSRRefE21_1_2x</vt:lpstr>
      <vt:lpstr>'423'!OSRRefE21_1_2x</vt:lpstr>
      <vt:lpstr>'430'!OSRRefE21_1_2x</vt:lpstr>
      <vt:lpstr>'433'!OSRRefE21_1_2x</vt:lpstr>
      <vt:lpstr>'444'!OSRRefE21_1_2x</vt:lpstr>
      <vt:lpstr>'450'!OSRRefE21_1_2x</vt:lpstr>
      <vt:lpstr>'491'!OSRRefE21_1_2x</vt:lpstr>
      <vt:lpstr>'492'!OSRRefE21_1_2x</vt:lpstr>
      <vt:lpstr>'501'!OSRRefE21_1_2x</vt:lpstr>
      <vt:lpstr>'Div 2'!OSRRefE21_1_2x</vt:lpstr>
      <vt:lpstr>'Div 3'!OSRRefE21_1_2x</vt:lpstr>
      <vt:lpstr>'Div 4'!OSRRefE21_1_2x</vt:lpstr>
      <vt:lpstr>'Div 5'!OSRRefE21_1_2x</vt:lpstr>
      <vt:lpstr>'Div 6'!OSRRefE21_1_2x</vt:lpstr>
      <vt:lpstr>Summary!OSRRefE21_1_2x</vt:lpstr>
      <vt:lpstr>'201'!OSRRefE21_1_3x</vt:lpstr>
      <vt:lpstr>'202'!OSRRefE21_1_3x</vt:lpstr>
      <vt:lpstr>'203'!OSRRefE21_1_3x</vt:lpstr>
      <vt:lpstr>'204'!OSRRefE21_1_3x</vt:lpstr>
      <vt:lpstr>'205'!OSRRefE21_1_3x</vt:lpstr>
      <vt:lpstr>'206'!OSRRefE21_1_3x</vt:lpstr>
      <vt:lpstr>'300'!OSRRefE21_1_3x</vt:lpstr>
      <vt:lpstr>'300 &amp; 317'!OSRRefE21_1_3x</vt:lpstr>
      <vt:lpstr>'301'!OSRRefE21_1_3x</vt:lpstr>
      <vt:lpstr>'307'!OSRRefE21_1_3x</vt:lpstr>
      <vt:lpstr>'308'!OSRRefE21_1_3x</vt:lpstr>
      <vt:lpstr>'310'!OSRRefE21_1_3x</vt:lpstr>
      <vt:lpstr>'310 &amp; 491'!OSRRefE21_1_3x</vt:lpstr>
      <vt:lpstr>'311'!OSRRefE21_1_3x</vt:lpstr>
      <vt:lpstr>'315'!OSRRefE21_1_3x</vt:lpstr>
      <vt:lpstr>'316'!OSRRefE21_1_3x</vt:lpstr>
      <vt:lpstr>'317'!OSRRefE21_1_3x</vt:lpstr>
      <vt:lpstr>'321'!OSRRefE21_1_3x</vt:lpstr>
      <vt:lpstr>'325'!OSRRefE21_1_3x</vt:lpstr>
      <vt:lpstr>'326'!OSRRefE21_1_3x</vt:lpstr>
      <vt:lpstr>'331'!OSRRefE21_1_3x</vt:lpstr>
      <vt:lpstr>'332'!OSRRefE21_1_3x</vt:lpstr>
      <vt:lpstr>'333'!OSRRefE21_1_3x</vt:lpstr>
      <vt:lpstr>'405'!OSRRefE21_1_3x</vt:lpstr>
      <vt:lpstr>'411'!OSRRefE21_1_3x</vt:lpstr>
      <vt:lpstr>'415'!OSRRefE21_1_3x</vt:lpstr>
      <vt:lpstr>'418'!OSRRefE21_1_3x</vt:lpstr>
      <vt:lpstr>'423'!OSRRefE21_1_3x</vt:lpstr>
      <vt:lpstr>'430'!OSRRefE21_1_3x</vt:lpstr>
      <vt:lpstr>'433'!OSRRefE21_1_3x</vt:lpstr>
      <vt:lpstr>'444'!OSRRefE21_1_3x</vt:lpstr>
      <vt:lpstr>'450'!OSRRefE21_1_3x</vt:lpstr>
      <vt:lpstr>'491'!OSRRefE21_1_3x</vt:lpstr>
      <vt:lpstr>'492'!OSRRefE21_1_3x</vt:lpstr>
      <vt:lpstr>'501'!OSRRefE21_1_3x</vt:lpstr>
      <vt:lpstr>'Div 2'!OSRRefE21_1_3x</vt:lpstr>
      <vt:lpstr>'Div 3'!OSRRefE21_1_3x</vt:lpstr>
      <vt:lpstr>'Div 4'!OSRRefE21_1_3x</vt:lpstr>
      <vt:lpstr>'Div 5'!OSRRefE21_1_3x</vt:lpstr>
      <vt:lpstr>'Div 6'!OSRRefE21_1_3x</vt:lpstr>
      <vt:lpstr>Summary!OSRRefE21_1_3x</vt:lpstr>
      <vt:lpstr>'201'!OSRRefE21_1_4x</vt:lpstr>
      <vt:lpstr>'202'!OSRRefE21_1_4x</vt:lpstr>
      <vt:lpstr>'203'!OSRRefE21_1_4x</vt:lpstr>
      <vt:lpstr>'204'!OSRRefE21_1_4x</vt:lpstr>
      <vt:lpstr>'205'!OSRRefE21_1_4x</vt:lpstr>
      <vt:lpstr>'206'!OSRRefE21_1_4x</vt:lpstr>
      <vt:lpstr>'300'!OSRRefE21_1_4x</vt:lpstr>
      <vt:lpstr>'300 &amp; 317'!OSRRefE21_1_4x</vt:lpstr>
      <vt:lpstr>'301'!OSRRefE21_1_4x</vt:lpstr>
      <vt:lpstr>'307'!OSRRefE21_1_4x</vt:lpstr>
      <vt:lpstr>'308'!OSRRefE21_1_4x</vt:lpstr>
      <vt:lpstr>'310'!OSRRefE21_1_4x</vt:lpstr>
      <vt:lpstr>'310 &amp; 491'!OSRRefE21_1_4x</vt:lpstr>
      <vt:lpstr>'311'!OSRRefE21_1_4x</vt:lpstr>
      <vt:lpstr>'315'!OSRRefE21_1_4x</vt:lpstr>
      <vt:lpstr>'316'!OSRRefE21_1_4x</vt:lpstr>
      <vt:lpstr>'317'!OSRRefE21_1_4x</vt:lpstr>
      <vt:lpstr>'321'!OSRRefE21_1_4x</vt:lpstr>
      <vt:lpstr>'325'!OSRRefE21_1_4x</vt:lpstr>
      <vt:lpstr>'326'!OSRRefE21_1_4x</vt:lpstr>
      <vt:lpstr>'331'!OSRRefE21_1_4x</vt:lpstr>
      <vt:lpstr>'332'!OSRRefE21_1_4x</vt:lpstr>
      <vt:lpstr>'333'!OSRRefE21_1_4x</vt:lpstr>
      <vt:lpstr>'405'!OSRRefE21_1_4x</vt:lpstr>
      <vt:lpstr>'411'!OSRRefE21_1_4x</vt:lpstr>
      <vt:lpstr>'415'!OSRRefE21_1_4x</vt:lpstr>
      <vt:lpstr>'418'!OSRRefE21_1_4x</vt:lpstr>
      <vt:lpstr>'423'!OSRRefE21_1_4x</vt:lpstr>
      <vt:lpstr>'430'!OSRRefE21_1_4x</vt:lpstr>
      <vt:lpstr>'433'!OSRRefE21_1_4x</vt:lpstr>
      <vt:lpstr>'444'!OSRRefE21_1_4x</vt:lpstr>
      <vt:lpstr>'450'!OSRRefE21_1_4x</vt:lpstr>
      <vt:lpstr>'491'!OSRRefE21_1_4x</vt:lpstr>
      <vt:lpstr>'492'!OSRRefE21_1_4x</vt:lpstr>
      <vt:lpstr>'501'!OSRRefE21_1_4x</vt:lpstr>
      <vt:lpstr>'Div 2'!OSRRefE21_1_4x</vt:lpstr>
      <vt:lpstr>'Div 3'!OSRRefE21_1_4x</vt:lpstr>
      <vt:lpstr>'Div 4'!OSRRefE21_1_4x</vt:lpstr>
      <vt:lpstr>'Div 5'!OSRRefE21_1_4x</vt:lpstr>
      <vt:lpstr>'Div 6'!OSRRefE21_1_4x</vt:lpstr>
      <vt:lpstr>Summary!OSRRefE21_1_4x</vt:lpstr>
      <vt:lpstr>'201'!OSRRefE21_1_5x</vt:lpstr>
      <vt:lpstr>'202'!OSRRefE21_1_5x</vt:lpstr>
      <vt:lpstr>'203'!OSRRefE21_1_5x</vt:lpstr>
      <vt:lpstr>'204'!OSRRefE21_1_5x</vt:lpstr>
      <vt:lpstr>'205'!OSRRefE21_1_5x</vt:lpstr>
      <vt:lpstr>'206'!OSRRefE21_1_5x</vt:lpstr>
      <vt:lpstr>'300'!OSRRefE21_1_5x</vt:lpstr>
      <vt:lpstr>'300 &amp; 317'!OSRRefE21_1_5x</vt:lpstr>
      <vt:lpstr>'301'!OSRRefE21_1_5x</vt:lpstr>
      <vt:lpstr>'307'!OSRRefE21_1_5x</vt:lpstr>
      <vt:lpstr>'308'!OSRRefE21_1_5x</vt:lpstr>
      <vt:lpstr>'310'!OSRRefE21_1_5x</vt:lpstr>
      <vt:lpstr>'310 &amp; 491'!OSRRefE21_1_5x</vt:lpstr>
      <vt:lpstr>'311'!OSRRefE21_1_5x</vt:lpstr>
      <vt:lpstr>'315'!OSRRefE21_1_5x</vt:lpstr>
      <vt:lpstr>'316'!OSRRefE21_1_5x</vt:lpstr>
      <vt:lpstr>'317'!OSRRefE21_1_5x</vt:lpstr>
      <vt:lpstr>'321'!OSRRefE21_1_5x</vt:lpstr>
      <vt:lpstr>'325'!OSRRefE21_1_5x</vt:lpstr>
      <vt:lpstr>'326'!OSRRefE21_1_5x</vt:lpstr>
      <vt:lpstr>'331'!OSRRefE21_1_5x</vt:lpstr>
      <vt:lpstr>'332'!OSRRefE21_1_5x</vt:lpstr>
      <vt:lpstr>'333'!OSRRefE21_1_5x</vt:lpstr>
      <vt:lpstr>'405'!OSRRefE21_1_5x</vt:lpstr>
      <vt:lpstr>'411'!OSRRefE21_1_5x</vt:lpstr>
      <vt:lpstr>'415'!OSRRefE21_1_5x</vt:lpstr>
      <vt:lpstr>'418'!OSRRefE21_1_5x</vt:lpstr>
      <vt:lpstr>'423'!OSRRefE21_1_5x</vt:lpstr>
      <vt:lpstr>'430'!OSRRefE21_1_5x</vt:lpstr>
      <vt:lpstr>'433'!OSRRefE21_1_5x</vt:lpstr>
      <vt:lpstr>'444'!OSRRefE21_1_5x</vt:lpstr>
      <vt:lpstr>'450'!OSRRefE21_1_5x</vt:lpstr>
      <vt:lpstr>'491'!OSRRefE21_1_5x</vt:lpstr>
      <vt:lpstr>'492'!OSRRefE21_1_5x</vt:lpstr>
      <vt:lpstr>'501'!OSRRefE21_1_5x</vt:lpstr>
      <vt:lpstr>'Div 2'!OSRRefE21_1_5x</vt:lpstr>
      <vt:lpstr>'Div 3'!OSRRefE21_1_5x</vt:lpstr>
      <vt:lpstr>'Div 4'!OSRRefE21_1_5x</vt:lpstr>
      <vt:lpstr>'Div 5'!OSRRefE21_1_5x</vt:lpstr>
      <vt:lpstr>'Div 6'!OSRRefE21_1_5x</vt:lpstr>
      <vt:lpstr>Summary!OSRRefE21_1_5x</vt:lpstr>
      <vt:lpstr>'201'!OSRRefE21_1_6x</vt:lpstr>
      <vt:lpstr>'202'!OSRRefE21_1_6x</vt:lpstr>
      <vt:lpstr>'203'!OSRRefE21_1_6x</vt:lpstr>
      <vt:lpstr>'204'!OSRRefE21_1_6x</vt:lpstr>
      <vt:lpstr>'205'!OSRRefE21_1_6x</vt:lpstr>
      <vt:lpstr>'206'!OSRRefE21_1_6x</vt:lpstr>
      <vt:lpstr>'300'!OSRRefE21_1_6x</vt:lpstr>
      <vt:lpstr>'300 &amp; 317'!OSRRefE21_1_6x</vt:lpstr>
      <vt:lpstr>'301'!OSRRefE21_1_6x</vt:lpstr>
      <vt:lpstr>'307'!OSRRefE21_1_6x</vt:lpstr>
      <vt:lpstr>'308'!OSRRefE21_1_6x</vt:lpstr>
      <vt:lpstr>'310'!OSRRefE21_1_6x</vt:lpstr>
      <vt:lpstr>'310 &amp; 491'!OSRRefE21_1_6x</vt:lpstr>
      <vt:lpstr>'311'!OSRRefE21_1_6x</vt:lpstr>
      <vt:lpstr>'315'!OSRRefE21_1_6x</vt:lpstr>
      <vt:lpstr>'316'!OSRRefE21_1_6x</vt:lpstr>
      <vt:lpstr>'317'!OSRRefE21_1_6x</vt:lpstr>
      <vt:lpstr>'321'!OSRRefE21_1_6x</vt:lpstr>
      <vt:lpstr>'325'!OSRRefE21_1_6x</vt:lpstr>
      <vt:lpstr>'326'!OSRRefE21_1_6x</vt:lpstr>
      <vt:lpstr>'331'!OSRRefE21_1_6x</vt:lpstr>
      <vt:lpstr>'332'!OSRRefE21_1_6x</vt:lpstr>
      <vt:lpstr>'333'!OSRRefE21_1_6x</vt:lpstr>
      <vt:lpstr>'405'!OSRRefE21_1_6x</vt:lpstr>
      <vt:lpstr>'411'!OSRRefE21_1_6x</vt:lpstr>
      <vt:lpstr>'415'!OSRRefE21_1_6x</vt:lpstr>
      <vt:lpstr>'418'!OSRRefE21_1_6x</vt:lpstr>
      <vt:lpstr>'423'!OSRRefE21_1_6x</vt:lpstr>
      <vt:lpstr>'430'!OSRRefE21_1_6x</vt:lpstr>
      <vt:lpstr>'433'!OSRRefE21_1_6x</vt:lpstr>
      <vt:lpstr>'444'!OSRRefE21_1_6x</vt:lpstr>
      <vt:lpstr>'450'!OSRRefE21_1_6x</vt:lpstr>
      <vt:lpstr>'491'!OSRRefE21_1_6x</vt:lpstr>
      <vt:lpstr>'492'!OSRRefE21_1_6x</vt:lpstr>
      <vt:lpstr>'501'!OSRRefE21_1_6x</vt:lpstr>
      <vt:lpstr>'Div 2'!OSRRefE21_1_6x</vt:lpstr>
      <vt:lpstr>'Div 3'!OSRRefE21_1_6x</vt:lpstr>
      <vt:lpstr>'Div 4'!OSRRefE21_1_6x</vt:lpstr>
      <vt:lpstr>'Div 5'!OSRRefE21_1_6x</vt:lpstr>
      <vt:lpstr>'Div 6'!OSRRefE21_1_6x</vt:lpstr>
      <vt:lpstr>Summary!OSRRefE21_1_6x</vt:lpstr>
      <vt:lpstr>'201'!OSRRefE21_1_7x</vt:lpstr>
      <vt:lpstr>'202'!OSRRefE21_1_7x</vt:lpstr>
      <vt:lpstr>'203'!OSRRefE21_1_7x</vt:lpstr>
      <vt:lpstr>'204'!OSRRefE21_1_7x</vt:lpstr>
      <vt:lpstr>'205'!OSRRefE21_1_7x</vt:lpstr>
      <vt:lpstr>'206'!OSRRefE21_1_7x</vt:lpstr>
      <vt:lpstr>'300'!OSRRefE21_1_7x</vt:lpstr>
      <vt:lpstr>'300 &amp; 317'!OSRRefE21_1_7x</vt:lpstr>
      <vt:lpstr>'301'!OSRRefE21_1_7x</vt:lpstr>
      <vt:lpstr>'307'!OSRRefE21_1_7x</vt:lpstr>
      <vt:lpstr>'308'!OSRRefE21_1_7x</vt:lpstr>
      <vt:lpstr>'310'!OSRRefE21_1_7x</vt:lpstr>
      <vt:lpstr>'310 &amp; 491'!OSRRefE21_1_7x</vt:lpstr>
      <vt:lpstr>'311'!OSRRefE21_1_7x</vt:lpstr>
      <vt:lpstr>'315'!OSRRefE21_1_7x</vt:lpstr>
      <vt:lpstr>'316'!OSRRefE21_1_7x</vt:lpstr>
      <vt:lpstr>'317'!OSRRefE21_1_7x</vt:lpstr>
      <vt:lpstr>'321'!OSRRefE21_1_7x</vt:lpstr>
      <vt:lpstr>'325'!OSRRefE21_1_7x</vt:lpstr>
      <vt:lpstr>'326'!OSRRefE21_1_7x</vt:lpstr>
      <vt:lpstr>'331'!OSRRefE21_1_7x</vt:lpstr>
      <vt:lpstr>'332'!OSRRefE21_1_7x</vt:lpstr>
      <vt:lpstr>'333'!OSRRefE21_1_7x</vt:lpstr>
      <vt:lpstr>'405'!OSRRefE21_1_7x</vt:lpstr>
      <vt:lpstr>'411'!OSRRefE21_1_7x</vt:lpstr>
      <vt:lpstr>'415'!OSRRefE21_1_7x</vt:lpstr>
      <vt:lpstr>'418'!OSRRefE21_1_7x</vt:lpstr>
      <vt:lpstr>'423'!OSRRefE21_1_7x</vt:lpstr>
      <vt:lpstr>'430'!OSRRefE21_1_7x</vt:lpstr>
      <vt:lpstr>'433'!OSRRefE21_1_7x</vt:lpstr>
      <vt:lpstr>'444'!OSRRefE21_1_7x</vt:lpstr>
      <vt:lpstr>'450'!OSRRefE21_1_7x</vt:lpstr>
      <vt:lpstr>'491'!OSRRefE21_1_7x</vt:lpstr>
      <vt:lpstr>'492'!OSRRefE21_1_7x</vt:lpstr>
      <vt:lpstr>'501'!OSRRefE21_1_7x</vt:lpstr>
      <vt:lpstr>'Div 2'!OSRRefE21_1_7x</vt:lpstr>
      <vt:lpstr>'Div 3'!OSRRefE21_1_7x</vt:lpstr>
      <vt:lpstr>'Div 4'!OSRRefE21_1_7x</vt:lpstr>
      <vt:lpstr>'Div 5'!OSRRefE21_1_7x</vt:lpstr>
      <vt:lpstr>'Div 6'!OSRRefE21_1_7x</vt:lpstr>
      <vt:lpstr>Summary!OSRRefE21_1_7x</vt:lpstr>
      <vt:lpstr>'201'!OSRRefE21_1_8x</vt:lpstr>
      <vt:lpstr>'202'!OSRRefE21_1_8x</vt:lpstr>
      <vt:lpstr>'203'!OSRRefE21_1_8x</vt:lpstr>
      <vt:lpstr>'204'!OSRRefE21_1_8x</vt:lpstr>
      <vt:lpstr>'205'!OSRRefE21_1_8x</vt:lpstr>
      <vt:lpstr>'206'!OSRRefE21_1_8x</vt:lpstr>
      <vt:lpstr>'300'!OSRRefE21_1_8x</vt:lpstr>
      <vt:lpstr>'300 &amp; 317'!OSRRefE21_1_8x</vt:lpstr>
      <vt:lpstr>'301'!OSRRefE21_1_8x</vt:lpstr>
      <vt:lpstr>'307'!OSRRefE21_1_8x</vt:lpstr>
      <vt:lpstr>'308'!OSRRefE21_1_8x</vt:lpstr>
      <vt:lpstr>'310'!OSRRefE21_1_8x</vt:lpstr>
      <vt:lpstr>'310 &amp; 491'!OSRRefE21_1_8x</vt:lpstr>
      <vt:lpstr>'311'!OSRRefE21_1_8x</vt:lpstr>
      <vt:lpstr>'315'!OSRRefE21_1_8x</vt:lpstr>
      <vt:lpstr>'316'!OSRRefE21_1_8x</vt:lpstr>
      <vt:lpstr>'317'!OSRRefE21_1_8x</vt:lpstr>
      <vt:lpstr>'321'!OSRRefE21_1_8x</vt:lpstr>
      <vt:lpstr>'325'!OSRRefE21_1_8x</vt:lpstr>
      <vt:lpstr>'326'!OSRRefE21_1_8x</vt:lpstr>
      <vt:lpstr>'331'!OSRRefE21_1_8x</vt:lpstr>
      <vt:lpstr>'332'!OSRRefE21_1_8x</vt:lpstr>
      <vt:lpstr>'333'!OSRRefE21_1_8x</vt:lpstr>
      <vt:lpstr>'405'!OSRRefE21_1_8x</vt:lpstr>
      <vt:lpstr>'411'!OSRRefE21_1_8x</vt:lpstr>
      <vt:lpstr>'415'!OSRRefE21_1_8x</vt:lpstr>
      <vt:lpstr>'418'!OSRRefE21_1_8x</vt:lpstr>
      <vt:lpstr>'423'!OSRRefE21_1_8x</vt:lpstr>
      <vt:lpstr>'430'!OSRRefE21_1_8x</vt:lpstr>
      <vt:lpstr>'433'!OSRRefE21_1_8x</vt:lpstr>
      <vt:lpstr>'444'!OSRRefE21_1_8x</vt:lpstr>
      <vt:lpstr>'450'!OSRRefE21_1_8x</vt:lpstr>
      <vt:lpstr>'491'!OSRRefE21_1_8x</vt:lpstr>
      <vt:lpstr>'492'!OSRRefE21_1_8x</vt:lpstr>
      <vt:lpstr>'501'!OSRRefE21_1_8x</vt:lpstr>
      <vt:lpstr>'Div 2'!OSRRefE21_1_8x</vt:lpstr>
      <vt:lpstr>'Div 3'!OSRRefE21_1_8x</vt:lpstr>
      <vt:lpstr>'Div 4'!OSRRefE21_1_8x</vt:lpstr>
      <vt:lpstr>'Div 5'!OSRRefE21_1_8x</vt:lpstr>
      <vt:lpstr>'Div 6'!OSRRefE21_1_8x</vt:lpstr>
      <vt:lpstr>Summary!OSRRefE21_1_8x</vt:lpstr>
      <vt:lpstr>'201'!OSRRefE21_1_9x</vt:lpstr>
      <vt:lpstr>'202'!OSRRefE21_1_9x</vt:lpstr>
      <vt:lpstr>'203'!OSRRefE21_1_9x</vt:lpstr>
      <vt:lpstr>'204'!OSRRefE21_1_9x</vt:lpstr>
      <vt:lpstr>'205'!OSRRefE21_1_9x</vt:lpstr>
      <vt:lpstr>'206'!OSRRefE21_1_9x</vt:lpstr>
      <vt:lpstr>'300'!OSRRefE21_1_9x</vt:lpstr>
      <vt:lpstr>'300 &amp; 317'!OSRRefE21_1_9x</vt:lpstr>
      <vt:lpstr>'301'!OSRRefE21_1_9x</vt:lpstr>
      <vt:lpstr>'307'!OSRRefE21_1_9x</vt:lpstr>
      <vt:lpstr>'308'!OSRRefE21_1_9x</vt:lpstr>
      <vt:lpstr>'310'!OSRRefE21_1_9x</vt:lpstr>
      <vt:lpstr>'310 &amp; 491'!OSRRefE21_1_9x</vt:lpstr>
      <vt:lpstr>'311'!OSRRefE21_1_9x</vt:lpstr>
      <vt:lpstr>'315'!OSRRefE21_1_9x</vt:lpstr>
      <vt:lpstr>'316'!OSRRefE21_1_9x</vt:lpstr>
      <vt:lpstr>'317'!OSRRefE21_1_9x</vt:lpstr>
      <vt:lpstr>'321'!OSRRefE21_1_9x</vt:lpstr>
      <vt:lpstr>'325'!OSRRefE21_1_9x</vt:lpstr>
      <vt:lpstr>'326'!OSRRefE21_1_9x</vt:lpstr>
      <vt:lpstr>'331'!OSRRefE21_1_9x</vt:lpstr>
      <vt:lpstr>'332'!OSRRefE21_1_9x</vt:lpstr>
      <vt:lpstr>'333'!OSRRefE21_1_9x</vt:lpstr>
      <vt:lpstr>'405'!OSRRefE21_1_9x</vt:lpstr>
      <vt:lpstr>'411'!OSRRefE21_1_9x</vt:lpstr>
      <vt:lpstr>'415'!OSRRefE21_1_9x</vt:lpstr>
      <vt:lpstr>'418'!OSRRefE21_1_9x</vt:lpstr>
      <vt:lpstr>'423'!OSRRefE21_1_9x</vt:lpstr>
      <vt:lpstr>'430'!OSRRefE21_1_9x</vt:lpstr>
      <vt:lpstr>'433'!OSRRefE21_1_9x</vt:lpstr>
      <vt:lpstr>'444'!OSRRefE21_1_9x</vt:lpstr>
      <vt:lpstr>'450'!OSRRefE21_1_9x</vt:lpstr>
      <vt:lpstr>'491'!OSRRefE21_1_9x</vt:lpstr>
      <vt:lpstr>'492'!OSRRefE21_1_9x</vt:lpstr>
      <vt:lpstr>'501'!OSRRefE21_1_9x</vt:lpstr>
      <vt:lpstr>'Div 2'!OSRRefE21_1_9x</vt:lpstr>
      <vt:lpstr>'Div 3'!OSRRefE21_1_9x</vt:lpstr>
      <vt:lpstr>'Div 4'!OSRRefE21_1_9x</vt:lpstr>
      <vt:lpstr>'Div 5'!OSRRefE21_1_9x</vt:lpstr>
      <vt:lpstr>'Div 6'!OSRRefE21_1_9x</vt:lpstr>
      <vt:lpstr>Summary!OSRRefE21_1_9x</vt:lpstr>
      <vt:lpstr>'201'!OSRRefE21_10_0x</vt:lpstr>
      <vt:lpstr>'202'!OSRRefE21_10_0x</vt:lpstr>
      <vt:lpstr>'203'!OSRRefE21_10_0x</vt:lpstr>
      <vt:lpstr>'300'!OSRRefE21_10_0x</vt:lpstr>
      <vt:lpstr>'300 &amp; 317'!OSRRefE21_10_0x</vt:lpstr>
      <vt:lpstr>'301'!OSRRefE21_10_0x</vt:lpstr>
      <vt:lpstr>'307'!OSRRefE21_10_0x</vt:lpstr>
      <vt:lpstr>'308'!OSRRefE21_10_0x</vt:lpstr>
      <vt:lpstr>'309'!OSRRefE21_10_0x</vt:lpstr>
      <vt:lpstr>'310'!OSRRefE21_10_0x</vt:lpstr>
      <vt:lpstr>'310 &amp; 491'!OSRRefE21_10_0x</vt:lpstr>
      <vt:lpstr>'311'!OSRRefE21_10_0x</vt:lpstr>
      <vt:lpstr>'315'!OSRRefE21_10_0x</vt:lpstr>
      <vt:lpstr>'316'!OSRRefE21_10_0x</vt:lpstr>
      <vt:lpstr>'317'!OSRRefE21_10_0x</vt:lpstr>
      <vt:lpstr>'321'!OSRRefE21_10_0x</vt:lpstr>
      <vt:lpstr>'325'!OSRRefE21_10_0x</vt:lpstr>
      <vt:lpstr>'326'!OSRRefE21_10_0x</vt:lpstr>
      <vt:lpstr>'331'!OSRRefE21_10_0x</vt:lpstr>
      <vt:lpstr>'332'!OSRRefE21_10_0x</vt:lpstr>
      <vt:lpstr>'333'!OSRRefE21_10_0x</vt:lpstr>
      <vt:lpstr>'405'!OSRRefE21_10_0x</vt:lpstr>
      <vt:lpstr>'411'!OSRRefE21_10_0x</vt:lpstr>
      <vt:lpstr>'415'!OSRRefE21_10_0x</vt:lpstr>
      <vt:lpstr>'418'!OSRRefE21_10_0x</vt:lpstr>
      <vt:lpstr>'433'!OSRRefE21_10_0x</vt:lpstr>
      <vt:lpstr>'444'!OSRRefE21_10_0x</vt:lpstr>
      <vt:lpstr>'450'!OSRRefE21_10_0x</vt:lpstr>
      <vt:lpstr>'491'!OSRRefE21_10_0x</vt:lpstr>
      <vt:lpstr>'492'!OSRRefE21_10_0x</vt:lpstr>
      <vt:lpstr>'501'!OSRRefE21_10_0x</vt:lpstr>
      <vt:lpstr>'Div 2'!OSRRefE21_10_0x</vt:lpstr>
      <vt:lpstr>'Div 3'!OSRRefE21_10_0x</vt:lpstr>
      <vt:lpstr>'Div 4'!OSRRefE21_10_0x</vt:lpstr>
      <vt:lpstr>'Div 5'!OSRRefE21_10_0x</vt:lpstr>
      <vt:lpstr>'Div 6'!OSRRefE21_10_0x</vt:lpstr>
      <vt:lpstr>Summary!OSRRefE21_10_0x</vt:lpstr>
      <vt:lpstr>'201'!OSRRefE21_10_1x</vt:lpstr>
      <vt:lpstr>'203'!OSRRefE21_10_1x</vt:lpstr>
      <vt:lpstr>'300'!OSRRefE21_10_1x</vt:lpstr>
      <vt:lpstr>'300 &amp; 317'!OSRRefE21_10_1x</vt:lpstr>
      <vt:lpstr>'307'!OSRRefE21_10_1x</vt:lpstr>
      <vt:lpstr>'308'!OSRRefE21_10_1x</vt:lpstr>
      <vt:lpstr>'309'!OSRRefE21_10_1x</vt:lpstr>
      <vt:lpstr>'311'!OSRRefE21_10_1x</vt:lpstr>
      <vt:lpstr>'316'!OSRRefE21_10_1x</vt:lpstr>
      <vt:lpstr>'321'!OSRRefE21_10_1x</vt:lpstr>
      <vt:lpstr>'332'!OSRRefE21_10_1x</vt:lpstr>
      <vt:lpstr>'405'!OSRRefE21_10_1x</vt:lpstr>
      <vt:lpstr>'Div 3'!OSRRefE21_10_1x</vt:lpstr>
      <vt:lpstr>Summary!OSRRefE21_10_1x</vt:lpstr>
      <vt:lpstr>'316'!OSRRefE21_10_2x</vt:lpstr>
      <vt:lpstr>'321'!OSRRefE21_10_2x</vt:lpstr>
      <vt:lpstr>'332'!OSRRefE21_10_2x</vt:lpstr>
      <vt:lpstr>'405'!OSRRefE21_10_2x</vt:lpstr>
      <vt:lpstr>'316'!OSRRefE21_10_3x</vt:lpstr>
      <vt:lpstr>'321'!OSRRefE21_10_3x</vt:lpstr>
      <vt:lpstr>'332'!OSRRefE21_10_3x</vt:lpstr>
      <vt:lpstr>'316'!OSRRefE21_10_4x</vt:lpstr>
      <vt:lpstr>'332'!OSRRefE21_10_4x</vt:lpstr>
      <vt:lpstr>'201'!OSRRefE21_10x_0</vt:lpstr>
      <vt:lpstr>'202'!OSRRefE21_10x_0</vt:lpstr>
      <vt:lpstr>'203'!OSRRefE21_10x_0</vt:lpstr>
      <vt:lpstr>'300'!OSRRefE21_10x_0</vt:lpstr>
      <vt:lpstr>'300 &amp; 317'!OSRRefE21_10x_0</vt:lpstr>
      <vt:lpstr>'301'!OSRRefE21_10x_0</vt:lpstr>
      <vt:lpstr>'307'!OSRRefE21_10x_0</vt:lpstr>
      <vt:lpstr>'308'!OSRRefE21_10x_0</vt:lpstr>
      <vt:lpstr>'309'!OSRRefE21_10x_0</vt:lpstr>
      <vt:lpstr>'310'!OSRRefE21_10x_0</vt:lpstr>
      <vt:lpstr>'310 &amp; 491'!OSRRefE21_10x_0</vt:lpstr>
      <vt:lpstr>'311'!OSRRefE21_10x_0</vt:lpstr>
      <vt:lpstr>'315'!OSRRefE21_10x_0</vt:lpstr>
      <vt:lpstr>'316'!OSRRefE21_10x_0</vt:lpstr>
      <vt:lpstr>'317'!OSRRefE21_10x_0</vt:lpstr>
      <vt:lpstr>'321'!OSRRefE21_10x_0</vt:lpstr>
      <vt:lpstr>'325'!OSRRefE21_10x_0</vt:lpstr>
      <vt:lpstr>'326'!OSRRefE21_10x_0</vt:lpstr>
      <vt:lpstr>'331'!OSRRefE21_10x_0</vt:lpstr>
      <vt:lpstr>'332'!OSRRefE21_10x_0</vt:lpstr>
      <vt:lpstr>'333'!OSRRefE21_10x_0</vt:lpstr>
      <vt:lpstr>'405'!OSRRefE21_10x_0</vt:lpstr>
      <vt:lpstr>'411'!OSRRefE21_10x_0</vt:lpstr>
      <vt:lpstr>'415'!OSRRefE21_10x_0</vt:lpstr>
      <vt:lpstr>'418'!OSRRefE21_10x_0</vt:lpstr>
      <vt:lpstr>'433'!OSRRefE21_10x_0</vt:lpstr>
      <vt:lpstr>'444'!OSRRefE21_10x_0</vt:lpstr>
      <vt:lpstr>'450'!OSRRefE21_10x_0</vt:lpstr>
      <vt:lpstr>'491'!OSRRefE21_10x_0</vt:lpstr>
      <vt:lpstr>'492'!OSRRefE21_10x_0</vt:lpstr>
      <vt:lpstr>'501'!OSRRefE21_10x_0</vt:lpstr>
      <vt:lpstr>'Div 2'!OSRRefE21_10x_0</vt:lpstr>
      <vt:lpstr>'Div 3'!OSRRefE21_10x_0</vt:lpstr>
      <vt:lpstr>'Div 4'!OSRRefE21_10x_0</vt:lpstr>
      <vt:lpstr>'Div 5'!OSRRefE21_10x_0</vt:lpstr>
      <vt:lpstr>'Div 6'!OSRRefE21_10x_0</vt:lpstr>
      <vt:lpstr>Summary!OSRRefE21_10x_0</vt:lpstr>
      <vt:lpstr>'201'!OSRRefE21_10x_1</vt:lpstr>
      <vt:lpstr>'202'!OSRRefE21_10x_1</vt:lpstr>
      <vt:lpstr>'203'!OSRRefE21_10x_1</vt:lpstr>
      <vt:lpstr>'300'!OSRRefE21_10x_1</vt:lpstr>
      <vt:lpstr>'300 &amp; 317'!OSRRefE21_10x_1</vt:lpstr>
      <vt:lpstr>'301'!OSRRefE21_10x_1</vt:lpstr>
      <vt:lpstr>'307'!OSRRefE21_10x_1</vt:lpstr>
      <vt:lpstr>'308'!OSRRefE21_10x_1</vt:lpstr>
      <vt:lpstr>'309'!OSRRefE21_10x_1</vt:lpstr>
      <vt:lpstr>'310'!OSRRefE21_10x_1</vt:lpstr>
      <vt:lpstr>'310 &amp; 491'!OSRRefE21_10x_1</vt:lpstr>
      <vt:lpstr>'311'!OSRRefE21_10x_1</vt:lpstr>
      <vt:lpstr>'315'!OSRRefE21_10x_1</vt:lpstr>
      <vt:lpstr>'316'!OSRRefE21_10x_1</vt:lpstr>
      <vt:lpstr>'317'!OSRRefE21_10x_1</vt:lpstr>
      <vt:lpstr>'321'!OSRRefE21_10x_1</vt:lpstr>
      <vt:lpstr>'325'!OSRRefE21_10x_1</vt:lpstr>
      <vt:lpstr>'326'!OSRRefE21_10x_1</vt:lpstr>
      <vt:lpstr>'331'!OSRRefE21_10x_1</vt:lpstr>
      <vt:lpstr>'332'!OSRRefE21_10x_1</vt:lpstr>
      <vt:lpstr>'333'!OSRRefE21_10x_1</vt:lpstr>
      <vt:lpstr>'405'!OSRRefE21_10x_1</vt:lpstr>
      <vt:lpstr>'411'!OSRRefE21_10x_1</vt:lpstr>
      <vt:lpstr>'415'!OSRRefE21_10x_1</vt:lpstr>
      <vt:lpstr>'418'!OSRRefE21_10x_1</vt:lpstr>
      <vt:lpstr>'433'!OSRRefE21_10x_1</vt:lpstr>
      <vt:lpstr>'444'!OSRRefE21_10x_1</vt:lpstr>
      <vt:lpstr>'450'!OSRRefE21_10x_1</vt:lpstr>
      <vt:lpstr>'491'!OSRRefE21_10x_1</vt:lpstr>
      <vt:lpstr>'492'!OSRRefE21_10x_1</vt:lpstr>
      <vt:lpstr>'501'!OSRRefE21_10x_1</vt:lpstr>
      <vt:lpstr>'Div 2'!OSRRefE21_10x_1</vt:lpstr>
      <vt:lpstr>'Div 3'!OSRRefE21_10x_1</vt:lpstr>
      <vt:lpstr>'Div 4'!OSRRefE21_10x_1</vt:lpstr>
      <vt:lpstr>'Div 5'!OSRRefE21_10x_1</vt:lpstr>
      <vt:lpstr>'Div 6'!OSRRefE21_10x_1</vt:lpstr>
      <vt:lpstr>Summary!OSRRefE21_10x_1</vt:lpstr>
      <vt:lpstr>'201'!OSRRefE21_11_0x</vt:lpstr>
      <vt:lpstr>'202'!OSRRefE21_11_0x</vt:lpstr>
      <vt:lpstr>'203'!OSRRefE21_11_0x</vt:lpstr>
      <vt:lpstr>'300'!OSRRefE21_11_0x</vt:lpstr>
      <vt:lpstr>'300 &amp; 317'!OSRRefE21_11_0x</vt:lpstr>
      <vt:lpstr>'301'!OSRRefE21_11_0x</vt:lpstr>
      <vt:lpstr>'307'!OSRRefE21_11_0x</vt:lpstr>
      <vt:lpstr>'308'!OSRRefE21_11_0x</vt:lpstr>
      <vt:lpstr>'309'!OSRRefE21_11_0x</vt:lpstr>
      <vt:lpstr>'310'!OSRRefE21_11_0x</vt:lpstr>
      <vt:lpstr>'310 &amp; 491'!OSRRefE21_11_0x</vt:lpstr>
      <vt:lpstr>'311'!OSRRefE21_11_0x</vt:lpstr>
      <vt:lpstr>'315'!OSRRefE21_11_0x</vt:lpstr>
      <vt:lpstr>'316'!OSRRefE21_11_0x</vt:lpstr>
      <vt:lpstr>'321'!OSRRefE21_11_0x</vt:lpstr>
      <vt:lpstr>'325'!OSRRefE21_11_0x</vt:lpstr>
      <vt:lpstr>'326'!OSRRefE21_11_0x</vt:lpstr>
      <vt:lpstr>'331'!OSRRefE21_11_0x</vt:lpstr>
      <vt:lpstr>'332'!OSRRefE21_11_0x</vt:lpstr>
      <vt:lpstr>'333'!OSRRefE21_11_0x</vt:lpstr>
      <vt:lpstr>'405'!OSRRefE21_11_0x</vt:lpstr>
      <vt:lpstr>'411'!OSRRefE21_11_0x</vt:lpstr>
      <vt:lpstr>'415'!OSRRefE21_11_0x</vt:lpstr>
      <vt:lpstr>'418'!OSRRefE21_11_0x</vt:lpstr>
      <vt:lpstr>'433'!OSRRefE21_11_0x</vt:lpstr>
      <vt:lpstr>'444'!OSRRefE21_11_0x</vt:lpstr>
      <vt:lpstr>'450'!OSRRefE21_11_0x</vt:lpstr>
      <vt:lpstr>'491'!OSRRefE21_11_0x</vt:lpstr>
      <vt:lpstr>'492'!OSRRefE21_11_0x</vt:lpstr>
      <vt:lpstr>'501'!OSRRefE21_11_0x</vt:lpstr>
      <vt:lpstr>'Div 2'!OSRRefE21_11_0x</vt:lpstr>
      <vt:lpstr>'Div 3'!OSRRefE21_11_0x</vt:lpstr>
      <vt:lpstr>'Div 4'!OSRRefE21_11_0x</vt:lpstr>
      <vt:lpstr>'Div 5'!OSRRefE21_11_0x</vt:lpstr>
      <vt:lpstr>Summary!OSRRefE21_11_0x</vt:lpstr>
      <vt:lpstr>'203'!OSRRefE21_11_1x</vt:lpstr>
      <vt:lpstr>'308'!OSRRefE21_11_1x</vt:lpstr>
      <vt:lpstr>'310'!OSRRefE21_11_1x</vt:lpstr>
      <vt:lpstr>'311'!OSRRefE21_11_1x</vt:lpstr>
      <vt:lpstr>'325'!OSRRefE21_11_1x</vt:lpstr>
      <vt:lpstr>'326'!OSRRefE21_11_1x</vt:lpstr>
      <vt:lpstr>'411'!OSRRefE21_11_1x</vt:lpstr>
      <vt:lpstr>'415'!OSRRefE21_11_1x</vt:lpstr>
      <vt:lpstr>'418'!OSRRefE21_11_1x</vt:lpstr>
      <vt:lpstr>'433'!OSRRefE21_11_1x</vt:lpstr>
      <vt:lpstr>'444'!OSRRefE21_11_1x</vt:lpstr>
      <vt:lpstr>'450'!OSRRefE21_11_1x</vt:lpstr>
      <vt:lpstr>'501'!OSRRefE21_11_1x</vt:lpstr>
      <vt:lpstr>'Div 5'!OSRRefE21_11_1x</vt:lpstr>
      <vt:lpstr>'203'!OSRRefE21_11_2x</vt:lpstr>
      <vt:lpstr>'418'!OSRRefE21_11_2x</vt:lpstr>
      <vt:lpstr>'433'!OSRRefE21_11_2x</vt:lpstr>
      <vt:lpstr>'501'!OSRRefE21_11_2x</vt:lpstr>
      <vt:lpstr>'Div 5'!OSRRefE21_11_2x</vt:lpstr>
      <vt:lpstr>'203'!OSRRefE21_11_3x</vt:lpstr>
      <vt:lpstr>'418'!OSRRefE21_11_3x</vt:lpstr>
      <vt:lpstr>'418'!OSRRefE21_11_4x</vt:lpstr>
      <vt:lpstr>'418'!OSRRefE21_11_5x</vt:lpstr>
      <vt:lpstr>'201'!OSRRefE21_11x_0</vt:lpstr>
      <vt:lpstr>'202'!OSRRefE21_11x_0</vt:lpstr>
      <vt:lpstr>'203'!OSRRefE21_11x_0</vt:lpstr>
      <vt:lpstr>'300'!OSRRefE21_11x_0</vt:lpstr>
      <vt:lpstr>'300 &amp; 317'!OSRRefE21_11x_0</vt:lpstr>
      <vt:lpstr>'301'!OSRRefE21_11x_0</vt:lpstr>
      <vt:lpstr>'307'!OSRRefE21_11x_0</vt:lpstr>
      <vt:lpstr>'308'!OSRRefE21_11x_0</vt:lpstr>
      <vt:lpstr>'309'!OSRRefE21_11x_0</vt:lpstr>
      <vt:lpstr>'310'!OSRRefE21_11x_0</vt:lpstr>
      <vt:lpstr>'310 &amp; 491'!OSRRefE21_11x_0</vt:lpstr>
      <vt:lpstr>'311'!OSRRefE21_11x_0</vt:lpstr>
      <vt:lpstr>'315'!OSRRefE21_11x_0</vt:lpstr>
      <vt:lpstr>'316'!OSRRefE21_11x_0</vt:lpstr>
      <vt:lpstr>'321'!OSRRefE21_11x_0</vt:lpstr>
      <vt:lpstr>'325'!OSRRefE21_11x_0</vt:lpstr>
      <vt:lpstr>'326'!OSRRefE21_11x_0</vt:lpstr>
      <vt:lpstr>'331'!OSRRefE21_11x_0</vt:lpstr>
      <vt:lpstr>'332'!OSRRefE21_11x_0</vt:lpstr>
      <vt:lpstr>'333'!OSRRefE21_11x_0</vt:lpstr>
      <vt:lpstr>'405'!OSRRefE21_11x_0</vt:lpstr>
      <vt:lpstr>'411'!OSRRefE21_11x_0</vt:lpstr>
      <vt:lpstr>'415'!OSRRefE21_11x_0</vt:lpstr>
      <vt:lpstr>'418'!OSRRefE21_11x_0</vt:lpstr>
      <vt:lpstr>'433'!OSRRefE21_11x_0</vt:lpstr>
      <vt:lpstr>'444'!OSRRefE21_11x_0</vt:lpstr>
      <vt:lpstr>'450'!OSRRefE21_11x_0</vt:lpstr>
      <vt:lpstr>'491'!OSRRefE21_11x_0</vt:lpstr>
      <vt:lpstr>'492'!OSRRefE21_11x_0</vt:lpstr>
      <vt:lpstr>'501'!OSRRefE21_11x_0</vt:lpstr>
      <vt:lpstr>'Div 2'!OSRRefE21_11x_0</vt:lpstr>
      <vt:lpstr>'Div 3'!OSRRefE21_11x_0</vt:lpstr>
      <vt:lpstr>'Div 4'!OSRRefE21_11x_0</vt:lpstr>
      <vt:lpstr>'Div 5'!OSRRefE21_11x_0</vt:lpstr>
      <vt:lpstr>Summary!OSRRefE21_11x_0</vt:lpstr>
      <vt:lpstr>'201'!OSRRefE21_11x_1</vt:lpstr>
      <vt:lpstr>'202'!OSRRefE21_11x_1</vt:lpstr>
      <vt:lpstr>'203'!OSRRefE21_11x_1</vt:lpstr>
      <vt:lpstr>'300'!OSRRefE21_11x_1</vt:lpstr>
      <vt:lpstr>'300 &amp; 317'!OSRRefE21_11x_1</vt:lpstr>
      <vt:lpstr>'301'!OSRRefE21_11x_1</vt:lpstr>
      <vt:lpstr>'307'!OSRRefE21_11x_1</vt:lpstr>
      <vt:lpstr>'308'!OSRRefE21_11x_1</vt:lpstr>
      <vt:lpstr>'309'!OSRRefE21_11x_1</vt:lpstr>
      <vt:lpstr>'310'!OSRRefE21_11x_1</vt:lpstr>
      <vt:lpstr>'310 &amp; 491'!OSRRefE21_11x_1</vt:lpstr>
      <vt:lpstr>'311'!OSRRefE21_11x_1</vt:lpstr>
      <vt:lpstr>'315'!OSRRefE21_11x_1</vt:lpstr>
      <vt:lpstr>'316'!OSRRefE21_11x_1</vt:lpstr>
      <vt:lpstr>'321'!OSRRefE21_11x_1</vt:lpstr>
      <vt:lpstr>'325'!OSRRefE21_11x_1</vt:lpstr>
      <vt:lpstr>'326'!OSRRefE21_11x_1</vt:lpstr>
      <vt:lpstr>'331'!OSRRefE21_11x_1</vt:lpstr>
      <vt:lpstr>'332'!OSRRefE21_11x_1</vt:lpstr>
      <vt:lpstr>'333'!OSRRefE21_11x_1</vt:lpstr>
      <vt:lpstr>'405'!OSRRefE21_11x_1</vt:lpstr>
      <vt:lpstr>'411'!OSRRefE21_11x_1</vt:lpstr>
      <vt:lpstr>'415'!OSRRefE21_11x_1</vt:lpstr>
      <vt:lpstr>'418'!OSRRefE21_11x_1</vt:lpstr>
      <vt:lpstr>'433'!OSRRefE21_11x_1</vt:lpstr>
      <vt:lpstr>'444'!OSRRefE21_11x_1</vt:lpstr>
      <vt:lpstr>'450'!OSRRefE21_11x_1</vt:lpstr>
      <vt:lpstr>'491'!OSRRefE21_11x_1</vt:lpstr>
      <vt:lpstr>'492'!OSRRefE21_11x_1</vt:lpstr>
      <vt:lpstr>'501'!OSRRefE21_11x_1</vt:lpstr>
      <vt:lpstr>'Div 2'!OSRRefE21_11x_1</vt:lpstr>
      <vt:lpstr>'Div 3'!OSRRefE21_11x_1</vt:lpstr>
      <vt:lpstr>'Div 4'!OSRRefE21_11x_1</vt:lpstr>
      <vt:lpstr>'Div 5'!OSRRefE21_11x_1</vt:lpstr>
      <vt:lpstr>Summary!OSRRefE21_11x_1</vt:lpstr>
      <vt:lpstr>'201'!OSRRefE21_12_0x</vt:lpstr>
      <vt:lpstr>'202'!OSRRefE21_12_0x</vt:lpstr>
      <vt:lpstr>'203'!OSRRefE21_12_0x</vt:lpstr>
      <vt:lpstr>'300'!OSRRefE21_12_0x</vt:lpstr>
      <vt:lpstr>'300 &amp; 317'!OSRRefE21_12_0x</vt:lpstr>
      <vt:lpstr>'301'!OSRRefE21_12_0x</vt:lpstr>
      <vt:lpstr>'307'!OSRRefE21_12_0x</vt:lpstr>
      <vt:lpstr>'308'!OSRRefE21_12_0x</vt:lpstr>
      <vt:lpstr>'309'!OSRRefE21_12_0x</vt:lpstr>
      <vt:lpstr>'310'!OSRRefE21_12_0x</vt:lpstr>
      <vt:lpstr>'310 &amp; 491'!OSRRefE21_12_0x</vt:lpstr>
      <vt:lpstr>'311'!OSRRefE21_12_0x</vt:lpstr>
      <vt:lpstr>'315'!OSRRefE21_12_0x</vt:lpstr>
      <vt:lpstr>'321'!OSRRefE21_12_0x</vt:lpstr>
      <vt:lpstr>'325'!OSRRefE21_12_0x</vt:lpstr>
      <vt:lpstr>'326'!OSRRefE21_12_0x</vt:lpstr>
      <vt:lpstr>'331'!OSRRefE21_12_0x</vt:lpstr>
      <vt:lpstr>'333'!OSRRefE21_12_0x</vt:lpstr>
      <vt:lpstr>'405'!OSRRefE21_12_0x</vt:lpstr>
      <vt:lpstr>'411'!OSRRefE21_12_0x</vt:lpstr>
      <vt:lpstr>'415'!OSRRefE21_12_0x</vt:lpstr>
      <vt:lpstr>'418'!OSRRefE21_12_0x</vt:lpstr>
      <vt:lpstr>'433'!OSRRefE21_12_0x</vt:lpstr>
      <vt:lpstr>'444'!OSRRefE21_12_0x</vt:lpstr>
      <vt:lpstr>'450'!OSRRefE21_12_0x</vt:lpstr>
      <vt:lpstr>'491'!OSRRefE21_12_0x</vt:lpstr>
      <vt:lpstr>'492'!OSRRefE21_12_0x</vt:lpstr>
      <vt:lpstr>'501'!OSRRefE21_12_0x</vt:lpstr>
      <vt:lpstr>'Div 2'!OSRRefE21_12_0x</vt:lpstr>
      <vt:lpstr>'Div 3'!OSRRefE21_12_0x</vt:lpstr>
      <vt:lpstr>'Div 4'!OSRRefE21_12_0x</vt:lpstr>
      <vt:lpstr>'Div 5'!OSRRefE21_12_0x</vt:lpstr>
      <vt:lpstr>Summary!OSRRefE21_12_0x</vt:lpstr>
      <vt:lpstr>'201'!OSRRefE21_12_1x</vt:lpstr>
      <vt:lpstr>'307'!OSRRefE21_12_1x</vt:lpstr>
      <vt:lpstr>'308'!OSRRefE21_12_1x</vt:lpstr>
      <vt:lpstr>'310'!OSRRefE21_12_1x</vt:lpstr>
      <vt:lpstr>'310 &amp; 491'!OSRRefE21_12_1x</vt:lpstr>
      <vt:lpstr>'311'!OSRRefE21_12_1x</vt:lpstr>
      <vt:lpstr>'315'!OSRRefE21_12_1x</vt:lpstr>
      <vt:lpstr>'325'!OSRRefE21_12_1x</vt:lpstr>
      <vt:lpstr>'326'!OSRRefE21_12_1x</vt:lpstr>
      <vt:lpstr>'405'!OSRRefE21_12_1x</vt:lpstr>
      <vt:lpstr>'415'!OSRRefE21_12_1x</vt:lpstr>
      <vt:lpstr>'418'!OSRRefE21_12_1x</vt:lpstr>
      <vt:lpstr>'433'!OSRRefE21_12_1x</vt:lpstr>
      <vt:lpstr>'444'!OSRRefE21_12_1x</vt:lpstr>
      <vt:lpstr>'450'!OSRRefE21_12_1x</vt:lpstr>
      <vt:lpstr>'491'!OSRRefE21_12_1x</vt:lpstr>
      <vt:lpstr>'492'!OSRRefE21_12_1x</vt:lpstr>
      <vt:lpstr>'Div 2'!OSRRefE21_12_1x</vt:lpstr>
      <vt:lpstr>'307'!OSRRefE21_12_2x</vt:lpstr>
      <vt:lpstr>'310 &amp; 491'!OSRRefE21_12_2x</vt:lpstr>
      <vt:lpstr>'325'!OSRRefE21_12_2x</vt:lpstr>
      <vt:lpstr>'405'!OSRRefE21_12_2x</vt:lpstr>
      <vt:lpstr>'415'!OSRRefE21_12_2x</vt:lpstr>
      <vt:lpstr>'433'!OSRRefE21_12_2x</vt:lpstr>
      <vt:lpstr>'444'!OSRRefE21_12_2x</vt:lpstr>
      <vt:lpstr>'450'!OSRRefE21_12_2x</vt:lpstr>
      <vt:lpstr>'491'!OSRRefE21_12_2x</vt:lpstr>
      <vt:lpstr>'492'!OSRRefE21_12_2x</vt:lpstr>
      <vt:lpstr>'Div 2'!OSRRefE21_12_2x</vt:lpstr>
      <vt:lpstr>'307'!OSRRefE21_12_3x</vt:lpstr>
      <vt:lpstr>'405'!OSRRefE21_12_3x</vt:lpstr>
      <vt:lpstr>'415'!OSRRefE21_12_3x</vt:lpstr>
      <vt:lpstr>'433'!OSRRefE21_12_3x</vt:lpstr>
      <vt:lpstr>'444'!OSRRefE21_12_3x</vt:lpstr>
      <vt:lpstr>'450'!OSRRefE21_12_3x</vt:lpstr>
      <vt:lpstr>'Div 2'!OSRRefE21_12_3x</vt:lpstr>
      <vt:lpstr>'405'!OSRRefE21_12_4x</vt:lpstr>
      <vt:lpstr>'405'!OSRRefE21_12_5x</vt:lpstr>
      <vt:lpstr>'405'!OSRRefE21_12_6x</vt:lpstr>
      <vt:lpstr>'405'!OSRRefE21_12_7x</vt:lpstr>
      <vt:lpstr>'405'!OSRRefE21_12_8x</vt:lpstr>
      <vt:lpstr>'201'!OSRRefE21_12x_0</vt:lpstr>
      <vt:lpstr>'202'!OSRRefE21_12x_0</vt:lpstr>
      <vt:lpstr>'203'!OSRRefE21_12x_0</vt:lpstr>
      <vt:lpstr>'300'!OSRRefE21_12x_0</vt:lpstr>
      <vt:lpstr>'300 &amp; 317'!OSRRefE21_12x_0</vt:lpstr>
      <vt:lpstr>'301'!OSRRefE21_12x_0</vt:lpstr>
      <vt:lpstr>'307'!OSRRefE21_12x_0</vt:lpstr>
      <vt:lpstr>'308'!OSRRefE21_12x_0</vt:lpstr>
      <vt:lpstr>'309'!OSRRefE21_12x_0</vt:lpstr>
      <vt:lpstr>'310'!OSRRefE21_12x_0</vt:lpstr>
      <vt:lpstr>'310 &amp; 491'!OSRRefE21_12x_0</vt:lpstr>
      <vt:lpstr>'311'!OSRRefE21_12x_0</vt:lpstr>
      <vt:lpstr>'315'!OSRRefE21_12x_0</vt:lpstr>
      <vt:lpstr>'321'!OSRRefE21_12x_0</vt:lpstr>
      <vt:lpstr>'325'!OSRRefE21_12x_0</vt:lpstr>
      <vt:lpstr>'326'!OSRRefE21_12x_0</vt:lpstr>
      <vt:lpstr>'331'!OSRRefE21_12x_0</vt:lpstr>
      <vt:lpstr>'333'!OSRRefE21_12x_0</vt:lpstr>
      <vt:lpstr>'405'!OSRRefE21_12x_0</vt:lpstr>
      <vt:lpstr>'411'!OSRRefE21_12x_0</vt:lpstr>
      <vt:lpstr>'415'!OSRRefE21_12x_0</vt:lpstr>
      <vt:lpstr>'418'!OSRRefE21_12x_0</vt:lpstr>
      <vt:lpstr>'433'!OSRRefE21_12x_0</vt:lpstr>
      <vt:lpstr>'444'!OSRRefE21_12x_0</vt:lpstr>
      <vt:lpstr>'450'!OSRRefE21_12x_0</vt:lpstr>
      <vt:lpstr>'491'!OSRRefE21_12x_0</vt:lpstr>
      <vt:lpstr>'492'!OSRRefE21_12x_0</vt:lpstr>
      <vt:lpstr>'501'!OSRRefE21_12x_0</vt:lpstr>
      <vt:lpstr>'Div 2'!OSRRefE21_12x_0</vt:lpstr>
      <vt:lpstr>'Div 3'!OSRRefE21_12x_0</vt:lpstr>
      <vt:lpstr>'Div 4'!OSRRefE21_12x_0</vt:lpstr>
      <vt:lpstr>'Div 5'!OSRRefE21_12x_0</vt:lpstr>
      <vt:lpstr>Summary!OSRRefE21_12x_0</vt:lpstr>
      <vt:lpstr>'201'!OSRRefE21_12x_1</vt:lpstr>
      <vt:lpstr>'202'!OSRRefE21_12x_1</vt:lpstr>
      <vt:lpstr>'203'!OSRRefE21_12x_1</vt:lpstr>
      <vt:lpstr>'300'!OSRRefE21_12x_1</vt:lpstr>
      <vt:lpstr>'300 &amp; 317'!OSRRefE21_12x_1</vt:lpstr>
      <vt:lpstr>'301'!OSRRefE21_12x_1</vt:lpstr>
      <vt:lpstr>'307'!OSRRefE21_12x_1</vt:lpstr>
      <vt:lpstr>'308'!OSRRefE21_12x_1</vt:lpstr>
      <vt:lpstr>'309'!OSRRefE21_12x_1</vt:lpstr>
      <vt:lpstr>'310'!OSRRefE21_12x_1</vt:lpstr>
      <vt:lpstr>'310 &amp; 491'!OSRRefE21_12x_1</vt:lpstr>
      <vt:lpstr>'311'!OSRRefE21_12x_1</vt:lpstr>
      <vt:lpstr>'315'!OSRRefE21_12x_1</vt:lpstr>
      <vt:lpstr>'321'!OSRRefE21_12x_1</vt:lpstr>
      <vt:lpstr>'325'!OSRRefE21_12x_1</vt:lpstr>
      <vt:lpstr>'326'!OSRRefE21_12x_1</vt:lpstr>
      <vt:lpstr>'331'!OSRRefE21_12x_1</vt:lpstr>
      <vt:lpstr>'333'!OSRRefE21_12x_1</vt:lpstr>
      <vt:lpstr>'405'!OSRRefE21_12x_1</vt:lpstr>
      <vt:lpstr>'411'!OSRRefE21_12x_1</vt:lpstr>
      <vt:lpstr>'415'!OSRRefE21_12x_1</vt:lpstr>
      <vt:lpstr>'418'!OSRRefE21_12x_1</vt:lpstr>
      <vt:lpstr>'433'!OSRRefE21_12x_1</vt:lpstr>
      <vt:lpstr>'444'!OSRRefE21_12x_1</vt:lpstr>
      <vt:lpstr>'450'!OSRRefE21_12x_1</vt:lpstr>
      <vt:lpstr>'491'!OSRRefE21_12x_1</vt:lpstr>
      <vt:lpstr>'492'!OSRRefE21_12x_1</vt:lpstr>
      <vt:lpstr>'501'!OSRRefE21_12x_1</vt:lpstr>
      <vt:lpstr>'Div 2'!OSRRefE21_12x_1</vt:lpstr>
      <vt:lpstr>'Div 3'!OSRRefE21_12x_1</vt:lpstr>
      <vt:lpstr>'Div 4'!OSRRefE21_12x_1</vt:lpstr>
      <vt:lpstr>'Div 5'!OSRRefE21_12x_1</vt:lpstr>
      <vt:lpstr>Summary!OSRRefE21_12x_1</vt:lpstr>
      <vt:lpstr>'201'!OSRRefE21_13_0x</vt:lpstr>
      <vt:lpstr>'203'!OSRRefE21_13_0x</vt:lpstr>
      <vt:lpstr>'300'!OSRRefE21_13_0x</vt:lpstr>
      <vt:lpstr>'300 &amp; 317'!OSRRefE21_13_0x</vt:lpstr>
      <vt:lpstr>'301'!OSRRefE21_13_0x</vt:lpstr>
      <vt:lpstr>'307'!OSRRefE21_13_0x</vt:lpstr>
      <vt:lpstr>'308'!OSRRefE21_13_0x</vt:lpstr>
      <vt:lpstr>'310'!OSRRefE21_13_0x</vt:lpstr>
      <vt:lpstr>'310 &amp; 491'!OSRRefE21_13_0x</vt:lpstr>
      <vt:lpstr>'311'!OSRRefE21_13_0x</vt:lpstr>
      <vt:lpstr>'315'!OSRRefE21_13_0x</vt:lpstr>
      <vt:lpstr>'325'!OSRRefE21_13_0x</vt:lpstr>
      <vt:lpstr>'326'!OSRRefE21_13_0x</vt:lpstr>
      <vt:lpstr>'331'!OSRRefE21_13_0x</vt:lpstr>
      <vt:lpstr>'333'!OSRRefE21_13_0x</vt:lpstr>
      <vt:lpstr>'405'!OSRRefE21_13_0x</vt:lpstr>
      <vt:lpstr>'411'!OSRRefE21_13_0x</vt:lpstr>
      <vt:lpstr>'415'!OSRRefE21_13_0x</vt:lpstr>
      <vt:lpstr>'418'!OSRRefE21_13_0x</vt:lpstr>
      <vt:lpstr>'433'!OSRRefE21_13_0x</vt:lpstr>
      <vt:lpstr>'444'!OSRRefE21_13_0x</vt:lpstr>
      <vt:lpstr>'450'!OSRRefE21_13_0x</vt:lpstr>
      <vt:lpstr>'491'!OSRRefE21_13_0x</vt:lpstr>
      <vt:lpstr>'492'!OSRRefE21_13_0x</vt:lpstr>
      <vt:lpstr>'501'!OSRRefE21_13_0x</vt:lpstr>
      <vt:lpstr>'Div 2'!OSRRefE21_13_0x</vt:lpstr>
      <vt:lpstr>'Div 3'!OSRRefE21_13_0x</vt:lpstr>
      <vt:lpstr>'Div 4'!OSRRefE21_13_0x</vt:lpstr>
      <vt:lpstr>'Div 5'!OSRRefE21_13_0x</vt:lpstr>
      <vt:lpstr>Summary!OSRRefE21_13_0x</vt:lpstr>
      <vt:lpstr>'310'!OSRRefE21_13_1x</vt:lpstr>
      <vt:lpstr>'310 &amp; 491'!OSRRefE21_13_1x</vt:lpstr>
      <vt:lpstr>'315'!OSRRefE21_13_1x</vt:lpstr>
      <vt:lpstr>'325'!OSRRefE21_13_1x</vt:lpstr>
      <vt:lpstr>'326'!OSRRefE21_13_1x</vt:lpstr>
      <vt:lpstr>'411'!OSRRefE21_13_1x</vt:lpstr>
      <vt:lpstr>'433'!OSRRefE21_13_1x</vt:lpstr>
      <vt:lpstr>'444'!OSRRefE21_13_1x</vt:lpstr>
      <vt:lpstr>'450'!OSRRefE21_13_1x</vt:lpstr>
      <vt:lpstr>'492'!OSRRefE21_13_1x</vt:lpstr>
      <vt:lpstr>'Div 2'!OSRRefE21_13_1x</vt:lpstr>
      <vt:lpstr>'310'!OSRRefE21_13_2x</vt:lpstr>
      <vt:lpstr>'315'!OSRRefE21_13_2x</vt:lpstr>
      <vt:lpstr>'325'!OSRRefE21_13_2x</vt:lpstr>
      <vt:lpstr>'433'!OSRRefE21_13_2x</vt:lpstr>
      <vt:lpstr>'444'!OSRRefE21_13_2x</vt:lpstr>
      <vt:lpstr>'450'!OSRRefE21_13_2x</vt:lpstr>
      <vt:lpstr>'492'!OSRRefE21_13_2x</vt:lpstr>
      <vt:lpstr>'Div 2'!OSRRefE21_13_2x</vt:lpstr>
      <vt:lpstr>'325'!OSRRefE21_13_3x</vt:lpstr>
      <vt:lpstr>'433'!OSRRefE21_13_3x</vt:lpstr>
      <vt:lpstr>'444'!OSRRefE21_13_3x</vt:lpstr>
      <vt:lpstr>'450'!OSRRefE21_13_3x</vt:lpstr>
      <vt:lpstr>'492'!OSRRefE21_13_3x</vt:lpstr>
      <vt:lpstr>'Div 2'!OSRRefE21_13_3x</vt:lpstr>
      <vt:lpstr>'325'!OSRRefE21_13_4x</vt:lpstr>
      <vt:lpstr>'433'!OSRRefE21_13_4x</vt:lpstr>
      <vt:lpstr>'444'!OSRRefE21_13_4x</vt:lpstr>
      <vt:lpstr>'450'!OSRRefE21_13_4x</vt:lpstr>
      <vt:lpstr>'325'!OSRRefE21_13_5x</vt:lpstr>
      <vt:lpstr>'433'!OSRRefE21_13_5x</vt:lpstr>
      <vt:lpstr>'444'!OSRRefE21_13_5x</vt:lpstr>
      <vt:lpstr>'450'!OSRRefE21_13_5x</vt:lpstr>
      <vt:lpstr>'433'!OSRRefE21_13_6x</vt:lpstr>
      <vt:lpstr>'444'!OSRRefE21_13_6x</vt:lpstr>
      <vt:lpstr>'450'!OSRRefE21_13_6x</vt:lpstr>
      <vt:lpstr>'433'!OSRRefE21_13_7x</vt:lpstr>
      <vt:lpstr>'444'!OSRRefE21_13_7x</vt:lpstr>
      <vt:lpstr>'444'!OSRRefE21_13_8x</vt:lpstr>
      <vt:lpstr>'201'!OSRRefE21_13x_0</vt:lpstr>
      <vt:lpstr>'203'!OSRRefE21_13x_0</vt:lpstr>
      <vt:lpstr>'300'!OSRRefE21_13x_0</vt:lpstr>
      <vt:lpstr>'300 &amp; 317'!OSRRefE21_13x_0</vt:lpstr>
      <vt:lpstr>'301'!OSRRefE21_13x_0</vt:lpstr>
      <vt:lpstr>'307'!OSRRefE21_13x_0</vt:lpstr>
      <vt:lpstr>'308'!OSRRefE21_13x_0</vt:lpstr>
      <vt:lpstr>'310'!OSRRefE21_13x_0</vt:lpstr>
      <vt:lpstr>'310 &amp; 491'!OSRRefE21_13x_0</vt:lpstr>
      <vt:lpstr>'311'!OSRRefE21_13x_0</vt:lpstr>
      <vt:lpstr>'315'!OSRRefE21_13x_0</vt:lpstr>
      <vt:lpstr>'325'!OSRRefE21_13x_0</vt:lpstr>
      <vt:lpstr>'326'!OSRRefE21_13x_0</vt:lpstr>
      <vt:lpstr>'331'!OSRRefE21_13x_0</vt:lpstr>
      <vt:lpstr>'333'!OSRRefE21_13x_0</vt:lpstr>
      <vt:lpstr>'405'!OSRRefE21_13x_0</vt:lpstr>
      <vt:lpstr>'411'!OSRRefE21_13x_0</vt:lpstr>
      <vt:lpstr>'415'!OSRRefE21_13x_0</vt:lpstr>
      <vt:lpstr>'418'!OSRRefE21_13x_0</vt:lpstr>
      <vt:lpstr>'433'!OSRRefE21_13x_0</vt:lpstr>
      <vt:lpstr>'444'!OSRRefE21_13x_0</vt:lpstr>
      <vt:lpstr>'450'!OSRRefE21_13x_0</vt:lpstr>
      <vt:lpstr>'491'!OSRRefE21_13x_0</vt:lpstr>
      <vt:lpstr>'492'!OSRRefE21_13x_0</vt:lpstr>
      <vt:lpstr>'501'!OSRRefE21_13x_0</vt:lpstr>
      <vt:lpstr>'Div 2'!OSRRefE21_13x_0</vt:lpstr>
      <vt:lpstr>'Div 3'!OSRRefE21_13x_0</vt:lpstr>
      <vt:lpstr>'Div 4'!OSRRefE21_13x_0</vt:lpstr>
      <vt:lpstr>'Div 5'!OSRRefE21_13x_0</vt:lpstr>
      <vt:lpstr>Summary!OSRRefE21_13x_0</vt:lpstr>
      <vt:lpstr>'201'!OSRRefE21_13x_1</vt:lpstr>
      <vt:lpstr>'203'!OSRRefE21_13x_1</vt:lpstr>
      <vt:lpstr>'300'!OSRRefE21_13x_1</vt:lpstr>
      <vt:lpstr>'300 &amp; 317'!OSRRefE21_13x_1</vt:lpstr>
      <vt:lpstr>'301'!OSRRefE21_13x_1</vt:lpstr>
      <vt:lpstr>'307'!OSRRefE21_13x_1</vt:lpstr>
      <vt:lpstr>'308'!OSRRefE21_13x_1</vt:lpstr>
      <vt:lpstr>'310'!OSRRefE21_13x_1</vt:lpstr>
      <vt:lpstr>'310 &amp; 491'!OSRRefE21_13x_1</vt:lpstr>
      <vt:lpstr>'311'!OSRRefE21_13x_1</vt:lpstr>
      <vt:lpstr>'315'!OSRRefE21_13x_1</vt:lpstr>
      <vt:lpstr>'325'!OSRRefE21_13x_1</vt:lpstr>
      <vt:lpstr>'326'!OSRRefE21_13x_1</vt:lpstr>
      <vt:lpstr>'331'!OSRRefE21_13x_1</vt:lpstr>
      <vt:lpstr>'333'!OSRRefE21_13x_1</vt:lpstr>
      <vt:lpstr>'405'!OSRRefE21_13x_1</vt:lpstr>
      <vt:lpstr>'411'!OSRRefE21_13x_1</vt:lpstr>
      <vt:lpstr>'415'!OSRRefE21_13x_1</vt:lpstr>
      <vt:lpstr>'418'!OSRRefE21_13x_1</vt:lpstr>
      <vt:lpstr>'433'!OSRRefE21_13x_1</vt:lpstr>
      <vt:lpstr>'444'!OSRRefE21_13x_1</vt:lpstr>
      <vt:lpstr>'450'!OSRRefE21_13x_1</vt:lpstr>
      <vt:lpstr>'491'!OSRRefE21_13x_1</vt:lpstr>
      <vt:lpstr>'492'!OSRRefE21_13x_1</vt:lpstr>
      <vt:lpstr>'501'!OSRRefE21_13x_1</vt:lpstr>
      <vt:lpstr>'Div 2'!OSRRefE21_13x_1</vt:lpstr>
      <vt:lpstr>'Div 3'!OSRRefE21_13x_1</vt:lpstr>
      <vt:lpstr>'Div 4'!OSRRefE21_13x_1</vt:lpstr>
      <vt:lpstr>'Div 5'!OSRRefE21_13x_1</vt:lpstr>
      <vt:lpstr>Summary!OSRRefE21_13x_1</vt:lpstr>
      <vt:lpstr>'201'!OSRRefE21_14_0x</vt:lpstr>
      <vt:lpstr>'300'!OSRRefE21_14_0x</vt:lpstr>
      <vt:lpstr>'300 &amp; 317'!OSRRefE21_14_0x</vt:lpstr>
      <vt:lpstr>'301'!OSRRefE21_14_0x</vt:lpstr>
      <vt:lpstr>'310'!OSRRefE21_14_0x</vt:lpstr>
      <vt:lpstr>'310 &amp; 491'!OSRRefE21_14_0x</vt:lpstr>
      <vt:lpstr>'315'!OSRRefE21_14_0x</vt:lpstr>
      <vt:lpstr>'325'!OSRRefE21_14_0x</vt:lpstr>
      <vt:lpstr>'326'!OSRRefE21_14_0x</vt:lpstr>
      <vt:lpstr>'331'!OSRRefE21_14_0x</vt:lpstr>
      <vt:lpstr>'333'!OSRRefE21_14_0x</vt:lpstr>
      <vt:lpstr>'405'!OSRRefE21_14_0x</vt:lpstr>
      <vt:lpstr>'411'!OSRRefE21_14_0x</vt:lpstr>
      <vt:lpstr>'415'!OSRRefE21_14_0x</vt:lpstr>
      <vt:lpstr>'418'!OSRRefE21_14_0x</vt:lpstr>
      <vt:lpstr>'433'!OSRRefE21_14_0x</vt:lpstr>
      <vt:lpstr>'444'!OSRRefE21_14_0x</vt:lpstr>
      <vt:lpstr>'450'!OSRRefE21_14_0x</vt:lpstr>
      <vt:lpstr>'491'!OSRRefE21_14_0x</vt:lpstr>
      <vt:lpstr>'492'!OSRRefE21_14_0x</vt:lpstr>
      <vt:lpstr>'Div 2'!OSRRefE21_14_0x</vt:lpstr>
      <vt:lpstr>'Div 3'!OSRRefE21_14_0x</vt:lpstr>
      <vt:lpstr>'Div 4'!OSRRefE21_14_0x</vt:lpstr>
      <vt:lpstr>Summary!OSRRefE21_14_0x</vt:lpstr>
      <vt:lpstr>'310'!OSRRefE21_14_1x</vt:lpstr>
      <vt:lpstr>'310 &amp; 491'!OSRRefE21_14_1x</vt:lpstr>
      <vt:lpstr>'315'!OSRRefE21_14_1x</vt:lpstr>
      <vt:lpstr>'325'!OSRRefE21_14_1x</vt:lpstr>
      <vt:lpstr>'326'!OSRRefE21_14_1x</vt:lpstr>
      <vt:lpstr>'331'!OSRRefE21_14_1x</vt:lpstr>
      <vt:lpstr>'333'!OSRRefE21_14_1x</vt:lpstr>
      <vt:lpstr>'415'!OSRRefE21_14_1x</vt:lpstr>
      <vt:lpstr>'491'!OSRRefE21_14_1x</vt:lpstr>
      <vt:lpstr>'492'!OSRRefE21_14_1x</vt:lpstr>
      <vt:lpstr>'Div 2'!OSRRefE21_14_1x</vt:lpstr>
      <vt:lpstr>'Div 4'!OSRRefE21_14_1x</vt:lpstr>
      <vt:lpstr>'310'!OSRRefE21_14_2x</vt:lpstr>
      <vt:lpstr>'310 &amp; 491'!OSRRefE21_14_2x</vt:lpstr>
      <vt:lpstr>'326'!OSRRefE21_14_2x</vt:lpstr>
      <vt:lpstr>'415'!OSRRefE21_14_2x</vt:lpstr>
      <vt:lpstr>'491'!OSRRefE21_14_2x</vt:lpstr>
      <vt:lpstr>'492'!OSRRefE21_14_2x</vt:lpstr>
      <vt:lpstr>'Div 4'!OSRRefE21_14_2x</vt:lpstr>
      <vt:lpstr>'310'!OSRRefE21_14_3x</vt:lpstr>
      <vt:lpstr>'310 &amp; 491'!OSRRefE21_14_3x</vt:lpstr>
      <vt:lpstr>'415'!OSRRefE21_14_3x</vt:lpstr>
      <vt:lpstr>'491'!OSRRefE21_14_3x</vt:lpstr>
      <vt:lpstr>'492'!OSRRefE21_14_3x</vt:lpstr>
      <vt:lpstr>'310'!OSRRefE21_14_4x</vt:lpstr>
      <vt:lpstr>'310 &amp; 491'!OSRRefE21_14_4x</vt:lpstr>
      <vt:lpstr>'415'!OSRRefE21_14_4x</vt:lpstr>
      <vt:lpstr>'491'!OSRRefE21_14_4x</vt:lpstr>
      <vt:lpstr>'492'!OSRRefE21_14_4x</vt:lpstr>
      <vt:lpstr>'310'!OSRRefE21_14_5x</vt:lpstr>
      <vt:lpstr>'415'!OSRRefE21_14_5x</vt:lpstr>
      <vt:lpstr>'492'!OSRRefE21_14_5x</vt:lpstr>
      <vt:lpstr>'492'!OSRRefE21_14_6x</vt:lpstr>
      <vt:lpstr>'492'!OSRRefE21_14_7x</vt:lpstr>
      <vt:lpstr>'492'!OSRRefE21_14_8x</vt:lpstr>
      <vt:lpstr>'201'!OSRRefE21_14x_0</vt:lpstr>
      <vt:lpstr>'300'!OSRRefE21_14x_0</vt:lpstr>
      <vt:lpstr>'300 &amp; 317'!OSRRefE21_14x_0</vt:lpstr>
      <vt:lpstr>'301'!OSRRefE21_14x_0</vt:lpstr>
      <vt:lpstr>'310'!OSRRefE21_14x_0</vt:lpstr>
      <vt:lpstr>'310 &amp; 491'!OSRRefE21_14x_0</vt:lpstr>
      <vt:lpstr>'315'!OSRRefE21_14x_0</vt:lpstr>
      <vt:lpstr>'325'!OSRRefE21_14x_0</vt:lpstr>
      <vt:lpstr>'326'!OSRRefE21_14x_0</vt:lpstr>
      <vt:lpstr>'331'!OSRRefE21_14x_0</vt:lpstr>
      <vt:lpstr>'333'!OSRRefE21_14x_0</vt:lpstr>
      <vt:lpstr>'405'!OSRRefE21_14x_0</vt:lpstr>
      <vt:lpstr>'411'!OSRRefE21_14x_0</vt:lpstr>
      <vt:lpstr>'415'!OSRRefE21_14x_0</vt:lpstr>
      <vt:lpstr>'418'!OSRRefE21_14x_0</vt:lpstr>
      <vt:lpstr>'433'!OSRRefE21_14x_0</vt:lpstr>
      <vt:lpstr>'444'!OSRRefE21_14x_0</vt:lpstr>
      <vt:lpstr>'450'!OSRRefE21_14x_0</vt:lpstr>
      <vt:lpstr>'491'!OSRRefE21_14x_0</vt:lpstr>
      <vt:lpstr>'492'!OSRRefE21_14x_0</vt:lpstr>
      <vt:lpstr>'Div 2'!OSRRefE21_14x_0</vt:lpstr>
      <vt:lpstr>'Div 3'!OSRRefE21_14x_0</vt:lpstr>
      <vt:lpstr>'Div 4'!OSRRefE21_14x_0</vt:lpstr>
      <vt:lpstr>Summary!OSRRefE21_14x_0</vt:lpstr>
      <vt:lpstr>'201'!OSRRefE21_14x_1</vt:lpstr>
      <vt:lpstr>'300'!OSRRefE21_14x_1</vt:lpstr>
      <vt:lpstr>'300 &amp; 317'!OSRRefE21_14x_1</vt:lpstr>
      <vt:lpstr>'301'!OSRRefE21_14x_1</vt:lpstr>
      <vt:lpstr>'310'!OSRRefE21_14x_1</vt:lpstr>
      <vt:lpstr>'310 &amp; 491'!OSRRefE21_14x_1</vt:lpstr>
      <vt:lpstr>'315'!OSRRefE21_14x_1</vt:lpstr>
      <vt:lpstr>'325'!OSRRefE21_14x_1</vt:lpstr>
      <vt:lpstr>'326'!OSRRefE21_14x_1</vt:lpstr>
      <vt:lpstr>'331'!OSRRefE21_14x_1</vt:lpstr>
      <vt:lpstr>'333'!OSRRefE21_14x_1</vt:lpstr>
      <vt:lpstr>'405'!OSRRefE21_14x_1</vt:lpstr>
      <vt:lpstr>'411'!OSRRefE21_14x_1</vt:lpstr>
      <vt:lpstr>'415'!OSRRefE21_14x_1</vt:lpstr>
      <vt:lpstr>'418'!OSRRefE21_14x_1</vt:lpstr>
      <vt:lpstr>'433'!OSRRefE21_14x_1</vt:lpstr>
      <vt:lpstr>'444'!OSRRefE21_14x_1</vt:lpstr>
      <vt:lpstr>'450'!OSRRefE21_14x_1</vt:lpstr>
      <vt:lpstr>'491'!OSRRefE21_14x_1</vt:lpstr>
      <vt:lpstr>'492'!OSRRefE21_14x_1</vt:lpstr>
      <vt:lpstr>'Div 2'!OSRRefE21_14x_1</vt:lpstr>
      <vt:lpstr>'Div 3'!OSRRefE21_14x_1</vt:lpstr>
      <vt:lpstr>'Div 4'!OSRRefE21_14x_1</vt:lpstr>
      <vt:lpstr>Summary!OSRRefE21_14x_1</vt:lpstr>
      <vt:lpstr>'300'!OSRRefE21_15_0x</vt:lpstr>
      <vt:lpstr>'300 &amp; 317'!OSRRefE21_15_0x</vt:lpstr>
      <vt:lpstr>'301'!OSRRefE21_15_0x</vt:lpstr>
      <vt:lpstr>'310'!OSRRefE21_15_0x</vt:lpstr>
      <vt:lpstr>'310 &amp; 491'!OSRRefE21_15_0x</vt:lpstr>
      <vt:lpstr>'315'!OSRRefE21_15_0x</vt:lpstr>
      <vt:lpstr>'325'!OSRRefE21_15_0x</vt:lpstr>
      <vt:lpstr>'326'!OSRRefE21_15_0x</vt:lpstr>
      <vt:lpstr>'331'!OSRRefE21_15_0x</vt:lpstr>
      <vt:lpstr>'333'!OSRRefE21_15_0x</vt:lpstr>
      <vt:lpstr>'405'!OSRRefE21_15_0x</vt:lpstr>
      <vt:lpstr>'415'!OSRRefE21_15_0x</vt:lpstr>
      <vt:lpstr>'433'!OSRRefE21_15_0x</vt:lpstr>
      <vt:lpstr>'444'!OSRRefE21_15_0x</vt:lpstr>
      <vt:lpstr>'450'!OSRRefE21_15_0x</vt:lpstr>
      <vt:lpstr>'491'!OSRRefE21_15_0x</vt:lpstr>
      <vt:lpstr>'492'!OSRRefE21_15_0x</vt:lpstr>
      <vt:lpstr>'Div 2'!OSRRefE21_15_0x</vt:lpstr>
      <vt:lpstr>'Div 3'!OSRRefE21_15_0x</vt:lpstr>
      <vt:lpstr>'Div 4'!OSRRefE21_15_0x</vt:lpstr>
      <vt:lpstr>Summary!OSRRefE21_15_0x</vt:lpstr>
      <vt:lpstr>'301'!OSRRefE21_15_1x</vt:lpstr>
      <vt:lpstr>'310'!OSRRefE21_15_1x</vt:lpstr>
      <vt:lpstr>'315'!OSRRefE21_15_1x</vt:lpstr>
      <vt:lpstr>'331'!OSRRefE21_15_1x</vt:lpstr>
      <vt:lpstr>'333'!OSRRefE21_15_1x</vt:lpstr>
      <vt:lpstr>'415'!OSRRefE21_15_1x</vt:lpstr>
      <vt:lpstr>'492'!OSRRefE21_15_1x</vt:lpstr>
      <vt:lpstr>'Div 2'!OSRRefE21_15_1x</vt:lpstr>
      <vt:lpstr>'301'!OSRRefE21_15_2x</vt:lpstr>
      <vt:lpstr>'315'!OSRRefE21_15_2x</vt:lpstr>
      <vt:lpstr>'331'!OSRRefE21_15_2x</vt:lpstr>
      <vt:lpstr>'333'!OSRRefE21_15_2x</vt:lpstr>
      <vt:lpstr>'301'!OSRRefE21_15_3x</vt:lpstr>
      <vt:lpstr>'315'!OSRRefE21_15_3x</vt:lpstr>
      <vt:lpstr>'300'!OSRRefE21_15x_0</vt:lpstr>
      <vt:lpstr>'300 &amp; 317'!OSRRefE21_15x_0</vt:lpstr>
      <vt:lpstr>'301'!OSRRefE21_15x_0</vt:lpstr>
      <vt:lpstr>'310'!OSRRefE21_15x_0</vt:lpstr>
      <vt:lpstr>'310 &amp; 491'!OSRRefE21_15x_0</vt:lpstr>
      <vt:lpstr>'315'!OSRRefE21_15x_0</vt:lpstr>
      <vt:lpstr>'325'!OSRRefE21_15x_0</vt:lpstr>
      <vt:lpstr>'326'!OSRRefE21_15x_0</vt:lpstr>
      <vt:lpstr>'331'!OSRRefE21_15x_0</vt:lpstr>
      <vt:lpstr>'333'!OSRRefE21_15x_0</vt:lpstr>
      <vt:lpstr>'405'!OSRRefE21_15x_0</vt:lpstr>
      <vt:lpstr>'415'!OSRRefE21_15x_0</vt:lpstr>
      <vt:lpstr>'433'!OSRRefE21_15x_0</vt:lpstr>
      <vt:lpstr>'444'!OSRRefE21_15x_0</vt:lpstr>
      <vt:lpstr>'450'!OSRRefE21_15x_0</vt:lpstr>
      <vt:lpstr>'491'!OSRRefE21_15x_0</vt:lpstr>
      <vt:lpstr>'492'!OSRRefE21_15x_0</vt:lpstr>
      <vt:lpstr>'Div 2'!OSRRefE21_15x_0</vt:lpstr>
      <vt:lpstr>'Div 3'!OSRRefE21_15x_0</vt:lpstr>
      <vt:lpstr>'Div 4'!OSRRefE21_15x_0</vt:lpstr>
      <vt:lpstr>Summary!OSRRefE21_15x_0</vt:lpstr>
      <vt:lpstr>'300'!OSRRefE21_15x_1</vt:lpstr>
      <vt:lpstr>'300 &amp; 317'!OSRRefE21_15x_1</vt:lpstr>
      <vt:lpstr>'301'!OSRRefE21_15x_1</vt:lpstr>
      <vt:lpstr>'310'!OSRRefE21_15x_1</vt:lpstr>
      <vt:lpstr>'310 &amp; 491'!OSRRefE21_15x_1</vt:lpstr>
      <vt:lpstr>'315'!OSRRefE21_15x_1</vt:lpstr>
      <vt:lpstr>'325'!OSRRefE21_15x_1</vt:lpstr>
      <vt:lpstr>'326'!OSRRefE21_15x_1</vt:lpstr>
      <vt:lpstr>'331'!OSRRefE21_15x_1</vt:lpstr>
      <vt:lpstr>'333'!OSRRefE21_15x_1</vt:lpstr>
      <vt:lpstr>'405'!OSRRefE21_15x_1</vt:lpstr>
      <vt:lpstr>'415'!OSRRefE21_15x_1</vt:lpstr>
      <vt:lpstr>'433'!OSRRefE21_15x_1</vt:lpstr>
      <vt:lpstr>'444'!OSRRefE21_15x_1</vt:lpstr>
      <vt:lpstr>'450'!OSRRefE21_15x_1</vt:lpstr>
      <vt:lpstr>'491'!OSRRefE21_15x_1</vt:lpstr>
      <vt:lpstr>'492'!OSRRefE21_15x_1</vt:lpstr>
      <vt:lpstr>'Div 2'!OSRRefE21_15x_1</vt:lpstr>
      <vt:lpstr>'Div 3'!OSRRefE21_15x_1</vt:lpstr>
      <vt:lpstr>'Div 4'!OSRRefE21_15x_1</vt:lpstr>
      <vt:lpstr>Summary!OSRRefE21_15x_1</vt:lpstr>
      <vt:lpstr>'300'!OSRRefE21_16_0x</vt:lpstr>
      <vt:lpstr>'300 &amp; 317'!OSRRefE21_16_0x</vt:lpstr>
      <vt:lpstr>'301'!OSRRefE21_16_0x</vt:lpstr>
      <vt:lpstr>'310'!OSRRefE21_16_0x</vt:lpstr>
      <vt:lpstr>'310 &amp; 491'!OSRRefE21_16_0x</vt:lpstr>
      <vt:lpstr>'315'!OSRRefE21_16_0x</vt:lpstr>
      <vt:lpstr>'325'!OSRRefE21_16_0x</vt:lpstr>
      <vt:lpstr>'326'!OSRRefE21_16_0x</vt:lpstr>
      <vt:lpstr>'331'!OSRRefE21_16_0x</vt:lpstr>
      <vt:lpstr>'333'!OSRRefE21_16_0x</vt:lpstr>
      <vt:lpstr>'415'!OSRRefE21_16_0x</vt:lpstr>
      <vt:lpstr>'450'!OSRRefE21_16_0x</vt:lpstr>
      <vt:lpstr>'491'!OSRRefE21_16_0x</vt:lpstr>
      <vt:lpstr>'492'!OSRRefE21_16_0x</vt:lpstr>
      <vt:lpstr>'Div 2'!OSRRefE21_16_0x</vt:lpstr>
      <vt:lpstr>'Div 3'!OSRRefE21_16_0x</vt:lpstr>
      <vt:lpstr>'Div 4'!OSRRefE21_16_0x</vt:lpstr>
      <vt:lpstr>Summary!OSRRefE21_16_0x</vt:lpstr>
      <vt:lpstr>'300'!OSRRefE21_16_1x</vt:lpstr>
      <vt:lpstr>'300 &amp; 317'!OSRRefE21_16_1x</vt:lpstr>
      <vt:lpstr>'301'!OSRRefE21_16_1x</vt:lpstr>
      <vt:lpstr>'310 &amp; 491'!OSRRefE21_16_1x</vt:lpstr>
      <vt:lpstr>'326'!OSRRefE21_16_1x</vt:lpstr>
      <vt:lpstr>'331'!OSRRefE21_16_1x</vt:lpstr>
      <vt:lpstr>'333'!OSRRefE21_16_1x</vt:lpstr>
      <vt:lpstr>'491'!OSRRefE21_16_1x</vt:lpstr>
      <vt:lpstr>'Div 2'!OSRRefE21_16_1x</vt:lpstr>
      <vt:lpstr>'Div 4'!OSRRefE21_16_1x</vt:lpstr>
      <vt:lpstr>'300'!OSRRefE21_16_2x</vt:lpstr>
      <vt:lpstr>'300 &amp; 317'!OSRRefE21_16_2x</vt:lpstr>
      <vt:lpstr>'310 &amp; 491'!OSRRefE21_16_2x</vt:lpstr>
      <vt:lpstr>'333'!OSRRefE21_16_2x</vt:lpstr>
      <vt:lpstr>'491'!OSRRefE21_16_2x</vt:lpstr>
      <vt:lpstr>'Div 2'!OSRRefE21_16_2x</vt:lpstr>
      <vt:lpstr>'Div 4'!OSRRefE21_16_2x</vt:lpstr>
      <vt:lpstr>'300'!OSRRefE21_16_3x</vt:lpstr>
      <vt:lpstr>'300 &amp; 317'!OSRRefE21_16_3x</vt:lpstr>
      <vt:lpstr>'310 &amp; 491'!OSRRefE21_16_3x</vt:lpstr>
      <vt:lpstr>'491'!OSRRefE21_16_3x</vt:lpstr>
      <vt:lpstr>'Div 2'!OSRRefE21_16_3x</vt:lpstr>
      <vt:lpstr>'Div 4'!OSRRefE21_16_3x</vt:lpstr>
      <vt:lpstr>'310 &amp; 491'!OSRRefE21_16_4x</vt:lpstr>
      <vt:lpstr>'491'!OSRRefE21_16_4x</vt:lpstr>
      <vt:lpstr>'Div 2'!OSRRefE21_16_4x</vt:lpstr>
      <vt:lpstr>'Div 4'!OSRRefE21_16_4x</vt:lpstr>
      <vt:lpstr>'310 &amp; 491'!OSRRefE21_16_5x</vt:lpstr>
      <vt:lpstr>'491'!OSRRefE21_16_5x</vt:lpstr>
      <vt:lpstr>'310 &amp; 491'!OSRRefE21_16_6x</vt:lpstr>
      <vt:lpstr>'491'!OSRRefE21_16_6x</vt:lpstr>
      <vt:lpstr>'310 &amp; 491'!OSRRefE21_16_7x</vt:lpstr>
      <vt:lpstr>'491'!OSRRefE21_16_7x</vt:lpstr>
      <vt:lpstr>'310 &amp; 491'!OSRRefE21_16_8x</vt:lpstr>
      <vt:lpstr>'491'!OSRRefE21_16_8x</vt:lpstr>
      <vt:lpstr>'300'!OSRRefE21_16x_0</vt:lpstr>
      <vt:lpstr>'300 &amp; 317'!OSRRefE21_16x_0</vt:lpstr>
      <vt:lpstr>'301'!OSRRefE21_16x_0</vt:lpstr>
      <vt:lpstr>'310'!OSRRefE21_16x_0</vt:lpstr>
      <vt:lpstr>'310 &amp; 491'!OSRRefE21_16x_0</vt:lpstr>
      <vt:lpstr>'315'!OSRRefE21_16x_0</vt:lpstr>
      <vt:lpstr>'325'!OSRRefE21_16x_0</vt:lpstr>
      <vt:lpstr>'326'!OSRRefE21_16x_0</vt:lpstr>
      <vt:lpstr>'331'!OSRRefE21_16x_0</vt:lpstr>
      <vt:lpstr>'333'!OSRRefE21_16x_0</vt:lpstr>
      <vt:lpstr>'415'!OSRRefE21_16x_0</vt:lpstr>
      <vt:lpstr>'450'!OSRRefE21_16x_0</vt:lpstr>
      <vt:lpstr>'491'!OSRRefE21_16x_0</vt:lpstr>
      <vt:lpstr>'492'!OSRRefE21_16x_0</vt:lpstr>
      <vt:lpstr>'Div 2'!OSRRefE21_16x_0</vt:lpstr>
      <vt:lpstr>'Div 3'!OSRRefE21_16x_0</vt:lpstr>
      <vt:lpstr>'Div 4'!OSRRefE21_16x_0</vt:lpstr>
      <vt:lpstr>Summary!OSRRefE21_16x_0</vt:lpstr>
      <vt:lpstr>'300'!OSRRefE21_16x_1</vt:lpstr>
      <vt:lpstr>'300 &amp; 317'!OSRRefE21_16x_1</vt:lpstr>
      <vt:lpstr>'301'!OSRRefE21_16x_1</vt:lpstr>
      <vt:lpstr>'310'!OSRRefE21_16x_1</vt:lpstr>
      <vt:lpstr>'310 &amp; 491'!OSRRefE21_16x_1</vt:lpstr>
      <vt:lpstr>'315'!OSRRefE21_16x_1</vt:lpstr>
      <vt:lpstr>'325'!OSRRefE21_16x_1</vt:lpstr>
      <vt:lpstr>'326'!OSRRefE21_16x_1</vt:lpstr>
      <vt:lpstr>'331'!OSRRefE21_16x_1</vt:lpstr>
      <vt:lpstr>'333'!OSRRefE21_16x_1</vt:lpstr>
      <vt:lpstr>'415'!OSRRefE21_16x_1</vt:lpstr>
      <vt:lpstr>'450'!OSRRefE21_16x_1</vt:lpstr>
      <vt:lpstr>'491'!OSRRefE21_16x_1</vt:lpstr>
      <vt:lpstr>'492'!OSRRefE21_16x_1</vt:lpstr>
      <vt:lpstr>'Div 2'!OSRRefE21_16x_1</vt:lpstr>
      <vt:lpstr>'Div 3'!OSRRefE21_16x_1</vt:lpstr>
      <vt:lpstr>'Div 4'!OSRRefE21_16x_1</vt:lpstr>
      <vt:lpstr>Summary!OSRRefE21_16x_1</vt:lpstr>
      <vt:lpstr>'300'!OSRRefE21_17_0x</vt:lpstr>
      <vt:lpstr>'300 &amp; 317'!OSRRefE21_17_0x</vt:lpstr>
      <vt:lpstr>'301'!OSRRefE21_17_0x</vt:lpstr>
      <vt:lpstr>'310'!OSRRefE21_17_0x</vt:lpstr>
      <vt:lpstr>'310 &amp; 491'!OSRRefE21_17_0x</vt:lpstr>
      <vt:lpstr>'315'!OSRRefE21_17_0x</vt:lpstr>
      <vt:lpstr>'326'!OSRRefE21_17_0x</vt:lpstr>
      <vt:lpstr>'331'!OSRRefE21_17_0x</vt:lpstr>
      <vt:lpstr>'333'!OSRRefE21_17_0x</vt:lpstr>
      <vt:lpstr>'415'!OSRRefE21_17_0x</vt:lpstr>
      <vt:lpstr>'491'!OSRRefE21_17_0x</vt:lpstr>
      <vt:lpstr>'492'!OSRRefE21_17_0x</vt:lpstr>
      <vt:lpstr>'Div 2'!OSRRefE21_17_0x</vt:lpstr>
      <vt:lpstr>'Div 3'!OSRRefE21_17_0x</vt:lpstr>
      <vt:lpstr>'Div 4'!OSRRefE21_17_0x</vt:lpstr>
      <vt:lpstr>Summary!OSRRefE21_17_0x</vt:lpstr>
      <vt:lpstr>'300'!OSRRefE21_17_1x</vt:lpstr>
      <vt:lpstr>'300 &amp; 317'!OSRRefE21_17_1x</vt:lpstr>
      <vt:lpstr>'310 &amp; 491'!OSRRefE21_17_1x</vt:lpstr>
      <vt:lpstr>'331'!OSRRefE21_17_1x</vt:lpstr>
      <vt:lpstr>'333'!OSRRefE21_17_1x</vt:lpstr>
      <vt:lpstr>'491'!OSRRefE21_17_1x</vt:lpstr>
      <vt:lpstr>'492'!OSRRefE21_17_1x</vt:lpstr>
      <vt:lpstr>'Div 2'!OSRRefE21_17_1x</vt:lpstr>
      <vt:lpstr>'Div 3'!OSRRefE21_17_1x</vt:lpstr>
      <vt:lpstr>'300'!OSRRefE21_17_2x</vt:lpstr>
      <vt:lpstr>'300 &amp; 317'!OSRRefE21_17_2x</vt:lpstr>
      <vt:lpstr>'Div 3'!OSRRefE21_17_2x</vt:lpstr>
      <vt:lpstr>'300'!OSRRefE21_17_3x</vt:lpstr>
      <vt:lpstr>'300 &amp; 317'!OSRRefE21_17_3x</vt:lpstr>
      <vt:lpstr>'Div 3'!OSRRefE21_17_3x</vt:lpstr>
      <vt:lpstr>'300'!OSRRefE21_17x_0</vt:lpstr>
      <vt:lpstr>'300 &amp; 317'!OSRRefE21_17x_0</vt:lpstr>
      <vt:lpstr>'301'!OSRRefE21_17x_0</vt:lpstr>
      <vt:lpstr>'310'!OSRRefE21_17x_0</vt:lpstr>
      <vt:lpstr>'310 &amp; 491'!OSRRefE21_17x_0</vt:lpstr>
      <vt:lpstr>'315'!OSRRefE21_17x_0</vt:lpstr>
      <vt:lpstr>'326'!OSRRefE21_17x_0</vt:lpstr>
      <vt:lpstr>'331'!OSRRefE21_17x_0</vt:lpstr>
      <vt:lpstr>'333'!OSRRefE21_17x_0</vt:lpstr>
      <vt:lpstr>'415'!OSRRefE21_17x_0</vt:lpstr>
      <vt:lpstr>'491'!OSRRefE21_17x_0</vt:lpstr>
      <vt:lpstr>'492'!OSRRefE21_17x_0</vt:lpstr>
      <vt:lpstr>'Div 2'!OSRRefE21_17x_0</vt:lpstr>
      <vt:lpstr>'Div 3'!OSRRefE21_17x_0</vt:lpstr>
      <vt:lpstr>'Div 4'!OSRRefE21_17x_0</vt:lpstr>
      <vt:lpstr>Summary!OSRRefE21_17x_0</vt:lpstr>
      <vt:lpstr>'300'!OSRRefE21_17x_1</vt:lpstr>
      <vt:lpstr>'300 &amp; 317'!OSRRefE21_17x_1</vt:lpstr>
      <vt:lpstr>'301'!OSRRefE21_17x_1</vt:lpstr>
      <vt:lpstr>'310'!OSRRefE21_17x_1</vt:lpstr>
      <vt:lpstr>'310 &amp; 491'!OSRRefE21_17x_1</vt:lpstr>
      <vt:lpstr>'315'!OSRRefE21_17x_1</vt:lpstr>
      <vt:lpstr>'326'!OSRRefE21_17x_1</vt:lpstr>
      <vt:lpstr>'331'!OSRRefE21_17x_1</vt:lpstr>
      <vt:lpstr>'333'!OSRRefE21_17x_1</vt:lpstr>
      <vt:lpstr>'415'!OSRRefE21_17x_1</vt:lpstr>
      <vt:lpstr>'491'!OSRRefE21_17x_1</vt:lpstr>
      <vt:lpstr>'492'!OSRRefE21_17x_1</vt:lpstr>
      <vt:lpstr>'Div 2'!OSRRefE21_17x_1</vt:lpstr>
      <vt:lpstr>'Div 3'!OSRRefE21_17x_1</vt:lpstr>
      <vt:lpstr>'Div 4'!OSRRefE21_17x_1</vt:lpstr>
      <vt:lpstr>Summary!OSRRefE21_17x_1</vt:lpstr>
      <vt:lpstr>'300'!OSRRefE21_18_0x</vt:lpstr>
      <vt:lpstr>'300 &amp; 317'!OSRRefE21_18_0x</vt:lpstr>
      <vt:lpstr>'301'!OSRRefE21_18_0x</vt:lpstr>
      <vt:lpstr>'310 &amp; 491'!OSRRefE21_18_0x</vt:lpstr>
      <vt:lpstr>'315'!OSRRefE21_18_0x</vt:lpstr>
      <vt:lpstr>'331'!OSRRefE21_18_0x</vt:lpstr>
      <vt:lpstr>'333'!OSRRefE21_18_0x</vt:lpstr>
      <vt:lpstr>'491'!OSRRefE21_18_0x</vt:lpstr>
      <vt:lpstr>'Div 2'!OSRRefE21_18_0x</vt:lpstr>
      <vt:lpstr>'Div 3'!OSRRefE21_18_0x</vt:lpstr>
      <vt:lpstr>'Div 4'!OSRRefE21_18_0x</vt:lpstr>
      <vt:lpstr>Summary!OSRRefE21_18_0x</vt:lpstr>
      <vt:lpstr>'300'!OSRRefE21_18_1x</vt:lpstr>
      <vt:lpstr>'300 &amp; 317'!OSRRefE21_18_1x</vt:lpstr>
      <vt:lpstr>'301'!OSRRefE21_18_1x</vt:lpstr>
      <vt:lpstr>'331'!OSRRefE21_18_1x</vt:lpstr>
      <vt:lpstr>'333'!OSRRefE21_18_1x</vt:lpstr>
      <vt:lpstr>'Div 3'!OSRRefE21_18_1x</vt:lpstr>
      <vt:lpstr>'Div 4'!OSRRefE21_18_1x</vt:lpstr>
      <vt:lpstr>Summary!OSRRefE21_18_1x</vt:lpstr>
      <vt:lpstr>'300'!OSRRefE21_18_2x</vt:lpstr>
      <vt:lpstr>'300 &amp; 317'!OSRRefE21_18_2x</vt:lpstr>
      <vt:lpstr>'301'!OSRRefE21_18_2x</vt:lpstr>
      <vt:lpstr>'331'!OSRRefE21_18_2x</vt:lpstr>
      <vt:lpstr>'333'!OSRRefE21_18_2x</vt:lpstr>
      <vt:lpstr>'Div 3'!OSRRefE21_18_2x</vt:lpstr>
      <vt:lpstr>'Div 4'!OSRRefE21_18_2x</vt:lpstr>
      <vt:lpstr>Summary!OSRRefE21_18_2x</vt:lpstr>
      <vt:lpstr>'301'!OSRRefE21_18_3x</vt:lpstr>
      <vt:lpstr>'331'!OSRRefE21_18_3x</vt:lpstr>
      <vt:lpstr>'333'!OSRRefE21_18_3x</vt:lpstr>
      <vt:lpstr>'Div 3'!OSRRefE21_18_3x</vt:lpstr>
      <vt:lpstr>'Div 4'!OSRRefE21_18_3x</vt:lpstr>
      <vt:lpstr>Summary!OSRRefE21_18_3x</vt:lpstr>
      <vt:lpstr>'301'!OSRRefE21_18_4x</vt:lpstr>
      <vt:lpstr>'331'!OSRRefE21_18_4x</vt:lpstr>
      <vt:lpstr>'333'!OSRRefE21_18_4x</vt:lpstr>
      <vt:lpstr>'Div 4'!OSRRefE21_18_4x</vt:lpstr>
      <vt:lpstr>'301'!OSRRefE21_18_5x</vt:lpstr>
      <vt:lpstr>'333'!OSRRefE21_18_5x</vt:lpstr>
      <vt:lpstr>'Div 4'!OSRRefE21_18_5x</vt:lpstr>
      <vt:lpstr>'Div 4'!OSRRefE21_18_6x</vt:lpstr>
      <vt:lpstr>'Div 4'!OSRRefE21_18_7x</vt:lpstr>
      <vt:lpstr>'Div 4'!OSRRefE21_18_8x</vt:lpstr>
      <vt:lpstr>'Div 4'!OSRRefE21_18_9x</vt:lpstr>
      <vt:lpstr>'300'!OSRRefE21_18x_0</vt:lpstr>
      <vt:lpstr>'300 &amp; 317'!OSRRefE21_18x_0</vt:lpstr>
      <vt:lpstr>'301'!OSRRefE21_18x_0</vt:lpstr>
      <vt:lpstr>'310 &amp; 491'!OSRRefE21_18x_0</vt:lpstr>
      <vt:lpstr>'315'!OSRRefE21_18x_0</vt:lpstr>
      <vt:lpstr>'331'!OSRRefE21_18x_0</vt:lpstr>
      <vt:lpstr>'333'!OSRRefE21_18x_0</vt:lpstr>
      <vt:lpstr>'491'!OSRRefE21_18x_0</vt:lpstr>
      <vt:lpstr>'Div 2'!OSRRefE21_18x_0</vt:lpstr>
      <vt:lpstr>'Div 3'!OSRRefE21_18x_0</vt:lpstr>
      <vt:lpstr>'Div 4'!OSRRefE21_18x_0</vt:lpstr>
      <vt:lpstr>Summary!OSRRefE21_18x_0</vt:lpstr>
      <vt:lpstr>'300'!OSRRefE21_18x_1</vt:lpstr>
      <vt:lpstr>'300 &amp; 317'!OSRRefE21_18x_1</vt:lpstr>
      <vt:lpstr>'301'!OSRRefE21_18x_1</vt:lpstr>
      <vt:lpstr>'310 &amp; 491'!OSRRefE21_18x_1</vt:lpstr>
      <vt:lpstr>'315'!OSRRefE21_18x_1</vt:lpstr>
      <vt:lpstr>'331'!OSRRefE21_18x_1</vt:lpstr>
      <vt:lpstr>'333'!OSRRefE21_18x_1</vt:lpstr>
      <vt:lpstr>'491'!OSRRefE21_18x_1</vt:lpstr>
      <vt:lpstr>'Div 2'!OSRRefE21_18x_1</vt:lpstr>
      <vt:lpstr>'Div 3'!OSRRefE21_18x_1</vt:lpstr>
      <vt:lpstr>'Div 4'!OSRRefE21_18x_1</vt:lpstr>
      <vt:lpstr>Summary!OSRRefE21_18x_1</vt:lpstr>
      <vt:lpstr>'300'!OSRRefE21_19_0x</vt:lpstr>
      <vt:lpstr>'300 &amp; 317'!OSRRefE21_19_0x</vt:lpstr>
      <vt:lpstr>'301'!OSRRefE21_19_0x</vt:lpstr>
      <vt:lpstr>'310 &amp; 491'!OSRRefE21_19_0x</vt:lpstr>
      <vt:lpstr>'331'!OSRRefE21_19_0x</vt:lpstr>
      <vt:lpstr>'333'!OSRRefE21_19_0x</vt:lpstr>
      <vt:lpstr>'491'!OSRRefE21_19_0x</vt:lpstr>
      <vt:lpstr>'Div 2'!OSRRefE21_19_0x</vt:lpstr>
      <vt:lpstr>'Div 3'!OSRRefE21_19_0x</vt:lpstr>
      <vt:lpstr>'Div 4'!OSRRefE21_19_0x</vt:lpstr>
      <vt:lpstr>Summary!OSRRefE21_19_0x</vt:lpstr>
      <vt:lpstr>'300'!OSRRefE21_19_1x</vt:lpstr>
      <vt:lpstr>'300 &amp; 317'!OSRRefE21_19_1x</vt:lpstr>
      <vt:lpstr>'310 &amp; 491'!OSRRefE21_19_1x</vt:lpstr>
      <vt:lpstr>'491'!OSRRefE21_19_1x</vt:lpstr>
      <vt:lpstr>'Div 2'!OSRRefE21_19_1x</vt:lpstr>
      <vt:lpstr>'Div 3'!OSRRefE21_19_1x</vt:lpstr>
      <vt:lpstr>'Div 4'!OSRRefE21_19_1x</vt:lpstr>
      <vt:lpstr>Summary!OSRRefE21_19_1x</vt:lpstr>
      <vt:lpstr>'Div 3'!OSRRefE21_19_2x</vt:lpstr>
      <vt:lpstr>Summary!OSRRefE21_19_2x</vt:lpstr>
      <vt:lpstr>'Div 3'!OSRRefE21_19_3x</vt:lpstr>
      <vt:lpstr>Summary!OSRRefE21_19_3x</vt:lpstr>
      <vt:lpstr>'300'!OSRRefE21_19x_0</vt:lpstr>
      <vt:lpstr>'300 &amp; 317'!OSRRefE21_19x_0</vt:lpstr>
      <vt:lpstr>'301'!OSRRefE21_19x_0</vt:lpstr>
      <vt:lpstr>'310 &amp; 491'!OSRRefE21_19x_0</vt:lpstr>
      <vt:lpstr>'331'!OSRRefE21_19x_0</vt:lpstr>
      <vt:lpstr>'333'!OSRRefE21_19x_0</vt:lpstr>
      <vt:lpstr>'491'!OSRRefE21_19x_0</vt:lpstr>
      <vt:lpstr>'Div 2'!OSRRefE21_19x_0</vt:lpstr>
      <vt:lpstr>'Div 3'!OSRRefE21_19x_0</vt:lpstr>
      <vt:lpstr>'Div 4'!OSRRefE21_19x_0</vt:lpstr>
      <vt:lpstr>Summary!OSRRefE21_19x_0</vt:lpstr>
      <vt:lpstr>'300'!OSRRefE21_19x_1</vt:lpstr>
      <vt:lpstr>'300 &amp; 317'!OSRRefE21_19x_1</vt:lpstr>
      <vt:lpstr>'301'!OSRRefE21_19x_1</vt:lpstr>
      <vt:lpstr>'310 &amp; 491'!OSRRefE21_19x_1</vt:lpstr>
      <vt:lpstr>'331'!OSRRefE21_19x_1</vt:lpstr>
      <vt:lpstr>'333'!OSRRefE21_19x_1</vt:lpstr>
      <vt:lpstr>'491'!OSRRefE21_19x_1</vt:lpstr>
      <vt:lpstr>'Div 2'!OSRRefE21_19x_1</vt:lpstr>
      <vt:lpstr>'Div 3'!OSRRefE21_19x_1</vt:lpstr>
      <vt:lpstr>'Div 4'!OSRRefE21_19x_1</vt:lpstr>
      <vt:lpstr>Summary!OSRRefE21_19x_1</vt:lpstr>
      <vt:lpstr>'200'!OSRRefE21_1x_0</vt:lpstr>
      <vt:lpstr>'201'!OSRRefE21_1x_0</vt:lpstr>
      <vt:lpstr>'202'!OSRRefE21_1x_0</vt:lpstr>
      <vt:lpstr>'203'!OSRRefE21_1x_0</vt:lpstr>
      <vt:lpstr>'204'!OSRRefE21_1x_0</vt:lpstr>
      <vt:lpstr>'205'!OSRRefE21_1x_0</vt:lpstr>
      <vt:lpstr>'206'!OSRRefE21_1x_0</vt:lpstr>
      <vt:lpstr>'300'!OSRRefE21_1x_0</vt:lpstr>
      <vt:lpstr>'300 &amp; 317'!OSRRefE21_1x_0</vt:lpstr>
      <vt:lpstr>'301'!OSRRefE21_1x_0</vt:lpstr>
      <vt:lpstr>'307'!OSRRefE21_1x_0</vt:lpstr>
      <vt:lpstr>'308'!OSRRefE21_1x_0</vt:lpstr>
      <vt:lpstr>'309'!OSRRefE21_1x_0</vt:lpstr>
      <vt:lpstr>'310'!OSRRefE21_1x_0</vt:lpstr>
      <vt:lpstr>'310 &amp; 491'!OSRRefE21_1x_0</vt:lpstr>
      <vt:lpstr>'311'!OSRRefE21_1x_0</vt:lpstr>
      <vt:lpstr>'313'!OSRRefE21_1x_0</vt:lpstr>
      <vt:lpstr>'315'!OSRRefE21_1x_0</vt:lpstr>
      <vt:lpstr>'316'!OSRRefE21_1x_0</vt:lpstr>
      <vt:lpstr>'317'!OSRRefE21_1x_0</vt:lpstr>
      <vt:lpstr>'321'!OSRRefE21_1x_0</vt:lpstr>
      <vt:lpstr>'325'!OSRRefE21_1x_0</vt:lpstr>
      <vt:lpstr>'326'!OSRRefE21_1x_0</vt:lpstr>
      <vt:lpstr>'327'!OSRRefE21_1x_0</vt:lpstr>
      <vt:lpstr>'331'!OSRRefE21_1x_0</vt:lpstr>
      <vt:lpstr>'332'!OSRRefE21_1x_0</vt:lpstr>
      <vt:lpstr>'333'!OSRRefE21_1x_0</vt:lpstr>
      <vt:lpstr>'405'!OSRRefE21_1x_0</vt:lpstr>
      <vt:lpstr>'411'!OSRRefE21_1x_0</vt:lpstr>
      <vt:lpstr>'412'!OSRRefE21_1x_0</vt:lpstr>
      <vt:lpstr>'413'!OSRRefE21_1x_0</vt:lpstr>
      <vt:lpstr>'414'!OSRRefE21_1x_0</vt:lpstr>
      <vt:lpstr>'415'!OSRRefE21_1x_0</vt:lpstr>
      <vt:lpstr>'418'!OSRRefE21_1x_0</vt:lpstr>
      <vt:lpstr>'423'!OSRRefE21_1x_0</vt:lpstr>
      <vt:lpstr>'424'!OSRRefE21_1x_0</vt:lpstr>
      <vt:lpstr>'425'!OSRRefE21_1x_0</vt:lpstr>
      <vt:lpstr>'430'!OSRRefE21_1x_0</vt:lpstr>
      <vt:lpstr>'433'!OSRRefE21_1x_0</vt:lpstr>
      <vt:lpstr>'435'!OSRRefE21_1x_0</vt:lpstr>
      <vt:lpstr>'444'!OSRRefE21_1x_0</vt:lpstr>
      <vt:lpstr>'450'!OSRRefE21_1x_0</vt:lpstr>
      <vt:lpstr>'491'!OSRRefE21_1x_0</vt:lpstr>
      <vt:lpstr>'492'!OSRRefE21_1x_0</vt:lpstr>
      <vt:lpstr>'501'!OSRRefE21_1x_0</vt:lpstr>
      <vt:lpstr>'Div 2'!OSRRefE21_1x_0</vt:lpstr>
      <vt:lpstr>'Div 3'!OSRRefE21_1x_0</vt:lpstr>
      <vt:lpstr>'Div 4'!OSRRefE21_1x_0</vt:lpstr>
      <vt:lpstr>'Div 5'!OSRRefE21_1x_0</vt:lpstr>
      <vt:lpstr>'Div 6'!OSRRefE21_1x_0</vt:lpstr>
      <vt:lpstr>Summary!OSRRefE21_1x_0</vt:lpstr>
      <vt:lpstr>'200'!OSRRefE21_1x_1</vt:lpstr>
      <vt:lpstr>'201'!OSRRefE21_1x_1</vt:lpstr>
      <vt:lpstr>'202'!OSRRefE21_1x_1</vt:lpstr>
      <vt:lpstr>'203'!OSRRefE21_1x_1</vt:lpstr>
      <vt:lpstr>'204'!OSRRefE21_1x_1</vt:lpstr>
      <vt:lpstr>'205'!OSRRefE21_1x_1</vt:lpstr>
      <vt:lpstr>'206'!OSRRefE21_1x_1</vt:lpstr>
      <vt:lpstr>'300'!OSRRefE21_1x_1</vt:lpstr>
      <vt:lpstr>'300 &amp; 317'!OSRRefE21_1x_1</vt:lpstr>
      <vt:lpstr>'301'!OSRRefE21_1x_1</vt:lpstr>
      <vt:lpstr>'307'!OSRRefE21_1x_1</vt:lpstr>
      <vt:lpstr>'308'!OSRRefE21_1x_1</vt:lpstr>
      <vt:lpstr>'309'!OSRRefE21_1x_1</vt:lpstr>
      <vt:lpstr>'310'!OSRRefE21_1x_1</vt:lpstr>
      <vt:lpstr>'310 &amp; 491'!OSRRefE21_1x_1</vt:lpstr>
      <vt:lpstr>'311'!OSRRefE21_1x_1</vt:lpstr>
      <vt:lpstr>'313'!OSRRefE21_1x_1</vt:lpstr>
      <vt:lpstr>'315'!OSRRefE21_1x_1</vt:lpstr>
      <vt:lpstr>'316'!OSRRefE21_1x_1</vt:lpstr>
      <vt:lpstr>'317'!OSRRefE21_1x_1</vt:lpstr>
      <vt:lpstr>'321'!OSRRefE21_1x_1</vt:lpstr>
      <vt:lpstr>'325'!OSRRefE21_1x_1</vt:lpstr>
      <vt:lpstr>'326'!OSRRefE21_1x_1</vt:lpstr>
      <vt:lpstr>'327'!OSRRefE21_1x_1</vt:lpstr>
      <vt:lpstr>'331'!OSRRefE21_1x_1</vt:lpstr>
      <vt:lpstr>'332'!OSRRefE21_1x_1</vt:lpstr>
      <vt:lpstr>'333'!OSRRefE21_1x_1</vt:lpstr>
      <vt:lpstr>'405'!OSRRefE21_1x_1</vt:lpstr>
      <vt:lpstr>'411'!OSRRefE21_1x_1</vt:lpstr>
      <vt:lpstr>'412'!OSRRefE21_1x_1</vt:lpstr>
      <vt:lpstr>'413'!OSRRefE21_1x_1</vt:lpstr>
      <vt:lpstr>'414'!OSRRefE21_1x_1</vt:lpstr>
      <vt:lpstr>'415'!OSRRefE21_1x_1</vt:lpstr>
      <vt:lpstr>'418'!OSRRefE21_1x_1</vt:lpstr>
      <vt:lpstr>'423'!OSRRefE21_1x_1</vt:lpstr>
      <vt:lpstr>'424'!OSRRefE21_1x_1</vt:lpstr>
      <vt:lpstr>'425'!OSRRefE21_1x_1</vt:lpstr>
      <vt:lpstr>'430'!OSRRefE21_1x_1</vt:lpstr>
      <vt:lpstr>'433'!OSRRefE21_1x_1</vt:lpstr>
      <vt:lpstr>'435'!OSRRefE21_1x_1</vt:lpstr>
      <vt:lpstr>'444'!OSRRefE21_1x_1</vt:lpstr>
      <vt:lpstr>'450'!OSRRefE21_1x_1</vt:lpstr>
      <vt:lpstr>'491'!OSRRefE21_1x_1</vt:lpstr>
      <vt:lpstr>'492'!OSRRefE21_1x_1</vt:lpstr>
      <vt:lpstr>'501'!OSRRefE21_1x_1</vt:lpstr>
      <vt:lpstr>'Div 2'!OSRRefE21_1x_1</vt:lpstr>
      <vt:lpstr>'Div 3'!OSRRefE21_1x_1</vt:lpstr>
      <vt:lpstr>'Div 4'!OSRRefE21_1x_1</vt:lpstr>
      <vt:lpstr>'Div 5'!OSRRefE21_1x_1</vt:lpstr>
      <vt:lpstr>'Div 6'!OSRRefE21_1x_1</vt:lpstr>
      <vt:lpstr>Summary!OSRRefE21_1x_1</vt:lpstr>
      <vt:lpstr>'200'!OSRRefE21_2_0x</vt:lpstr>
      <vt:lpstr>'201'!OSRRefE21_2_0x</vt:lpstr>
      <vt:lpstr>'202'!OSRRefE21_2_0x</vt:lpstr>
      <vt:lpstr>'203'!OSRRefE21_2_0x</vt:lpstr>
      <vt:lpstr>'204'!OSRRefE21_2_0x</vt:lpstr>
      <vt:lpstr>'205'!OSRRefE21_2_0x</vt:lpstr>
      <vt:lpstr>'206'!OSRRefE21_2_0x</vt:lpstr>
      <vt:lpstr>'300'!OSRRefE21_2_0x</vt:lpstr>
      <vt:lpstr>'300 &amp; 317'!OSRRefE21_2_0x</vt:lpstr>
      <vt:lpstr>'301'!OSRRefE21_2_0x</vt:lpstr>
      <vt:lpstr>'307'!OSRRefE21_2_0x</vt:lpstr>
      <vt:lpstr>'308'!OSRRefE21_2_0x</vt:lpstr>
      <vt:lpstr>'309'!OSRRefE21_2_0x</vt:lpstr>
      <vt:lpstr>'310'!OSRRefE21_2_0x</vt:lpstr>
      <vt:lpstr>'310 &amp; 491'!OSRRefE21_2_0x</vt:lpstr>
      <vt:lpstr>'311'!OSRRefE21_2_0x</vt:lpstr>
      <vt:lpstr>'313'!OSRRefE21_2_0x</vt:lpstr>
      <vt:lpstr>'315'!OSRRefE21_2_0x</vt:lpstr>
      <vt:lpstr>'316'!OSRRefE21_2_0x</vt:lpstr>
      <vt:lpstr>'317'!OSRRefE21_2_0x</vt:lpstr>
      <vt:lpstr>'321'!OSRRefE21_2_0x</vt:lpstr>
      <vt:lpstr>'325'!OSRRefE21_2_0x</vt:lpstr>
      <vt:lpstr>'326'!OSRRefE21_2_0x</vt:lpstr>
      <vt:lpstr>'331'!OSRRefE21_2_0x</vt:lpstr>
      <vt:lpstr>'332'!OSRRefE21_2_0x</vt:lpstr>
      <vt:lpstr>'333'!OSRRefE21_2_0x</vt:lpstr>
      <vt:lpstr>'405'!OSRRefE21_2_0x</vt:lpstr>
      <vt:lpstr>'411'!OSRRefE21_2_0x</vt:lpstr>
      <vt:lpstr>'412'!OSRRefE21_2_0x</vt:lpstr>
      <vt:lpstr>'415'!OSRRefE21_2_0x</vt:lpstr>
      <vt:lpstr>'418'!OSRRefE21_2_0x</vt:lpstr>
      <vt:lpstr>'423'!OSRRefE21_2_0x</vt:lpstr>
      <vt:lpstr>'425'!OSRRefE21_2_0x</vt:lpstr>
      <vt:lpstr>'430'!OSRRefE21_2_0x</vt:lpstr>
      <vt:lpstr>'433'!OSRRefE21_2_0x</vt:lpstr>
      <vt:lpstr>'435'!OSRRefE21_2_0x</vt:lpstr>
      <vt:lpstr>'444'!OSRRefE21_2_0x</vt:lpstr>
      <vt:lpstr>'450'!OSRRefE21_2_0x</vt:lpstr>
      <vt:lpstr>'491'!OSRRefE21_2_0x</vt:lpstr>
      <vt:lpstr>'492'!OSRRefE21_2_0x</vt:lpstr>
      <vt:lpstr>'501'!OSRRefE21_2_0x</vt:lpstr>
      <vt:lpstr>'Div 2'!OSRRefE21_2_0x</vt:lpstr>
      <vt:lpstr>'Div 3'!OSRRefE21_2_0x</vt:lpstr>
      <vt:lpstr>'Div 4'!OSRRefE21_2_0x</vt:lpstr>
      <vt:lpstr>'Div 5'!OSRRefE21_2_0x</vt:lpstr>
      <vt:lpstr>'Div 6'!OSRRefE21_2_0x</vt:lpstr>
      <vt:lpstr>Summary!OSRRefE21_2_0x</vt:lpstr>
      <vt:lpstr>'204'!OSRRefE21_2_1x</vt:lpstr>
      <vt:lpstr>'300'!OSRRefE21_20_0x</vt:lpstr>
      <vt:lpstr>'300 &amp; 317'!OSRRefE21_20_0x</vt:lpstr>
      <vt:lpstr>'301'!OSRRefE21_20_0x</vt:lpstr>
      <vt:lpstr>'310 &amp; 491'!OSRRefE21_20_0x</vt:lpstr>
      <vt:lpstr>'331'!OSRRefE21_20_0x</vt:lpstr>
      <vt:lpstr>'333'!OSRRefE21_20_0x</vt:lpstr>
      <vt:lpstr>'491'!OSRRefE21_20_0x</vt:lpstr>
      <vt:lpstr>'Div 3'!OSRRefE21_20_0x</vt:lpstr>
      <vt:lpstr>'Div 4'!OSRRefE21_20_0x</vt:lpstr>
      <vt:lpstr>Summary!OSRRefE21_20_0x</vt:lpstr>
      <vt:lpstr>'300'!OSRRefE21_20_1x</vt:lpstr>
      <vt:lpstr>'300 &amp; 317'!OSRRefE21_20_1x</vt:lpstr>
      <vt:lpstr>'Div 3'!OSRRefE21_20_1x</vt:lpstr>
      <vt:lpstr>Summary!OSRRefE21_20_1x</vt:lpstr>
      <vt:lpstr>'300'!OSRRefE21_20_2x</vt:lpstr>
      <vt:lpstr>'300 &amp; 317'!OSRRefE21_20_2x</vt:lpstr>
      <vt:lpstr>Summary!OSRRefE21_20_2x</vt:lpstr>
      <vt:lpstr>'300'!OSRRefE21_20_3x</vt:lpstr>
      <vt:lpstr>'300 &amp; 317'!OSRRefE21_20_3x</vt:lpstr>
      <vt:lpstr>Summary!OSRRefE21_20_3x</vt:lpstr>
      <vt:lpstr>'300'!OSRRefE21_20_4x</vt:lpstr>
      <vt:lpstr>'300 &amp; 317'!OSRRefE21_20_4x</vt:lpstr>
      <vt:lpstr>Summary!OSRRefE21_20_4x</vt:lpstr>
      <vt:lpstr>'300'!OSRRefE21_20_5x</vt:lpstr>
      <vt:lpstr>'300 &amp; 317'!OSRRefE21_20_5x</vt:lpstr>
      <vt:lpstr>'300'!OSRRefE21_20_6x</vt:lpstr>
      <vt:lpstr>'300 &amp; 317'!OSRRefE21_20_6x</vt:lpstr>
      <vt:lpstr>'300'!OSRRefE21_20x_0</vt:lpstr>
      <vt:lpstr>'300 &amp; 317'!OSRRefE21_20x_0</vt:lpstr>
      <vt:lpstr>'301'!OSRRefE21_20x_0</vt:lpstr>
      <vt:lpstr>'310 &amp; 491'!OSRRefE21_20x_0</vt:lpstr>
      <vt:lpstr>'331'!OSRRefE21_20x_0</vt:lpstr>
      <vt:lpstr>'333'!OSRRefE21_20x_0</vt:lpstr>
      <vt:lpstr>'491'!OSRRefE21_20x_0</vt:lpstr>
      <vt:lpstr>'Div 3'!OSRRefE21_20x_0</vt:lpstr>
      <vt:lpstr>'Div 4'!OSRRefE21_20x_0</vt:lpstr>
      <vt:lpstr>Summary!OSRRefE21_20x_0</vt:lpstr>
      <vt:lpstr>'300'!OSRRefE21_20x_1</vt:lpstr>
      <vt:lpstr>'300 &amp; 317'!OSRRefE21_20x_1</vt:lpstr>
      <vt:lpstr>'301'!OSRRefE21_20x_1</vt:lpstr>
      <vt:lpstr>'310 &amp; 491'!OSRRefE21_20x_1</vt:lpstr>
      <vt:lpstr>'331'!OSRRefE21_20x_1</vt:lpstr>
      <vt:lpstr>'333'!OSRRefE21_20x_1</vt:lpstr>
      <vt:lpstr>'491'!OSRRefE21_20x_1</vt:lpstr>
      <vt:lpstr>'Div 3'!OSRRefE21_20x_1</vt:lpstr>
      <vt:lpstr>'Div 4'!OSRRefE21_20x_1</vt:lpstr>
      <vt:lpstr>Summary!OSRRefE21_20x_1</vt:lpstr>
      <vt:lpstr>'300'!OSRRefE21_21_0x</vt:lpstr>
      <vt:lpstr>'300 &amp; 317'!OSRRefE21_21_0x</vt:lpstr>
      <vt:lpstr>'301'!OSRRefE21_21_0x</vt:lpstr>
      <vt:lpstr>'331'!OSRRefE21_21_0x</vt:lpstr>
      <vt:lpstr>'333'!OSRRefE21_21_0x</vt:lpstr>
      <vt:lpstr>'Div 3'!OSRRefE21_21_0x</vt:lpstr>
      <vt:lpstr>'Div 4'!OSRRefE21_21_0x</vt:lpstr>
      <vt:lpstr>Summary!OSRRefE21_21_0x</vt:lpstr>
      <vt:lpstr>'300'!OSRRefE21_21_1x</vt:lpstr>
      <vt:lpstr>'300 &amp; 317'!OSRRefE21_21_1x</vt:lpstr>
      <vt:lpstr>'301'!OSRRefE21_21_1x</vt:lpstr>
      <vt:lpstr>'331'!OSRRefE21_21_1x</vt:lpstr>
      <vt:lpstr>'333'!OSRRefE21_21_1x</vt:lpstr>
      <vt:lpstr>'Div 3'!OSRRefE21_21_1x</vt:lpstr>
      <vt:lpstr>'Div 4'!OSRRefE21_21_1x</vt:lpstr>
      <vt:lpstr>Summary!OSRRefE21_21_1x</vt:lpstr>
      <vt:lpstr>'Div 3'!OSRRefE21_21_2x</vt:lpstr>
      <vt:lpstr>'Div 3'!OSRRefE21_21_3x</vt:lpstr>
      <vt:lpstr>'Div 3'!OSRRefE21_21_4x</vt:lpstr>
      <vt:lpstr>'Div 3'!OSRRefE21_21_5x</vt:lpstr>
      <vt:lpstr>'Div 3'!OSRRefE21_21_6x</vt:lpstr>
      <vt:lpstr>'300'!OSRRefE21_21x_0</vt:lpstr>
      <vt:lpstr>'300 &amp; 317'!OSRRefE21_21x_0</vt:lpstr>
      <vt:lpstr>'301'!OSRRefE21_21x_0</vt:lpstr>
      <vt:lpstr>'331'!OSRRefE21_21x_0</vt:lpstr>
      <vt:lpstr>'333'!OSRRefE21_21x_0</vt:lpstr>
      <vt:lpstr>'Div 3'!OSRRefE21_21x_0</vt:lpstr>
      <vt:lpstr>'Div 4'!OSRRefE21_21x_0</vt:lpstr>
      <vt:lpstr>Summary!OSRRefE21_21x_0</vt:lpstr>
      <vt:lpstr>'300'!OSRRefE21_21x_1</vt:lpstr>
      <vt:lpstr>'300 &amp; 317'!OSRRefE21_21x_1</vt:lpstr>
      <vt:lpstr>'301'!OSRRefE21_21x_1</vt:lpstr>
      <vt:lpstr>'331'!OSRRefE21_21x_1</vt:lpstr>
      <vt:lpstr>'333'!OSRRefE21_21x_1</vt:lpstr>
      <vt:lpstr>'Div 3'!OSRRefE21_21x_1</vt:lpstr>
      <vt:lpstr>'Div 4'!OSRRefE21_21x_1</vt:lpstr>
      <vt:lpstr>Summary!OSRRefE21_21x_1</vt:lpstr>
      <vt:lpstr>'300'!OSRRefE21_22_0x</vt:lpstr>
      <vt:lpstr>'300 &amp; 317'!OSRRefE21_22_0x</vt:lpstr>
      <vt:lpstr>'301'!OSRRefE21_22_0x</vt:lpstr>
      <vt:lpstr>'331'!OSRRefE21_22_0x</vt:lpstr>
      <vt:lpstr>'333'!OSRRefE21_22_0x</vt:lpstr>
      <vt:lpstr>'Div 3'!OSRRefE21_22_0x</vt:lpstr>
      <vt:lpstr>'Div 4'!OSRRefE21_22_0x</vt:lpstr>
      <vt:lpstr>Summary!OSRRefE21_22_0x</vt:lpstr>
      <vt:lpstr>'Div 3'!OSRRefE21_22_1x</vt:lpstr>
      <vt:lpstr>Summary!OSRRefE21_22_1x</vt:lpstr>
      <vt:lpstr>Summary!OSRRefE21_22_2x</vt:lpstr>
      <vt:lpstr>Summary!OSRRefE21_22_3x</vt:lpstr>
      <vt:lpstr>Summary!OSRRefE21_22_4x</vt:lpstr>
      <vt:lpstr>Summary!OSRRefE21_22_5x</vt:lpstr>
      <vt:lpstr>Summary!OSRRefE21_22_6x</vt:lpstr>
      <vt:lpstr>Summary!OSRRefE21_22_7x</vt:lpstr>
      <vt:lpstr>Summary!OSRRefE21_22_8x</vt:lpstr>
      <vt:lpstr>Summary!OSRRefE21_22_9x</vt:lpstr>
      <vt:lpstr>'300'!OSRRefE21_22x_0</vt:lpstr>
      <vt:lpstr>'300 &amp; 317'!OSRRefE21_22x_0</vt:lpstr>
      <vt:lpstr>'301'!OSRRefE21_22x_0</vt:lpstr>
      <vt:lpstr>'331'!OSRRefE21_22x_0</vt:lpstr>
      <vt:lpstr>'333'!OSRRefE21_22x_0</vt:lpstr>
      <vt:lpstr>'Div 3'!OSRRefE21_22x_0</vt:lpstr>
      <vt:lpstr>'Div 4'!OSRRefE21_22x_0</vt:lpstr>
      <vt:lpstr>Summary!OSRRefE21_22x_0</vt:lpstr>
      <vt:lpstr>'300'!OSRRefE21_22x_1</vt:lpstr>
      <vt:lpstr>'300 &amp; 317'!OSRRefE21_22x_1</vt:lpstr>
      <vt:lpstr>'301'!OSRRefE21_22x_1</vt:lpstr>
      <vt:lpstr>'331'!OSRRefE21_22x_1</vt:lpstr>
      <vt:lpstr>'333'!OSRRefE21_22x_1</vt:lpstr>
      <vt:lpstr>'Div 3'!OSRRefE21_22x_1</vt:lpstr>
      <vt:lpstr>'Div 4'!OSRRefE21_22x_1</vt:lpstr>
      <vt:lpstr>Summary!OSRRefE21_22x_1</vt:lpstr>
      <vt:lpstr>'300'!OSRRefE21_23_0x</vt:lpstr>
      <vt:lpstr>'300 &amp; 317'!OSRRefE21_23_0x</vt:lpstr>
      <vt:lpstr>'Div 3'!OSRRefE21_23_0x</vt:lpstr>
      <vt:lpstr>Summary!OSRRefE21_23_0x</vt:lpstr>
      <vt:lpstr>'300'!OSRRefE21_23_1x</vt:lpstr>
      <vt:lpstr>'300 &amp; 317'!OSRRefE21_23_1x</vt:lpstr>
      <vt:lpstr>Summary!OSRRefE21_23_1x</vt:lpstr>
      <vt:lpstr>'300'!OSRRefE21_23_2x</vt:lpstr>
      <vt:lpstr>'300 &amp; 317'!OSRRefE21_23_2x</vt:lpstr>
      <vt:lpstr>'300'!OSRRefE21_23x_0</vt:lpstr>
      <vt:lpstr>'300 &amp; 317'!OSRRefE21_23x_0</vt:lpstr>
      <vt:lpstr>'Div 3'!OSRRefE21_23x_0</vt:lpstr>
      <vt:lpstr>Summary!OSRRefE21_23x_0</vt:lpstr>
      <vt:lpstr>'300'!OSRRefE21_23x_1</vt:lpstr>
      <vt:lpstr>'300 &amp; 317'!OSRRefE21_23x_1</vt:lpstr>
      <vt:lpstr>'Div 3'!OSRRefE21_23x_1</vt:lpstr>
      <vt:lpstr>Summary!OSRRefE21_23x_1</vt:lpstr>
      <vt:lpstr>'300'!OSRRefE21_24_0x</vt:lpstr>
      <vt:lpstr>'300 &amp; 317'!OSRRefE21_24_0x</vt:lpstr>
      <vt:lpstr>'Div 3'!OSRRefE21_24_0x</vt:lpstr>
      <vt:lpstr>Summary!OSRRefE21_24_0x</vt:lpstr>
      <vt:lpstr>'Div 3'!OSRRefE21_24_1x</vt:lpstr>
      <vt:lpstr>'Div 3'!OSRRefE21_24_2x</vt:lpstr>
      <vt:lpstr>'300'!OSRRefE21_24x_0</vt:lpstr>
      <vt:lpstr>'300 &amp; 317'!OSRRefE21_24x_0</vt:lpstr>
      <vt:lpstr>'Div 3'!OSRRefE21_24x_0</vt:lpstr>
      <vt:lpstr>Summary!OSRRefE21_24x_0</vt:lpstr>
      <vt:lpstr>'300'!OSRRefE21_24x_1</vt:lpstr>
      <vt:lpstr>'300 &amp; 317'!OSRRefE21_24x_1</vt:lpstr>
      <vt:lpstr>'Div 3'!OSRRefE21_24x_1</vt:lpstr>
      <vt:lpstr>Summary!OSRRefE21_24x_1</vt:lpstr>
      <vt:lpstr>'Div 3'!OSRRefE21_25_0x</vt:lpstr>
      <vt:lpstr>Summary!OSRRefE21_25_0x</vt:lpstr>
      <vt:lpstr>Summary!OSRRefE21_25_1x</vt:lpstr>
      <vt:lpstr>Summary!OSRRefE21_25_2x</vt:lpstr>
      <vt:lpstr>'Div 3'!OSRRefE21_25x_0</vt:lpstr>
      <vt:lpstr>Summary!OSRRefE21_25x_0</vt:lpstr>
      <vt:lpstr>'Div 3'!OSRRefE21_25x_1</vt:lpstr>
      <vt:lpstr>Summary!OSRRefE21_25x_1</vt:lpstr>
      <vt:lpstr>Summary!OSRRefE21_26_0x</vt:lpstr>
      <vt:lpstr>Summary!OSRRefE21_26x_0</vt:lpstr>
      <vt:lpstr>Summary!OSRRefE21_26x_1</vt:lpstr>
      <vt:lpstr>'200'!OSRRefE21_2x_0</vt:lpstr>
      <vt:lpstr>'201'!OSRRefE21_2x_0</vt:lpstr>
      <vt:lpstr>'202'!OSRRefE21_2x_0</vt:lpstr>
      <vt:lpstr>'203'!OSRRefE21_2x_0</vt:lpstr>
      <vt:lpstr>'204'!OSRRefE21_2x_0</vt:lpstr>
      <vt:lpstr>'205'!OSRRefE21_2x_0</vt:lpstr>
      <vt:lpstr>'206'!OSRRefE21_2x_0</vt:lpstr>
      <vt:lpstr>'300'!OSRRefE21_2x_0</vt:lpstr>
      <vt:lpstr>'300 &amp; 317'!OSRRefE21_2x_0</vt:lpstr>
      <vt:lpstr>'301'!OSRRefE21_2x_0</vt:lpstr>
      <vt:lpstr>'307'!OSRRefE21_2x_0</vt:lpstr>
      <vt:lpstr>'308'!OSRRefE21_2x_0</vt:lpstr>
      <vt:lpstr>'309'!OSRRefE21_2x_0</vt:lpstr>
      <vt:lpstr>'310'!OSRRefE21_2x_0</vt:lpstr>
      <vt:lpstr>'310 &amp; 491'!OSRRefE21_2x_0</vt:lpstr>
      <vt:lpstr>'311'!OSRRefE21_2x_0</vt:lpstr>
      <vt:lpstr>'313'!OSRRefE21_2x_0</vt:lpstr>
      <vt:lpstr>'315'!OSRRefE21_2x_0</vt:lpstr>
      <vt:lpstr>'316'!OSRRefE21_2x_0</vt:lpstr>
      <vt:lpstr>'317'!OSRRefE21_2x_0</vt:lpstr>
      <vt:lpstr>'321'!OSRRefE21_2x_0</vt:lpstr>
      <vt:lpstr>'325'!OSRRefE21_2x_0</vt:lpstr>
      <vt:lpstr>'326'!OSRRefE21_2x_0</vt:lpstr>
      <vt:lpstr>'331'!OSRRefE21_2x_0</vt:lpstr>
      <vt:lpstr>'332'!OSRRefE21_2x_0</vt:lpstr>
      <vt:lpstr>'333'!OSRRefE21_2x_0</vt:lpstr>
      <vt:lpstr>'405'!OSRRefE21_2x_0</vt:lpstr>
      <vt:lpstr>'411'!OSRRefE21_2x_0</vt:lpstr>
      <vt:lpstr>'412'!OSRRefE21_2x_0</vt:lpstr>
      <vt:lpstr>'415'!OSRRefE21_2x_0</vt:lpstr>
      <vt:lpstr>'418'!OSRRefE21_2x_0</vt:lpstr>
      <vt:lpstr>'423'!OSRRefE21_2x_0</vt:lpstr>
      <vt:lpstr>'425'!OSRRefE21_2x_0</vt:lpstr>
      <vt:lpstr>'430'!OSRRefE21_2x_0</vt:lpstr>
      <vt:lpstr>'433'!OSRRefE21_2x_0</vt:lpstr>
      <vt:lpstr>'435'!OSRRefE21_2x_0</vt:lpstr>
      <vt:lpstr>'444'!OSRRefE21_2x_0</vt:lpstr>
      <vt:lpstr>'450'!OSRRefE21_2x_0</vt:lpstr>
      <vt:lpstr>'491'!OSRRefE21_2x_0</vt:lpstr>
      <vt:lpstr>'492'!OSRRefE21_2x_0</vt:lpstr>
      <vt:lpstr>'501'!OSRRefE21_2x_0</vt:lpstr>
      <vt:lpstr>'Div 2'!OSRRefE21_2x_0</vt:lpstr>
      <vt:lpstr>'Div 3'!OSRRefE21_2x_0</vt:lpstr>
      <vt:lpstr>'Div 4'!OSRRefE21_2x_0</vt:lpstr>
      <vt:lpstr>'Div 5'!OSRRefE21_2x_0</vt:lpstr>
      <vt:lpstr>'Div 6'!OSRRefE21_2x_0</vt:lpstr>
      <vt:lpstr>Summary!OSRRefE21_2x_0</vt:lpstr>
      <vt:lpstr>'200'!OSRRefE21_2x_1</vt:lpstr>
      <vt:lpstr>'201'!OSRRefE21_2x_1</vt:lpstr>
      <vt:lpstr>'202'!OSRRefE21_2x_1</vt:lpstr>
      <vt:lpstr>'203'!OSRRefE21_2x_1</vt:lpstr>
      <vt:lpstr>'204'!OSRRefE21_2x_1</vt:lpstr>
      <vt:lpstr>'205'!OSRRefE21_2x_1</vt:lpstr>
      <vt:lpstr>'206'!OSRRefE21_2x_1</vt:lpstr>
      <vt:lpstr>'300'!OSRRefE21_2x_1</vt:lpstr>
      <vt:lpstr>'300 &amp; 317'!OSRRefE21_2x_1</vt:lpstr>
      <vt:lpstr>'301'!OSRRefE21_2x_1</vt:lpstr>
      <vt:lpstr>'307'!OSRRefE21_2x_1</vt:lpstr>
      <vt:lpstr>'308'!OSRRefE21_2x_1</vt:lpstr>
      <vt:lpstr>'309'!OSRRefE21_2x_1</vt:lpstr>
      <vt:lpstr>'310'!OSRRefE21_2x_1</vt:lpstr>
      <vt:lpstr>'310 &amp; 491'!OSRRefE21_2x_1</vt:lpstr>
      <vt:lpstr>'311'!OSRRefE21_2x_1</vt:lpstr>
      <vt:lpstr>'313'!OSRRefE21_2x_1</vt:lpstr>
      <vt:lpstr>'315'!OSRRefE21_2x_1</vt:lpstr>
      <vt:lpstr>'316'!OSRRefE21_2x_1</vt:lpstr>
      <vt:lpstr>'317'!OSRRefE21_2x_1</vt:lpstr>
      <vt:lpstr>'321'!OSRRefE21_2x_1</vt:lpstr>
      <vt:lpstr>'325'!OSRRefE21_2x_1</vt:lpstr>
      <vt:lpstr>'326'!OSRRefE21_2x_1</vt:lpstr>
      <vt:lpstr>'331'!OSRRefE21_2x_1</vt:lpstr>
      <vt:lpstr>'332'!OSRRefE21_2x_1</vt:lpstr>
      <vt:lpstr>'333'!OSRRefE21_2x_1</vt:lpstr>
      <vt:lpstr>'405'!OSRRefE21_2x_1</vt:lpstr>
      <vt:lpstr>'411'!OSRRefE21_2x_1</vt:lpstr>
      <vt:lpstr>'412'!OSRRefE21_2x_1</vt:lpstr>
      <vt:lpstr>'415'!OSRRefE21_2x_1</vt:lpstr>
      <vt:lpstr>'418'!OSRRefE21_2x_1</vt:lpstr>
      <vt:lpstr>'423'!OSRRefE21_2x_1</vt:lpstr>
      <vt:lpstr>'425'!OSRRefE21_2x_1</vt:lpstr>
      <vt:lpstr>'430'!OSRRefE21_2x_1</vt:lpstr>
      <vt:lpstr>'433'!OSRRefE21_2x_1</vt:lpstr>
      <vt:lpstr>'435'!OSRRefE21_2x_1</vt:lpstr>
      <vt:lpstr>'444'!OSRRefE21_2x_1</vt:lpstr>
      <vt:lpstr>'450'!OSRRefE21_2x_1</vt:lpstr>
      <vt:lpstr>'491'!OSRRefE21_2x_1</vt:lpstr>
      <vt:lpstr>'492'!OSRRefE21_2x_1</vt:lpstr>
      <vt:lpstr>'501'!OSRRefE21_2x_1</vt:lpstr>
      <vt:lpstr>'Div 2'!OSRRefE21_2x_1</vt:lpstr>
      <vt:lpstr>'Div 3'!OSRRefE21_2x_1</vt:lpstr>
      <vt:lpstr>'Div 4'!OSRRefE21_2x_1</vt:lpstr>
      <vt:lpstr>'Div 5'!OSRRefE21_2x_1</vt:lpstr>
      <vt:lpstr>'Div 6'!OSRRefE21_2x_1</vt:lpstr>
      <vt:lpstr>Summary!OSRRefE21_2x_1</vt:lpstr>
      <vt:lpstr>'200'!OSRRefE21_3_0x</vt:lpstr>
      <vt:lpstr>'201'!OSRRefE21_3_0x</vt:lpstr>
      <vt:lpstr>'202'!OSRRefE21_3_0x</vt:lpstr>
      <vt:lpstr>'203'!OSRRefE21_3_0x</vt:lpstr>
      <vt:lpstr>'204'!OSRRefE21_3_0x</vt:lpstr>
      <vt:lpstr>'205'!OSRRefE21_3_0x</vt:lpstr>
      <vt:lpstr>'206'!OSRRefE21_3_0x</vt:lpstr>
      <vt:lpstr>'300'!OSRRefE21_3_0x</vt:lpstr>
      <vt:lpstr>'300 &amp; 317'!OSRRefE21_3_0x</vt:lpstr>
      <vt:lpstr>'301'!OSRRefE21_3_0x</vt:lpstr>
      <vt:lpstr>'307'!OSRRefE21_3_0x</vt:lpstr>
      <vt:lpstr>'308'!OSRRefE21_3_0x</vt:lpstr>
      <vt:lpstr>'309'!OSRRefE21_3_0x</vt:lpstr>
      <vt:lpstr>'310'!OSRRefE21_3_0x</vt:lpstr>
      <vt:lpstr>'310 &amp; 491'!OSRRefE21_3_0x</vt:lpstr>
      <vt:lpstr>'311'!OSRRefE21_3_0x</vt:lpstr>
      <vt:lpstr>'315'!OSRRefE21_3_0x</vt:lpstr>
      <vt:lpstr>'316'!OSRRefE21_3_0x</vt:lpstr>
      <vt:lpstr>'317'!OSRRefE21_3_0x</vt:lpstr>
      <vt:lpstr>'321'!OSRRefE21_3_0x</vt:lpstr>
      <vt:lpstr>'325'!OSRRefE21_3_0x</vt:lpstr>
      <vt:lpstr>'326'!OSRRefE21_3_0x</vt:lpstr>
      <vt:lpstr>'331'!OSRRefE21_3_0x</vt:lpstr>
      <vt:lpstr>'332'!OSRRefE21_3_0x</vt:lpstr>
      <vt:lpstr>'333'!OSRRefE21_3_0x</vt:lpstr>
      <vt:lpstr>'405'!OSRRefE21_3_0x</vt:lpstr>
      <vt:lpstr>'411'!OSRRefE21_3_0x</vt:lpstr>
      <vt:lpstr>'412'!OSRRefE21_3_0x</vt:lpstr>
      <vt:lpstr>'415'!OSRRefE21_3_0x</vt:lpstr>
      <vt:lpstr>'418'!OSRRefE21_3_0x</vt:lpstr>
      <vt:lpstr>'423'!OSRRefE21_3_0x</vt:lpstr>
      <vt:lpstr>'425'!OSRRefE21_3_0x</vt:lpstr>
      <vt:lpstr>'430'!OSRRefE21_3_0x</vt:lpstr>
      <vt:lpstr>'433'!OSRRefE21_3_0x</vt:lpstr>
      <vt:lpstr>'435'!OSRRefE21_3_0x</vt:lpstr>
      <vt:lpstr>'444'!OSRRefE21_3_0x</vt:lpstr>
      <vt:lpstr>'450'!OSRRefE21_3_0x</vt:lpstr>
      <vt:lpstr>'491'!OSRRefE21_3_0x</vt:lpstr>
      <vt:lpstr>'492'!OSRRefE21_3_0x</vt:lpstr>
      <vt:lpstr>'501'!OSRRefE21_3_0x</vt:lpstr>
      <vt:lpstr>'Div 2'!OSRRefE21_3_0x</vt:lpstr>
      <vt:lpstr>'Div 3'!OSRRefE21_3_0x</vt:lpstr>
      <vt:lpstr>'Div 4'!OSRRefE21_3_0x</vt:lpstr>
      <vt:lpstr>'Div 5'!OSRRefE21_3_0x</vt:lpstr>
      <vt:lpstr>'Div 6'!OSRRefE21_3_0x</vt:lpstr>
      <vt:lpstr>Summary!OSRRefE21_3_0x</vt:lpstr>
      <vt:lpstr>'206'!OSRRefE21_3_1x</vt:lpstr>
      <vt:lpstr>'411'!OSRRefE21_3_1x</vt:lpstr>
      <vt:lpstr>'200'!OSRRefE21_3x_0</vt:lpstr>
      <vt:lpstr>'201'!OSRRefE21_3x_0</vt:lpstr>
      <vt:lpstr>'202'!OSRRefE21_3x_0</vt:lpstr>
      <vt:lpstr>'203'!OSRRefE21_3x_0</vt:lpstr>
      <vt:lpstr>'204'!OSRRefE21_3x_0</vt:lpstr>
      <vt:lpstr>'205'!OSRRefE21_3x_0</vt:lpstr>
      <vt:lpstr>'206'!OSRRefE21_3x_0</vt:lpstr>
      <vt:lpstr>'300'!OSRRefE21_3x_0</vt:lpstr>
      <vt:lpstr>'300 &amp; 317'!OSRRefE21_3x_0</vt:lpstr>
      <vt:lpstr>'301'!OSRRefE21_3x_0</vt:lpstr>
      <vt:lpstr>'307'!OSRRefE21_3x_0</vt:lpstr>
      <vt:lpstr>'308'!OSRRefE21_3x_0</vt:lpstr>
      <vt:lpstr>'309'!OSRRefE21_3x_0</vt:lpstr>
      <vt:lpstr>'310'!OSRRefE21_3x_0</vt:lpstr>
      <vt:lpstr>'310 &amp; 491'!OSRRefE21_3x_0</vt:lpstr>
      <vt:lpstr>'311'!OSRRefE21_3x_0</vt:lpstr>
      <vt:lpstr>'315'!OSRRefE21_3x_0</vt:lpstr>
      <vt:lpstr>'316'!OSRRefE21_3x_0</vt:lpstr>
      <vt:lpstr>'317'!OSRRefE21_3x_0</vt:lpstr>
      <vt:lpstr>'321'!OSRRefE21_3x_0</vt:lpstr>
      <vt:lpstr>'325'!OSRRefE21_3x_0</vt:lpstr>
      <vt:lpstr>'326'!OSRRefE21_3x_0</vt:lpstr>
      <vt:lpstr>'331'!OSRRefE21_3x_0</vt:lpstr>
      <vt:lpstr>'332'!OSRRefE21_3x_0</vt:lpstr>
      <vt:lpstr>'333'!OSRRefE21_3x_0</vt:lpstr>
      <vt:lpstr>'405'!OSRRefE21_3x_0</vt:lpstr>
      <vt:lpstr>'411'!OSRRefE21_3x_0</vt:lpstr>
      <vt:lpstr>'412'!OSRRefE21_3x_0</vt:lpstr>
      <vt:lpstr>'415'!OSRRefE21_3x_0</vt:lpstr>
      <vt:lpstr>'418'!OSRRefE21_3x_0</vt:lpstr>
      <vt:lpstr>'423'!OSRRefE21_3x_0</vt:lpstr>
      <vt:lpstr>'425'!OSRRefE21_3x_0</vt:lpstr>
      <vt:lpstr>'430'!OSRRefE21_3x_0</vt:lpstr>
      <vt:lpstr>'433'!OSRRefE21_3x_0</vt:lpstr>
      <vt:lpstr>'435'!OSRRefE21_3x_0</vt:lpstr>
      <vt:lpstr>'444'!OSRRefE21_3x_0</vt:lpstr>
      <vt:lpstr>'450'!OSRRefE21_3x_0</vt:lpstr>
      <vt:lpstr>'491'!OSRRefE21_3x_0</vt:lpstr>
      <vt:lpstr>'492'!OSRRefE21_3x_0</vt:lpstr>
      <vt:lpstr>'501'!OSRRefE21_3x_0</vt:lpstr>
      <vt:lpstr>'Div 2'!OSRRefE21_3x_0</vt:lpstr>
      <vt:lpstr>'Div 3'!OSRRefE21_3x_0</vt:lpstr>
      <vt:lpstr>'Div 4'!OSRRefE21_3x_0</vt:lpstr>
      <vt:lpstr>'Div 5'!OSRRefE21_3x_0</vt:lpstr>
      <vt:lpstr>'Div 6'!OSRRefE21_3x_0</vt:lpstr>
      <vt:lpstr>Summary!OSRRefE21_3x_0</vt:lpstr>
      <vt:lpstr>'200'!OSRRefE21_3x_1</vt:lpstr>
      <vt:lpstr>'201'!OSRRefE21_3x_1</vt:lpstr>
      <vt:lpstr>'202'!OSRRefE21_3x_1</vt:lpstr>
      <vt:lpstr>'203'!OSRRefE21_3x_1</vt:lpstr>
      <vt:lpstr>'204'!OSRRefE21_3x_1</vt:lpstr>
      <vt:lpstr>'205'!OSRRefE21_3x_1</vt:lpstr>
      <vt:lpstr>'206'!OSRRefE21_3x_1</vt:lpstr>
      <vt:lpstr>'300'!OSRRefE21_3x_1</vt:lpstr>
      <vt:lpstr>'300 &amp; 317'!OSRRefE21_3x_1</vt:lpstr>
      <vt:lpstr>'301'!OSRRefE21_3x_1</vt:lpstr>
      <vt:lpstr>'307'!OSRRefE21_3x_1</vt:lpstr>
      <vt:lpstr>'308'!OSRRefE21_3x_1</vt:lpstr>
      <vt:lpstr>'309'!OSRRefE21_3x_1</vt:lpstr>
      <vt:lpstr>'310'!OSRRefE21_3x_1</vt:lpstr>
      <vt:lpstr>'310 &amp; 491'!OSRRefE21_3x_1</vt:lpstr>
      <vt:lpstr>'311'!OSRRefE21_3x_1</vt:lpstr>
      <vt:lpstr>'315'!OSRRefE21_3x_1</vt:lpstr>
      <vt:lpstr>'316'!OSRRefE21_3x_1</vt:lpstr>
      <vt:lpstr>'317'!OSRRefE21_3x_1</vt:lpstr>
      <vt:lpstr>'321'!OSRRefE21_3x_1</vt:lpstr>
      <vt:lpstr>'325'!OSRRefE21_3x_1</vt:lpstr>
      <vt:lpstr>'326'!OSRRefE21_3x_1</vt:lpstr>
      <vt:lpstr>'331'!OSRRefE21_3x_1</vt:lpstr>
      <vt:lpstr>'332'!OSRRefE21_3x_1</vt:lpstr>
      <vt:lpstr>'333'!OSRRefE21_3x_1</vt:lpstr>
      <vt:lpstr>'405'!OSRRefE21_3x_1</vt:lpstr>
      <vt:lpstr>'411'!OSRRefE21_3x_1</vt:lpstr>
      <vt:lpstr>'412'!OSRRefE21_3x_1</vt:lpstr>
      <vt:lpstr>'415'!OSRRefE21_3x_1</vt:lpstr>
      <vt:lpstr>'418'!OSRRefE21_3x_1</vt:lpstr>
      <vt:lpstr>'423'!OSRRefE21_3x_1</vt:lpstr>
      <vt:lpstr>'425'!OSRRefE21_3x_1</vt:lpstr>
      <vt:lpstr>'430'!OSRRefE21_3x_1</vt:lpstr>
      <vt:lpstr>'433'!OSRRefE21_3x_1</vt:lpstr>
      <vt:lpstr>'435'!OSRRefE21_3x_1</vt:lpstr>
      <vt:lpstr>'444'!OSRRefE21_3x_1</vt:lpstr>
      <vt:lpstr>'450'!OSRRefE21_3x_1</vt:lpstr>
      <vt:lpstr>'491'!OSRRefE21_3x_1</vt:lpstr>
      <vt:lpstr>'492'!OSRRefE21_3x_1</vt:lpstr>
      <vt:lpstr>'501'!OSRRefE21_3x_1</vt:lpstr>
      <vt:lpstr>'Div 2'!OSRRefE21_3x_1</vt:lpstr>
      <vt:lpstr>'Div 3'!OSRRefE21_3x_1</vt:lpstr>
      <vt:lpstr>'Div 4'!OSRRefE21_3x_1</vt:lpstr>
      <vt:lpstr>'Div 5'!OSRRefE21_3x_1</vt:lpstr>
      <vt:lpstr>'Div 6'!OSRRefE21_3x_1</vt:lpstr>
      <vt:lpstr>Summary!OSRRefE21_3x_1</vt:lpstr>
      <vt:lpstr>'201'!OSRRefE21_4_0x</vt:lpstr>
      <vt:lpstr>'202'!OSRRefE21_4_0x</vt:lpstr>
      <vt:lpstr>'203'!OSRRefE21_4_0x</vt:lpstr>
      <vt:lpstr>'204'!OSRRefE21_4_0x</vt:lpstr>
      <vt:lpstr>'205'!OSRRefE21_4_0x</vt:lpstr>
      <vt:lpstr>'206'!OSRRefE21_4_0x</vt:lpstr>
      <vt:lpstr>'300'!OSRRefE21_4_0x</vt:lpstr>
      <vt:lpstr>'300 &amp; 317'!OSRRefE21_4_0x</vt:lpstr>
      <vt:lpstr>'301'!OSRRefE21_4_0x</vt:lpstr>
      <vt:lpstr>'307'!OSRRefE21_4_0x</vt:lpstr>
      <vt:lpstr>'308'!OSRRefE21_4_0x</vt:lpstr>
      <vt:lpstr>'309'!OSRRefE21_4_0x</vt:lpstr>
      <vt:lpstr>'310'!OSRRefE21_4_0x</vt:lpstr>
      <vt:lpstr>'310 &amp; 491'!OSRRefE21_4_0x</vt:lpstr>
      <vt:lpstr>'311'!OSRRefE21_4_0x</vt:lpstr>
      <vt:lpstr>'315'!OSRRefE21_4_0x</vt:lpstr>
      <vt:lpstr>'316'!OSRRefE21_4_0x</vt:lpstr>
      <vt:lpstr>'317'!OSRRefE21_4_0x</vt:lpstr>
      <vt:lpstr>'321'!OSRRefE21_4_0x</vt:lpstr>
      <vt:lpstr>'325'!OSRRefE21_4_0x</vt:lpstr>
      <vt:lpstr>'326'!OSRRefE21_4_0x</vt:lpstr>
      <vt:lpstr>'331'!OSRRefE21_4_0x</vt:lpstr>
      <vt:lpstr>'332'!OSRRefE21_4_0x</vt:lpstr>
      <vt:lpstr>'333'!OSRRefE21_4_0x</vt:lpstr>
      <vt:lpstr>'405'!OSRRefE21_4_0x</vt:lpstr>
      <vt:lpstr>'411'!OSRRefE21_4_0x</vt:lpstr>
      <vt:lpstr>'415'!OSRRefE21_4_0x</vt:lpstr>
      <vt:lpstr>'418'!OSRRefE21_4_0x</vt:lpstr>
      <vt:lpstr>'423'!OSRRefE21_4_0x</vt:lpstr>
      <vt:lpstr>'425'!OSRRefE21_4_0x</vt:lpstr>
      <vt:lpstr>'430'!OSRRefE21_4_0x</vt:lpstr>
      <vt:lpstr>'433'!OSRRefE21_4_0x</vt:lpstr>
      <vt:lpstr>'435'!OSRRefE21_4_0x</vt:lpstr>
      <vt:lpstr>'444'!OSRRefE21_4_0x</vt:lpstr>
      <vt:lpstr>'450'!OSRRefE21_4_0x</vt:lpstr>
      <vt:lpstr>'491'!OSRRefE21_4_0x</vt:lpstr>
      <vt:lpstr>'492'!OSRRefE21_4_0x</vt:lpstr>
      <vt:lpstr>'501'!OSRRefE21_4_0x</vt:lpstr>
      <vt:lpstr>'Div 2'!OSRRefE21_4_0x</vt:lpstr>
      <vt:lpstr>'Div 3'!OSRRefE21_4_0x</vt:lpstr>
      <vt:lpstr>'Div 4'!OSRRefE21_4_0x</vt:lpstr>
      <vt:lpstr>'Div 5'!OSRRefE21_4_0x</vt:lpstr>
      <vt:lpstr>'Div 6'!OSRRefE21_4_0x</vt:lpstr>
      <vt:lpstr>Summary!OSRRefE21_4_0x</vt:lpstr>
      <vt:lpstr>'204'!OSRRefE21_4_1x</vt:lpstr>
      <vt:lpstr>'205'!OSRRefE21_4_1x</vt:lpstr>
      <vt:lpstr>'418'!OSRRefE21_4_1x</vt:lpstr>
      <vt:lpstr>'204'!OSRRefE21_4_2x</vt:lpstr>
      <vt:lpstr>'204'!OSRRefE21_4_3x</vt:lpstr>
      <vt:lpstr>'201'!OSRRefE21_4x_0</vt:lpstr>
      <vt:lpstr>'202'!OSRRefE21_4x_0</vt:lpstr>
      <vt:lpstr>'203'!OSRRefE21_4x_0</vt:lpstr>
      <vt:lpstr>'204'!OSRRefE21_4x_0</vt:lpstr>
      <vt:lpstr>'205'!OSRRefE21_4x_0</vt:lpstr>
      <vt:lpstr>'206'!OSRRefE21_4x_0</vt:lpstr>
      <vt:lpstr>'300'!OSRRefE21_4x_0</vt:lpstr>
      <vt:lpstr>'300 &amp; 317'!OSRRefE21_4x_0</vt:lpstr>
      <vt:lpstr>'301'!OSRRefE21_4x_0</vt:lpstr>
      <vt:lpstr>'307'!OSRRefE21_4x_0</vt:lpstr>
      <vt:lpstr>'308'!OSRRefE21_4x_0</vt:lpstr>
      <vt:lpstr>'309'!OSRRefE21_4x_0</vt:lpstr>
      <vt:lpstr>'310'!OSRRefE21_4x_0</vt:lpstr>
      <vt:lpstr>'310 &amp; 491'!OSRRefE21_4x_0</vt:lpstr>
      <vt:lpstr>'311'!OSRRefE21_4x_0</vt:lpstr>
      <vt:lpstr>'315'!OSRRefE21_4x_0</vt:lpstr>
      <vt:lpstr>'316'!OSRRefE21_4x_0</vt:lpstr>
      <vt:lpstr>'317'!OSRRefE21_4x_0</vt:lpstr>
      <vt:lpstr>'321'!OSRRefE21_4x_0</vt:lpstr>
      <vt:lpstr>'325'!OSRRefE21_4x_0</vt:lpstr>
      <vt:lpstr>'326'!OSRRefE21_4x_0</vt:lpstr>
      <vt:lpstr>'331'!OSRRefE21_4x_0</vt:lpstr>
      <vt:lpstr>'332'!OSRRefE21_4x_0</vt:lpstr>
      <vt:lpstr>'333'!OSRRefE21_4x_0</vt:lpstr>
      <vt:lpstr>'405'!OSRRefE21_4x_0</vt:lpstr>
      <vt:lpstr>'411'!OSRRefE21_4x_0</vt:lpstr>
      <vt:lpstr>'415'!OSRRefE21_4x_0</vt:lpstr>
      <vt:lpstr>'418'!OSRRefE21_4x_0</vt:lpstr>
      <vt:lpstr>'423'!OSRRefE21_4x_0</vt:lpstr>
      <vt:lpstr>'425'!OSRRefE21_4x_0</vt:lpstr>
      <vt:lpstr>'430'!OSRRefE21_4x_0</vt:lpstr>
      <vt:lpstr>'433'!OSRRefE21_4x_0</vt:lpstr>
      <vt:lpstr>'435'!OSRRefE21_4x_0</vt:lpstr>
      <vt:lpstr>'444'!OSRRefE21_4x_0</vt:lpstr>
      <vt:lpstr>'450'!OSRRefE21_4x_0</vt:lpstr>
      <vt:lpstr>'491'!OSRRefE21_4x_0</vt:lpstr>
      <vt:lpstr>'492'!OSRRefE21_4x_0</vt:lpstr>
      <vt:lpstr>'501'!OSRRefE21_4x_0</vt:lpstr>
      <vt:lpstr>'Div 2'!OSRRefE21_4x_0</vt:lpstr>
      <vt:lpstr>'Div 3'!OSRRefE21_4x_0</vt:lpstr>
      <vt:lpstr>'Div 4'!OSRRefE21_4x_0</vt:lpstr>
      <vt:lpstr>'Div 5'!OSRRefE21_4x_0</vt:lpstr>
      <vt:lpstr>'Div 6'!OSRRefE21_4x_0</vt:lpstr>
      <vt:lpstr>Summary!OSRRefE21_4x_0</vt:lpstr>
      <vt:lpstr>'201'!OSRRefE21_4x_1</vt:lpstr>
      <vt:lpstr>'202'!OSRRefE21_4x_1</vt:lpstr>
      <vt:lpstr>'203'!OSRRefE21_4x_1</vt:lpstr>
      <vt:lpstr>'204'!OSRRefE21_4x_1</vt:lpstr>
      <vt:lpstr>'205'!OSRRefE21_4x_1</vt:lpstr>
      <vt:lpstr>'206'!OSRRefE21_4x_1</vt:lpstr>
      <vt:lpstr>'300'!OSRRefE21_4x_1</vt:lpstr>
      <vt:lpstr>'300 &amp; 317'!OSRRefE21_4x_1</vt:lpstr>
      <vt:lpstr>'301'!OSRRefE21_4x_1</vt:lpstr>
      <vt:lpstr>'307'!OSRRefE21_4x_1</vt:lpstr>
      <vt:lpstr>'308'!OSRRefE21_4x_1</vt:lpstr>
      <vt:lpstr>'309'!OSRRefE21_4x_1</vt:lpstr>
      <vt:lpstr>'310'!OSRRefE21_4x_1</vt:lpstr>
      <vt:lpstr>'310 &amp; 491'!OSRRefE21_4x_1</vt:lpstr>
      <vt:lpstr>'311'!OSRRefE21_4x_1</vt:lpstr>
      <vt:lpstr>'315'!OSRRefE21_4x_1</vt:lpstr>
      <vt:lpstr>'316'!OSRRefE21_4x_1</vt:lpstr>
      <vt:lpstr>'317'!OSRRefE21_4x_1</vt:lpstr>
      <vt:lpstr>'321'!OSRRefE21_4x_1</vt:lpstr>
      <vt:lpstr>'325'!OSRRefE21_4x_1</vt:lpstr>
      <vt:lpstr>'326'!OSRRefE21_4x_1</vt:lpstr>
      <vt:lpstr>'331'!OSRRefE21_4x_1</vt:lpstr>
      <vt:lpstr>'332'!OSRRefE21_4x_1</vt:lpstr>
      <vt:lpstr>'333'!OSRRefE21_4x_1</vt:lpstr>
      <vt:lpstr>'405'!OSRRefE21_4x_1</vt:lpstr>
      <vt:lpstr>'411'!OSRRefE21_4x_1</vt:lpstr>
      <vt:lpstr>'415'!OSRRefE21_4x_1</vt:lpstr>
      <vt:lpstr>'418'!OSRRefE21_4x_1</vt:lpstr>
      <vt:lpstr>'423'!OSRRefE21_4x_1</vt:lpstr>
      <vt:lpstr>'425'!OSRRefE21_4x_1</vt:lpstr>
      <vt:lpstr>'430'!OSRRefE21_4x_1</vt:lpstr>
      <vt:lpstr>'433'!OSRRefE21_4x_1</vt:lpstr>
      <vt:lpstr>'435'!OSRRefE21_4x_1</vt:lpstr>
      <vt:lpstr>'444'!OSRRefE21_4x_1</vt:lpstr>
      <vt:lpstr>'450'!OSRRefE21_4x_1</vt:lpstr>
      <vt:lpstr>'491'!OSRRefE21_4x_1</vt:lpstr>
      <vt:lpstr>'492'!OSRRefE21_4x_1</vt:lpstr>
      <vt:lpstr>'501'!OSRRefE21_4x_1</vt:lpstr>
      <vt:lpstr>'Div 2'!OSRRefE21_4x_1</vt:lpstr>
      <vt:lpstr>'Div 3'!OSRRefE21_4x_1</vt:lpstr>
      <vt:lpstr>'Div 4'!OSRRefE21_4x_1</vt:lpstr>
      <vt:lpstr>'Div 5'!OSRRefE21_4x_1</vt:lpstr>
      <vt:lpstr>'Div 6'!OSRRefE21_4x_1</vt:lpstr>
      <vt:lpstr>Summary!OSRRefE21_4x_1</vt:lpstr>
      <vt:lpstr>'201'!OSRRefE21_5_0x</vt:lpstr>
      <vt:lpstr>'202'!OSRRefE21_5_0x</vt:lpstr>
      <vt:lpstr>'203'!OSRRefE21_5_0x</vt:lpstr>
      <vt:lpstr>'204'!OSRRefE21_5_0x</vt:lpstr>
      <vt:lpstr>'205'!OSRRefE21_5_0x</vt:lpstr>
      <vt:lpstr>'206'!OSRRefE21_5_0x</vt:lpstr>
      <vt:lpstr>'300'!OSRRefE21_5_0x</vt:lpstr>
      <vt:lpstr>'300 &amp; 317'!OSRRefE21_5_0x</vt:lpstr>
      <vt:lpstr>'301'!OSRRefE21_5_0x</vt:lpstr>
      <vt:lpstr>'307'!OSRRefE21_5_0x</vt:lpstr>
      <vt:lpstr>'308'!OSRRefE21_5_0x</vt:lpstr>
      <vt:lpstr>'309'!OSRRefE21_5_0x</vt:lpstr>
      <vt:lpstr>'310'!OSRRefE21_5_0x</vt:lpstr>
      <vt:lpstr>'310 &amp; 491'!OSRRefE21_5_0x</vt:lpstr>
      <vt:lpstr>'311'!OSRRefE21_5_0x</vt:lpstr>
      <vt:lpstr>'315'!OSRRefE21_5_0x</vt:lpstr>
      <vt:lpstr>'316'!OSRRefE21_5_0x</vt:lpstr>
      <vt:lpstr>'317'!OSRRefE21_5_0x</vt:lpstr>
      <vt:lpstr>'321'!OSRRefE21_5_0x</vt:lpstr>
      <vt:lpstr>'325'!OSRRefE21_5_0x</vt:lpstr>
      <vt:lpstr>'326'!OSRRefE21_5_0x</vt:lpstr>
      <vt:lpstr>'331'!OSRRefE21_5_0x</vt:lpstr>
      <vt:lpstr>'332'!OSRRefE21_5_0x</vt:lpstr>
      <vt:lpstr>'333'!OSRRefE21_5_0x</vt:lpstr>
      <vt:lpstr>'405'!OSRRefE21_5_0x</vt:lpstr>
      <vt:lpstr>'411'!OSRRefE21_5_0x</vt:lpstr>
      <vt:lpstr>'415'!OSRRefE21_5_0x</vt:lpstr>
      <vt:lpstr>'418'!OSRRefE21_5_0x</vt:lpstr>
      <vt:lpstr>'430'!OSRRefE21_5_0x</vt:lpstr>
      <vt:lpstr>'433'!OSRRefE21_5_0x</vt:lpstr>
      <vt:lpstr>'444'!OSRRefE21_5_0x</vt:lpstr>
      <vt:lpstr>'450'!OSRRefE21_5_0x</vt:lpstr>
      <vt:lpstr>'491'!OSRRefE21_5_0x</vt:lpstr>
      <vt:lpstr>'492'!OSRRefE21_5_0x</vt:lpstr>
      <vt:lpstr>'501'!OSRRefE21_5_0x</vt:lpstr>
      <vt:lpstr>'Div 2'!OSRRefE21_5_0x</vt:lpstr>
      <vt:lpstr>'Div 3'!OSRRefE21_5_0x</vt:lpstr>
      <vt:lpstr>'Div 4'!OSRRefE21_5_0x</vt:lpstr>
      <vt:lpstr>'Div 5'!OSRRefE21_5_0x</vt:lpstr>
      <vt:lpstr>'Div 6'!OSRRefE21_5_0x</vt:lpstr>
      <vt:lpstr>Summary!OSRRefE21_5_0x</vt:lpstr>
      <vt:lpstr>'206'!OSRRefE21_5_1x</vt:lpstr>
      <vt:lpstr>'300'!OSRRefE21_5_1x</vt:lpstr>
      <vt:lpstr>'300 &amp; 317'!OSRRefE21_5_1x</vt:lpstr>
      <vt:lpstr>'301'!OSRRefE21_5_1x</vt:lpstr>
      <vt:lpstr>'310'!OSRRefE21_5_1x</vt:lpstr>
      <vt:lpstr>'310 &amp; 491'!OSRRefE21_5_1x</vt:lpstr>
      <vt:lpstr>'316'!OSRRefE21_5_1x</vt:lpstr>
      <vt:lpstr>'325'!OSRRefE21_5_1x</vt:lpstr>
      <vt:lpstr>'332'!OSRRefE21_5_1x</vt:lpstr>
      <vt:lpstr>'405'!OSRRefE21_5_1x</vt:lpstr>
      <vt:lpstr>'415'!OSRRefE21_5_1x</vt:lpstr>
      <vt:lpstr>'430'!OSRRefE21_5_1x</vt:lpstr>
      <vt:lpstr>'491'!OSRRefE21_5_1x</vt:lpstr>
      <vt:lpstr>'501'!OSRRefE21_5_1x</vt:lpstr>
      <vt:lpstr>'Div 2'!OSRRefE21_5_1x</vt:lpstr>
      <vt:lpstr>'Div 3'!OSRRefE21_5_1x</vt:lpstr>
      <vt:lpstr>'Div 4'!OSRRefE21_5_1x</vt:lpstr>
      <vt:lpstr>'Div 5'!OSRRefE21_5_1x</vt:lpstr>
      <vt:lpstr>Summary!OSRRefE21_5_1x</vt:lpstr>
      <vt:lpstr>'201'!OSRRefE21_5x_0</vt:lpstr>
      <vt:lpstr>'202'!OSRRefE21_5x_0</vt:lpstr>
      <vt:lpstr>'203'!OSRRefE21_5x_0</vt:lpstr>
      <vt:lpstr>'204'!OSRRefE21_5x_0</vt:lpstr>
      <vt:lpstr>'205'!OSRRefE21_5x_0</vt:lpstr>
      <vt:lpstr>'206'!OSRRefE21_5x_0</vt:lpstr>
      <vt:lpstr>'300'!OSRRefE21_5x_0</vt:lpstr>
      <vt:lpstr>'300 &amp; 317'!OSRRefE21_5x_0</vt:lpstr>
      <vt:lpstr>'301'!OSRRefE21_5x_0</vt:lpstr>
      <vt:lpstr>'307'!OSRRefE21_5x_0</vt:lpstr>
      <vt:lpstr>'308'!OSRRefE21_5x_0</vt:lpstr>
      <vt:lpstr>'309'!OSRRefE21_5x_0</vt:lpstr>
      <vt:lpstr>'310'!OSRRefE21_5x_0</vt:lpstr>
      <vt:lpstr>'310 &amp; 491'!OSRRefE21_5x_0</vt:lpstr>
      <vt:lpstr>'311'!OSRRefE21_5x_0</vt:lpstr>
      <vt:lpstr>'315'!OSRRefE21_5x_0</vt:lpstr>
      <vt:lpstr>'316'!OSRRefE21_5x_0</vt:lpstr>
      <vt:lpstr>'317'!OSRRefE21_5x_0</vt:lpstr>
      <vt:lpstr>'321'!OSRRefE21_5x_0</vt:lpstr>
      <vt:lpstr>'325'!OSRRefE21_5x_0</vt:lpstr>
      <vt:lpstr>'326'!OSRRefE21_5x_0</vt:lpstr>
      <vt:lpstr>'331'!OSRRefE21_5x_0</vt:lpstr>
      <vt:lpstr>'332'!OSRRefE21_5x_0</vt:lpstr>
      <vt:lpstr>'333'!OSRRefE21_5x_0</vt:lpstr>
      <vt:lpstr>'405'!OSRRefE21_5x_0</vt:lpstr>
      <vt:lpstr>'411'!OSRRefE21_5x_0</vt:lpstr>
      <vt:lpstr>'415'!OSRRefE21_5x_0</vt:lpstr>
      <vt:lpstr>'418'!OSRRefE21_5x_0</vt:lpstr>
      <vt:lpstr>'430'!OSRRefE21_5x_0</vt:lpstr>
      <vt:lpstr>'433'!OSRRefE21_5x_0</vt:lpstr>
      <vt:lpstr>'444'!OSRRefE21_5x_0</vt:lpstr>
      <vt:lpstr>'450'!OSRRefE21_5x_0</vt:lpstr>
      <vt:lpstr>'491'!OSRRefE21_5x_0</vt:lpstr>
      <vt:lpstr>'492'!OSRRefE21_5x_0</vt:lpstr>
      <vt:lpstr>'501'!OSRRefE21_5x_0</vt:lpstr>
      <vt:lpstr>'Div 2'!OSRRefE21_5x_0</vt:lpstr>
      <vt:lpstr>'Div 3'!OSRRefE21_5x_0</vt:lpstr>
      <vt:lpstr>'Div 4'!OSRRefE21_5x_0</vt:lpstr>
      <vt:lpstr>'Div 5'!OSRRefE21_5x_0</vt:lpstr>
      <vt:lpstr>'Div 6'!OSRRefE21_5x_0</vt:lpstr>
      <vt:lpstr>Summary!OSRRefE21_5x_0</vt:lpstr>
      <vt:lpstr>'201'!OSRRefE21_5x_1</vt:lpstr>
      <vt:lpstr>'202'!OSRRefE21_5x_1</vt:lpstr>
      <vt:lpstr>'203'!OSRRefE21_5x_1</vt:lpstr>
      <vt:lpstr>'204'!OSRRefE21_5x_1</vt:lpstr>
      <vt:lpstr>'205'!OSRRefE21_5x_1</vt:lpstr>
      <vt:lpstr>'206'!OSRRefE21_5x_1</vt:lpstr>
      <vt:lpstr>'300'!OSRRefE21_5x_1</vt:lpstr>
      <vt:lpstr>'300 &amp; 317'!OSRRefE21_5x_1</vt:lpstr>
      <vt:lpstr>'301'!OSRRefE21_5x_1</vt:lpstr>
      <vt:lpstr>'307'!OSRRefE21_5x_1</vt:lpstr>
      <vt:lpstr>'308'!OSRRefE21_5x_1</vt:lpstr>
      <vt:lpstr>'309'!OSRRefE21_5x_1</vt:lpstr>
      <vt:lpstr>'310'!OSRRefE21_5x_1</vt:lpstr>
      <vt:lpstr>'310 &amp; 491'!OSRRefE21_5x_1</vt:lpstr>
      <vt:lpstr>'311'!OSRRefE21_5x_1</vt:lpstr>
      <vt:lpstr>'315'!OSRRefE21_5x_1</vt:lpstr>
      <vt:lpstr>'316'!OSRRefE21_5x_1</vt:lpstr>
      <vt:lpstr>'317'!OSRRefE21_5x_1</vt:lpstr>
      <vt:lpstr>'321'!OSRRefE21_5x_1</vt:lpstr>
      <vt:lpstr>'325'!OSRRefE21_5x_1</vt:lpstr>
      <vt:lpstr>'326'!OSRRefE21_5x_1</vt:lpstr>
      <vt:lpstr>'331'!OSRRefE21_5x_1</vt:lpstr>
      <vt:lpstr>'332'!OSRRefE21_5x_1</vt:lpstr>
      <vt:lpstr>'333'!OSRRefE21_5x_1</vt:lpstr>
      <vt:lpstr>'405'!OSRRefE21_5x_1</vt:lpstr>
      <vt:lpstr>'411'!OSRRefE21_5x_1</vt:lpstr>
      <vt:lpstr>'415'!OSRRefE21_5x_1</vt:lpstr>
      <vt:lpstr>'418'!OSRRefE21_5x_1</vt:lpstr>
      <vt:lpstr>'430'!OSRRefE21_5x_1</vt:lpstr>
      <vt:lpstr>'433'!OSRRefE21_5x_1</vt:lpstr>
      <vt:lpstr>'444'!OSRRefE21_5x_1</vt:lpstr>
      <vt:lpstr>'450'!OSRRefE21_5x_1</vt:lpstr>
      <vt:lpstr>'491'!OSRRefE21_5x_1</vt:lpstr>
      <vt:lpstr>'492'!OSRRefE21_5x_1</vt:lpstr>
      <vt:lpstr>'501'!OSRRefE21_5x_1</vt:lpstr>
      <vt:lpstr>'Div 2'!OSRRefE21_5x_1</vt:lpstr>
      <vt:lpstr>'Div 3'!OSRRefE21_5x_1</vt:lpstr>
      <vt:lpstr>'Div 4'!OSRRefE21_5x_1</vt:lpstr>
      <vt:lpstr>'Div 5'!OSRRefE21_5x_1</vt:lpstr>
      <vt:lpstr>'Div 6'!OSRRefE21_5x_1</vt:lpstr>
      <vt:lpstr>Summary!OSRRefE21_5x_1</vt:lpstr>
      <vt:lpstr>'201'!OSRRefE21_6_0x</vt:lpstr>
      <vt:lpstr>'202'!OSRRefE21_6_0x</vt:lpstr>
      <vt:lpstr>'203'!OSRRefE21_6_0x</vt:lpstr>
      <vt:lpstr>'204'!OSRRefE21_6_0x</vt:lpstr>
      <vt:lpstr>'205'!OSRRefE21_6_0x</vt:lpstr>
      <vt:lpstr>'300'!OSRRefE21_6_0x</vt:lpstr>
      <vt:lpstr>'300 &amp; 317'!OSRRefE21_6_0x</vt:lpstr>
      <vt:lpstr>'301'!OSRRefE21_6_0x</vt:lpstr>
      <vt:lpstr>'307'!OSRRefE21_6_0x</vt:lpstr>
      <vt:lpstr>'308'!OSRRefE21_6_0x</vt:lpstr>
      <vt:lpstr>'309'!OSRRefE21_6_0x</vt:lpstr>
      <vt:lpstr>'310'!OSRRefE21_6_0x</vt:lpstr>
      <vt:lpstr>'310 &amp; 491'!OSRRefE21_6_0x</vt:lpstr>
      <vt:lpstr>'311'!OSRRefE21_6_0x</vt:lpstr>
      <vt:lpstr>'315'!OSRRefE21_6_0x</vt:lpstr>
      <vt:lpstr>'316'!OSRRefE21_6_0x</vt:lpstr>
      <vt:lpstr>'317'!OSRRefE21_6_0x</vt:lpstr>
      <vt:lpstr>'321'!OSRRefE21_6_0x</vt:lpstr>
      <vt:lpstr>'325'!OSRRefE21_6_0x</vt:lpstr>
      <vt:lpstr>'326'!OSRRefE21_6_0x</vt:lpstr>
      <vt:lpstr>'331'!OSRRefE21_6_0x</vt:lpstr>
      <vt:lpstr>'332'!OSRRefE21_6_0x</vt:lpstr>
      <vt:lpstr>'333'!OSRRefE21_6_0x</vt:lpstr>
      <vt:lpstr>'405'!OSRRefE21_6_0x</vt:lpstr>
      <vt:lpstr>'411'!OSRRefE21_6_0x</vt:lpstr>
      <vt:lpstr>'415'!OSRRefE21_6_0x</vt:lpstr>
      <vt:lpstr>'418'!OSRRefE21_6_0x</vt:lpstr>
      <vt:lpstr>'430'!OSRRefE21_6_0x</vt:lpstr>
      <vt:lpstr>'433'!OSRRefE21_6_0x</vt:lpstr>
      <vt:lpstr>'444'!OSRRefE21_6_0x</vt:lpstr>
      <vt:lpstr>'450'!OSRRefE21_6_0x</vt:lpstr>
      <vt:lpstr>'491'!OSRRefE21_6_0x</vt:lpstr>
      <vt:lpstr>'492'!OSRRefE21_6_0x</vt:lpstr>
      <vt:lpstr>'501'!OSRRefE21_6_0x</vt:lpstr>
      <vt:lpstr>'Div 2'!OSRRefE21_6_0x</vt:lpstr>
      <vt:lpstr>'Div 3'!OSRRefE21_6_0x</vt:lpstr>
      <vt:lpstr>'Div 4'!OSRRefE21_6_0x</vt:lpstr>
      <vt:lpstr>'Div 5'!OSRRefE21_6_0x</vt:lpstr>
      <vt:lpstr>'Div 6'!OSRRefE21_6_0x</vt:lpstr>
      <vt:lpstr>Summary!OSRRefE21_6_0x</vt:lpstr>
      <vt:lpstr>'204'!OSRRefE21_6_1x</vt:lpstr>
      <vt:lpstr>'205'!OSRRefE21_6_1x</vt:lpstr>
      <vt:lpstr>'300'!OSRRefE21_6_1x</vt:lpstr>
      <vt:lpstr>'300 &amp; 317'!OSRRefE21_6_1x</vt:lpstr>
      <vt:lpstr>'301'!OSRRefE21_6_1x</vt:lpstr>
      <vt:lpstr>'308'!OSRRefE21_6_1x</vt:lpstr>
      <vt:lpstr>'311'!OSRRefE21_6_1x</vt:lpstr>
      <vt:lpstr>'430'!OSRRefE21_6_1x</vt:lpstr>
      <vt:lpstr>'Div 3'!OSRRefE21_6_1x</vt:lpstr>
      <vt:lpstr>Summary!OSRRefE21_6_1x</vt:lpstr>
      <vt:lpstr>'201'!OSRRefE21_6x_0</vt:lpstr>
      <vt:lpstr>'202'!OSRRefE21_6x_0</vt:lpstr>
      <vt:lpstr>'203'!OSRRefE21_6x_0</vt:lpstr>
      <vt:lpstr>'204'!OSRRefE21_6x_0</vt:lpstr>
      <vt:lpstr>'205'!OSRRefE21_6x_0</vt:lpstr>
      <vt:lpstr>'300'!OSRRefE21_6x_0</vt:lpstr>
      <vt:lpstr>'300 &amp; 317'!OSRRefE21_6x_0</vt:lpstr>
      <vt:lpstr>'301'!OSRRefE21_6x_0</vt:lpstr>
      <vt:lpstr>'307'!OSRRefE21_6x_0</vt:lpstr>
      <vt:lpstr>'308'!OSRRefE21_6x_0</vt:lpstr>
      <vt:lpstr>'309'!OSRRefE21_6x_0</vt:lpstr>
      <vt:lpstr>'310'!OSRRefE21_6x_0</vt:lpstr>
      <vt:lpstr>'310 &amp; 491'!OSRRefE21_6x_0</vt:lpstr>
      <vt:lpstr>'311'!OSRRefE21_6x_0</vt:lpstr>
      <vt:lpstr>'315'!OSRRefE21_6x_0</vt:lpstr>
      <vt:lpstr>'316'!OSRRefE21_6x_0</vt:lpstr>
      <vt:lpstr>'317'!OSRRefE21_6x_0</vt:lpstr>
      <vt:lpstr>'321'!OSRRefE21_6x_0</vt:lpstr>
      <vt:lpstr>'325'!OSRRefE21_6x_0</vt:lpstr>
      <vt:lpstr>'326'!OSRRefE21_6x_0</vt:lpstr>
      <vt:lpstr>'331'!OSRRefE21_6x_0</vt:lpstr>
      <vt:lpstr>'332'!OSRRefE21_6x_0</vt:lpstr>
      <vt:lpstr>'333'!OSRRefE21_6x_0</vt:lpstr>
      <vt:lpstr>'405'!OSRRefE21_6x_0</vt:lpstr>
      <vt:lpstr>'411'!OSRRefE21_6x_0</vt:lpstr>
      <vt:lpstr>'415'!OSRRefE21_6x_0</vt:lpstr>
      <vt:lpstr>'418'!OSRRefE21_6x_0</vt:lpstr>
      <vt:lpstr>'430'!OSRRefE21_6x_0</vt:lpstr>
      <vt:lpstr>'433'!OSRRefE21_6x_0</vt:lpstr>
      <vt:lpstr>'444'!OSRRefE21_6x_0</vt:lpstr>
      <vt:lpstr>'450'!OSRRefE21_6x_0</vt:lpstr>
      <vt:lpstr>'491'!OSRRefE21_6x_0</vt:lpstr>
      <vt:lpstr>'492'!OSRRefE21_6x_0</vt:lpstr>
      <vt:lpstr>'501'!OSRRefE21_6x_0</vt:lpstr>
      <vt:lpstr>'Div 2'!OSRRefE21_6x_0</vt:lpstr>
      <vt:lpstr>'Div 3'!OSRRefE21_6x_0</vt:lpstr>
      <vt:lpstr>'Div 4'!OSRRefE21_6x_0</vt:lpstr>
      <vt:lpstr>'Div 5'!OSRRefE21_6x_0</vt:lpstr>
      <vt:lpstr>'Div 6'!OSRRefE21_6x_0</vt:lpstr>
      <vt:lpstr>Summary!OSRRefE21_6x_0</vt:lpstr>
      <vt:lpstr>'201'!OSRRefE21_6x_1</vt:lpstr>
      <vt:lpstr>'202'!OSRRefE21_6x_1</vt:lpstr>
      <vt:lpstr>'203'!OSRRefE21_6x_1</vt:lpstr>
      <vt:lpstr>'204'!OSRRefE21_6x_1</vt:lpstr>
      <vt:lpstr>'205'!OSRRefE21_6x_1</vt:lpstr>
      <vt:lpstr>'300'!OSRRefE21_6x_1</vt:lpstr>
      <vt:lpstr>'300 &amp; 317'!OSRRefE21_6x_1</vt:lpstr>
      <vt:lpstr>'301'!OSRRefE21_6x_1</vt:lpstr>
      <vt:lpstr>'307'!OSRRefE21_6x_1</vt:lpstr>
      <vt:lpstr>'308'!OSRRefE21_6x_1</vt:lpstr>
      <vt:lpstr>'309'!OSRRefE21_6x_1</vt:lpstr>
      <vt:lpstr>'310'!OSRRefE21_6x_1</vt:lpstr>
      <vt:lpstr>'310 &amp; 491'!OSRRefE21_6x_1</vt:lpstr>
      <vt:lpstr>'311'!OSRRefE21_6x_1</vt:lpstr>
      <vt:lpstr>'315'!OSRRefE21_6x_1</vt:lpstr>
      <vt:lpstr>'316'!OSRRefE21_6x_1</vt:lpstr>
      <vt:lpstr>'317'!OSRRefE21_6x_1</vt:lpstr>
      <vt:lpstr>'321'!OSRRefE21_6x_1</vt:lpstr>
      <vt:lpstr>'325'!OSRRefE21_6x_1</vt:lpstr>
      <vt:lpstr>'326'!OSRRefE21_6x_1</vt:lpstr>
      <vt:lpstr>'331'!OSRRefE21_6x_1</vt:lpstr>
      <vt:lpstr>'332'!OSRRefE21_6x_1</vt:lpstr>
      <vt:lpstr>'333'!OSRRefE21_6x_1</vt:lpstr>
      <vt:lpstr>'405'!OSRRefE21_6x_1</vt:lpstr>
      <vt:lpstr>'411'!OSRRefE21_6x_1</vt:lpstr>
      <vt:lpstr>'415'!OSRRefE21_6x_1</vt:lpstr>
      <vt:lpstr>'418'!OSRRefE21_6x_1</vt:lpstr>
      <vt:lpstr>'430'!OSRRefE21_6x_1</vt:lpstr>
      <vt:lpstr>'433'!OSRRefE21_6x_1</vt:lpstr>
      <vt:lpstr>'444'!OSRRefE21_6x_1</vt:lpstr>
      <vt:lpstr>'450'!OSRRefE21_6x_1</vt:lpstr>
      <vt:lpstr>'491'!OSRRefE21_6x_1</vt:lpstr>
      <vt:lpstr>'492'!OSRRefE21_6x_1</vt:lpstr>
      <vt:lpstr>'501'!OSRRefE21_6x_1</vt:lpstr>
      <vt:lpstr>'Div 2'!OSRRefE21_6x_1</vt:lpstr>
      <vt:lpstr>'Div 3'!OSRRefE21_6x_1</vt:lpstr>
      <vt:lpstr>'Div 4'!OSRRefE21_6x_1</vt:lpstr>
      <vt:lpstr>'Div 5'!OSRRefE21_6x_1</vt:lpstr>
      <vt:lpstr>'Div 6'!OSRRefE21_6x_1</vt:lpstr>
      <vt:lpstr>Summary!OSRRefE21_6x_1</vt:lpstr>
      <vt:lpstr>'201'!OSRRefE21_7_0x</vt:lpstr>
      <vt:lpstr>'202'!OSRRefE21_7_0x</vt:lpstr>
      <vt:lpstr>'203'!OSRRefE21_7_0x</vt:lpstr>
      <vt:lpstr>'204'!OSRRefE21_7_0x</vt:lpstr>
      <vt:lpstr>'205'!OSRRefE21_7_0x</vt:lpstr>
      <vt:lpstr>'300'!OSRRefE21_7_0x</vt:lpstr>
      <vt:lpstr>'300 &amp; 317'!OSRRefE21_7_0x</vt:lpstr>
      <vt:lpstr>'301'!OSRRefE21_7_0x</vt:lpstr>
      <vt:lpstr>'307'!OSRRefE21_7_0x</vt:lpstr>
      <vt:lpstr>'308'!OSRRefE21_7_0x</vt:lpstr>
      <vt:lpstr>'309'!OSRRefE21_7_0x</vt:lpstr>
      <vt:lpstr>'310'!OSRRefE21_7_0x</vt:lpstr>
      <vt:lpstr>'310 &amp; 491'!OSRRefE21_7_0x</vt:lpstr>
      <vt:lpstr>'311'!OSRRefE21_7_0x</vt:lpstr>
      <vt:lpstr>'315'!OSRRefE21_7_0x</vt:lpstr>
      <vt:lpstr>'316'!OSRRefE21_7_0x</vt:lpstr>
      <vt:lpstr>'317'!OSRRefE21_7_0x</vt:lpstr>
      <vt:lpstr>'321'!OSRRefE21_7_0x</vt:lpstr>
      <vt:lpstr>'325'!OSRRefE21_7_0x</vt:lpstr>
      <vt:lpstr>'326'!OSRRefE21_7_0x</vt:lpstr>
      <vt:lpstr>'331'!OSRRefE21_7_0x</vt:lpstr>
      <vt:lpstr>'332'!OSRRefE21_7_0x</vt:lpstr>
      <vt:lpstr>'333'!OSRRefE21_7_0x</vt:lpstr>
      <vt:lpstr>'405'!OSRRefE21_7_0x</vt:lpstr>
      <vt:lpstr>'411'!OSRRefE21_7_0x</vt:lpstr>
      <vt:lpstr>'415'!OSRRefE21_7_0x</vt:lpstr>
      <vt:lpstr>'418'!OSRRefE21_7_0x</vt:lpstr>
      <vt:lpstr>'430'!OSRRefE21_7_0x</vt:lpstr>
      <vt:lpstr>'433'!OSRRefE21_7_0x</vt:lpstr>
      <vt:lpstr>'444'!OSRRefE21_7_0x</vt:lpstr>
      <vt:lpstr>'450'!OSRRefE21_7_0x</vt:lpstr>
      <vt:lpstr>'491'!OSRRefE21_7_0x</vt:lpstr>
      <vt:lpstr>'492'!OSRRefE21_7_0x</vt:lpstr>
      <vt:lpstr>'501'!OSRRefE21_7_0x</vt:lpstr>
      <vt:lpstr>'Div 2'!OSRRefE21_7_0x</vt:lpstr>
      <vt:lpstr>'Div 3'!OSRRefE21_7_0x</vt:lpstr>
      <vt:lpstr>'Div 4'!OSRRefE21_7_0x</vt:lpstr>
      <vt:lpstr>'Div 5'!OSRRefE21_7_0x</vt:lpstr>
      <vt:lpstr>'Div 6'!OSRRefE21_7_0x</vt:lpstr>
      <vt:lpstr>Summary!OSRRefE21_7_0x</vt:lpstr>
      <vt:lpstr>'202'!OSRRefE21_7_1x</vt:lpstr>
      <vt:lpstr>'316'!OSRRefE21_7_1x</vt:lpstr>
      <vt:lpstr>'321'!OSRRefE21_7_1x</vt:lpstr>
      <vt:lpstr>'332'!OSRRefE21_7_1x</vt:lpstr>
      <vt:lpstr>'202'!OSRRefE21_7_2x</vt:lpstr>
      <vt:lpstr>'201'!OSRRefE21_7x_0</vt:lpstr>
      <vt:lpstr>'202'!OSRRefE21_7x_0</vt:lpstr>
      <vt:lpstr>'203'!OSRRefE21_7x_0</vt:lpstr>
      <vt:lpstr>'204'!OSRRefE21_7x_0</vt:lpstr>
      <vt:lpstr>'205'!OSRRefE21_7x_0</vt:lpstr>
      <vt:lpstr>'300'!OSRRefE21_7x_0</vt:lpstr>
      <vt:lpstr>'300 &amp; 317'!OSRRefE21_7x_0</vt:lpstr>
      <vt:lpstr>'301'!OSRRefE21_7x_0</vt:lpstr>
      <vt:lpstr>'307'!OSRRefE21_7x_0</vt:lpstr>
      <vt:lpstr>'308'!OSRRefE21_7x_0</vt:lpstr>
      <vt:lpstr>'309'!OSRRefE21_7x_0</vt:lpstr>
      <vt:lpstr>'310'!OSRRefE21_7x_0</vt:lpstr>
      <vt:lpstr>'310 &amp; 491'!OSRRefE21_7x_0</vt:lpstr>
      <vt:lpstr>'311'!OSRRefE21_7x_0</vt:lpstr>
      <vt:lpstr>'315'!OSRRefE21_7x_0</vt:lpstr>
      <vt:lpstr>'316'!OSRRefE21_7x_0</vt:lpstr>
      <vt:lpstr>'317'!OSRRefE21_7x_0</vt:lpstr>
      <vt:lpstr>'321'!OSRRefE21_7x_0</vt:lpstr>
      <vt:lpstr>'325'!OSRRefE21_7x_0</vt:lpstr>
      <vt:lpstr>'326'!OSRRefE21_7x_0</vt:lpstr>
      <vt:lpstr>'331'!OSRRefE21_7x_0</vt:lpstr>
      <vt:lpstr>'332'!OSRRefE21_7x_0</vt:lpstr>
      <vt:lpstr>'333'!OSRRefE21_7x_0</vt:lpstr>
      <vt:lpstr>'405'!OSRRefE21_7x_0</vt:lpstr>
      <vt:lpstr>'411'!OSRRefE21_7x_0</vt:lpstr>
      <vt:lpstr>'415'!OSRRefE21_7x_0</vt:lpstr>
      <vt:lpstr>'418'!OSRRefE21_7x_0</vt:lpstr>
      <vt:lpstr>'430'!OSRRefE21_7x_0</vt:lpstr>
      <vt:lpstr>'433'!OSRRefE21_7x_0</vt:lpstr>
      <vt:lpstr>'444'!OSRRefE21_7x_0</vt:lpstr>
      <vt:lpstr>'450'!OSRRefE21_7x_0</vt:lpstr>
      <vt:lpstr>'491'!OSRRefE21_7x_0</vt:lpstr>
      <vt:lpstr>'492'!OSRRefE21_7x_0</vt:lpstr>
      <vt:lpstr>'501'!OSRRefE21_7x_0</vt:lpstr>
      <vt:lpstr>'Div 2'!OSRRefE21_7x_0</vt:lpstr>
      <vt:lpstr>'Div 3'!OSRRefE21_7x_0</vt:lpstr>
      <vt:lpstr>'Div 4'!OSRRefE21_7x_0</vt:lpstr>
      <vt:lpstr>'Div 5'!OSRRefE21_7x_0</vt:lpstr>
      <vt:lpstr>'Div 6'!OSRRefE21_7x_0</vt:lpstr>
      <vt:lpstr>Summary!OSRRefE21_7x_0</vt:lpstr>
      <vt:lpstr>'201'!OSRRefE21_7x_1</vt:lpstr>
      <vt:lpstr>'202'!OSRRefE21_7x_1</vt:lpstr>
      <vt:lpstr>'203'!OSRRefE21_7x_1</vt:lpstr>
      <vt:lpstr>'204'!OSRRefE21_7x_1</vt:lpstr>
      <vt:lpstr>'205'!OSRRefE21_7x_1</vt:lpstr>
      <vt:lpstr>'300'!OSRRefE21_7x_1</vt:lpstr>
      <vt:lpstr>'300 &amp; 317'!OSRRefE21_7x_1</vt:lpstr>
      <vt:lpstr>'301'!OSRRefE21_7x_1</vt:lpstr>
      <vt:lpstr>'307'!OSRRefE21_7x_1</vt:lpstr>
      <vt:lpstr>'308'!OSRRefE21_7x_1</vt:lpstr>
      <vt:lpstr>'309'!OSRRefE21_7x_1</vt:lpstr>
      <vt:lpstr>'310'!OSRRefE21_7x_1</vt:lpstr>
      <vt:lpstr>'310 &amp; 491'!OSRRefE21_7x_1</vt:lpstr>
      <vt:lpstr>'311'!OSRRefE21_7x_1</vt:lpstr>
      <vt:lpstr>'315'!OSRRefE21_7x_1</vt:lpstr>
      <vt:lpstr>'316'!OSRRefE21_7x_1</vt:lpstr>
      <vt:lpstr>'317'!OSRRefE21_7x_1</vt:lpstr>
      <vt:lpstr>'321'!OSRRefE21_7x_1</vt:lpstr>
      <vt:lpstr>'325'!OSRRefE21_7x_1</vt:lpstr>
      <vt:lpstr>'326'!OSRRefE21_7x_1</vt:lpstr>
      <vt:lpstr>'331'!OSRRefE21_7x_1</vt:lpstr>
      <vt:lpstr>'332'!OSRRefE21_7x_1</vt:lpstr>
      <vt:lpstr>'333'!OSRRefE21_7x_1</vt:lpstr>
      <vt:lpstr>'405'!OSRRefE21_7x_1</vt:lpstr>
      <vt:lpstr>'411'!OSRRefE21_7x_1</vt:lpstr>
      <vt:lpstr>'415'!OSRRefE21_7x_1</vt:lpstr>
      <vt:lpstr>'418'!OSRRefE21_7x_1</vt:lpstr>
      <vt:lpstr>'430'!OSRRefE21_7x_1</vt:lpstr>
      <vt:lpstr>'433'!OSRRefE21_7x_1</vt:lpstr>
      <vt:lpstr>'444'!OSRRefE21_7x_1</vt:lpstr>
      <vt:lpstr>'450'!OSRRefE21_7x_1</vt:lpstr>
      <vt:lpstr>'491'!OSRRefE21_7x_1</vt:lpstr>
      <vt:lpstr>'492'!OSRRefE21_7x_1</vt:lpstr>
      <vt:lpstr>'501'!OSRRefE21_7x_1</vt:lpstr>
      <vt:lpstr>'Div 2'!OSRRefE21_7x_1</vt:lpstr>
      <vt:lpstr>'Div 3'!OSRRefE21_7x_1</vt:lpstr>
      <vt:lpstr>'Div 4'!OSRRefE21_7x_1</vt:lpstr>
      <vt:lpstr>'Div 5'!OSRRefE21_7x_1</vt:lpstr>
      <vt:lpstr>'Div 6'!OSRRefE21_7x_1</vt:lpstr>
      <vt:lpstr>Summary!OSRRefE21_7x_1</vt:lpstr>
      <vt:lpstr>'201'!OSRRefE21_8_0x</vt:lpstr>
      <vt:lpstr>'202'!OSRRefE21_8_0x</vt:lpstr>
      <vt:lpstr>'203'!OSRRefE21_8_0x</vt:lpstr>
      <vt:lpstr>'204'!OSRRefE21_8_0x</vt:lpstr>
      <vt:lpstr>'300'!OSRRefE21_8_0x</vt:lpstr>
      <vt:lpstr>'300 &amp; 317'!OSRRefE21_8_0x</vt:lpstr>
      <vt:lpstr>'301'!OSRRefE21_8_0x</vt:lpstr>
      <vt:lpstr>'307'!OSRRefE21_8_0x</vt:lpstr>
      <vt:lpstr>'308'!OSRRefE21_8_0x</vt:lpstr>
      <vt:lpstr>'309'!OSRRefE21_8_0x</vt:lpstr>
      <vt:lpstr>'310'!OSRRefE21_8_0x</vt:lpstr>
      <vt:lpstr>'310 &amp; 491'!OSRRefE21_8_0x</vt:lpstr>
      <vt:lpstr>'311'!OSRRefE21_8_0x</vt:lpstr>
      <vt:lpstr>'315'!OSRRefE21_8_0x</vt:lpstr>
      <vt:lpstr>'316'!OSRRefE21_8_0x</vt:lpstr>
      <vt:lpstr>'317'!OSRRefE21_8_0x</vt:lpstr>
      <vt:lpstr>'321'!OSRRefE21_8_0x</vt:lpstr>
      <vt:lpstr>'325'!OSRRefE21_8_0x</vt:lpstr>
      <vt:lpstr>'326'!OSRRefE21_8_0x</vt:lpstr>
      <vt:lpstr>'331'!OSRRefE21_8_0x</vt:lpstr>
      <vt:lpstr>'332'!OSRRefE21_8_0x</vt:lpstr>
      <vt:lpstr>'333'!OSRRefE21_8_0x</vt:lpstr>
      <vt:lpstr>'405'!OSRRefE21_8_0x</vt:lpstr>
      <vt:lpstr>'411'!OSRRefE21_8_0x</vt:lpstr>
      <vt:lpstr>'415'!OSRRefE21_8_0x</vt:lpstr>
      <vt:lpstr>'418'!OSRRefE21_8_0x</vt:lpstr>
      <vt:lpstr>'430'!OSRRefE21_8_0x</vt:lpstr>
      <vt:lpstr>'433'!OSRRefE21_8_0x</vt:lpstr>
      <vt:lpstr>'444'!OSRRefE21_8_0x</vt:lpstr>
      <vt:lpstr>'450'!OSRRefE21_8_0x</vt:lpstr>
      <vt:lpstr>'491'!OSRRefE21_8_0x</vt:lpstr>
      <vt:lpstr>'492'!OSRRefE21_8_0x</vt:lpstr>
      <vt:lpstr>'501'!OSRRefE21_8_0x</vt:lpstr>
      <vt:lpstr>'Div 2'!OSRRefE21_8_0x</vt:lpstr>
      <vt:lpstr>'Div 3'!OSRRefE21_8_0x</vt:lpstr>
      <vt:lpstr>'Div 4'!OSRRefE21_8_0x</vt:lpstr>
      <vt:lpstr>'Div 5'!OSRRefE21_8_0x</vt:lpstr>
      <vt:lpstr>'Div 6'!OSRRefE21_8_0x</vt:lpstr>
      <vt:lpstr>Summary!OSRRefE21_8_0x</vt:lpstr>
      <vt:lpstr>'203'!OSRRefE21_8_1x</vt:lpstr>
      <vt:lpstr>'309'!OSRRefE21_8_1x</vt:lpstr>
      <vt:lpstr>'315'!OSRRefE21_8_1x</vt:lpstr>
      <vt:lpstr>'321'!OSRRefE21_8_1x</vt:lpstr>
      <vt:lpstr>'331'!OSRRefE21_8_1x</vt:lpstr>
      <vt:lpstr>'333'!OSRRefE21_8_1x</vt:lpstr>
      <vt:lpstr>'411'!OSRRefE21_8_1x</vt:lpstr>
      <vt:lpstr>'418'!OSRRefE21_8_1x</vt:lpstr>
      <vt:lpstr>'203'!OSRRefE21_8_2x</vt:lpstr>
      <vt:lpstr>'411'!OSRRefE21_8_2x</vt:lpstr>
      <vt:lpstr>'201'!OSRRefE21_8x_0</vt:lpstr>
      <vt:lpstr>'202'!OSRRefE21_8x_0</vt:lpstr>
      <vt:lpstr>'203'!OSRRefE21_8x_0</vt:lpstr>
      <vt:lpstr>'204'!OSRRefE21_8x_0</vt:lpstr>
      <vt:lpstr>'300'!OSRRefE21_8x_0</vt:lpstr>
      <vt:lpstr>'300 &amp; 317'!OSRRefE21_8x_0</vt:lpstr>
      <vt:lpstr>'301'!OSRRefE21_8x_0</vt:lpstr>
      <vt:lpstr>'307'!OSRRefE21_8x_0</vt:lpstr>
      <vt:lpstr>'308'!OSRRefE21_8x_0</vt:lpstr>
      <vt:lpstr>'309'!OSRRefE21_8x_0</vt:lpstr>
      <vt:lpstr>'310'!OSRRefE21_8x_0</vt:lpstr>
      <vt:lpstr>'310 &amp; 491'!OSRRefE21_8x_0</vt:lpstr>
      <vt:lpstr>'311'!OSRRefE21_8x_0</vt:lpstr>
      <vt:lpstr>'315'!OSRRefE21_8x_0</vt:lpstr>
      <vt:lpstr>'316'!OSRRefE21_8x_0</vt:lpstr>
      <vt:lpstr>'317'!OSRRefE21_8x_0</vt:lpstr>
      <vt:lpstr>'321'!OSRRefE21_8x_0</vt:lpstr>
      <vt:lpstr>'325'!OSRRefE21_8x_0</vt:lpstr>
      <vt:lpstr>'326'!OSRRefE21_8x_0</vt:lpstr>
      <vt:lpstr>'331'!OSRRefE21_8x_0</vt:lpstr>
      <vt:lpstr>'332'!OSRRefE21_8x_0</vt:lpstr>
      <vt:lpstr>'333'!OSRRefE21_8x_0</vt:lpstr>
      <vt:lpstr>'405'!OSRRefE21_8x_0</vt:lpstr>
      <vt:lpstr>'411'!OSRRefE21_8x_0</vt:lpstr>
      <vt:lpstr>'415'!OSRRefE21_8x_0</vt:lpstr>
      <vt:lpstr>'418'!OSRRefE21_8x_0</vt:lpstr>
      <vt:lpstr>'430'!OSRRefE21_8x_0</vt:lpstr>
      <vt:lpstr>'433'!OSRRefE21_8x_0</vt:lpstr>
      <vt:lpstr>'444'!OSRRefE21_8x_0</vt:lpstr>
      <vt:lpstr>'450'!OSRRefE21_8x_0</vt:lpstr>
      <vt:lpstr>'491'!OSRRefE21_8x_0</vt:lpstr>
      <vt:lpstr>'492'!OSRRefE21_8x_0</vt:lpstr>
      <vt:lpstr>'501'!OSRRefE21_8x_0</vt:lpstr>
      <vt:lpstr>'Div 2'!OSRRefE21_8x_0</vt:lpstr>
      <vt:lpstr>'Div 3'!OSRRefE21_8x_0</vt:lpstr>
      <vt:lpstr>'Div 4'!OSRRefE21_8x_0</vt:lpstr>
      <vt:lpstr>'Div 5'!OSRRefE21_8x_0</vt:lpstr>
      <vt:lpstr>'Div 6'!OSRRefE21_8x_0</vt:lpstr>
      <vt:lpstr>Summary!OSRRefE21_8x_0</vt:lpstr>
      <vt:lpstr>'201'!OSRRefE21_8x_1</vt:lpstr>
      <vt:lpstr>'202'!OSRRefE21_8x_1</vt:lpstr>
      <vt:lpstr>'203'!OSRRefE21_8x_1</vt:lpstr>
      <vt:lpstr>'204'!OSRRefE21_8x_1</vt:lpstr>
      <vt:lpstr>'300'!OSRRefE21_8x_1</vt:lpstr>
      <vt:lpstr>'300 &amp; 317'!OSRRefE21_8x_1</vt:lpstr>
      <vt:lpstr>'301'!OSRRefE21_8x_1</vt:lpstr>
      <vt:lpstr>'307'!OSRRefE21_8x_1</vt:lpstr>
      <vt:lpstr>'308'!OSRRefE21_8x_1</vt:lpstr>
      <vt:lpstr>'309'!OSRRefE21_8x_1</vt:lpstr>
      <vt:lpstr>'310'!OSRRefE21_8x_1</vt:lpstr>
      <vt:lpstr>'310 &amp; 491'!OSRRefE21_8x_1</vt:lpstr>
      <vt:lpstr>'311'!OSRRefE21_8x_1</vt:lpstr>
      <vt:lpstr>'315'!OSRRefE21_8x_1</vt:lpstr>
      <vt:lpstr>'316'!OSRRefE21_8x_1</vt:lpstr>
      <vt:lpstr>'317'!OSRRefE21_8x_1</vt:lpstr>
      <vt:lpstr>'321'!OSRRefE21_8x_1</vt:lpstr>
      <vt:lpstr>'325'!OSRRefE21_8x_1</vt:lpstr>
      <vt:lpstr>'326'!OSRRefE21_8x_1</vt:lpstr>
      <vt:lpstr>'331'!OSRRefE21_8x_1</vt:lpstr>
      <vt:lpstr>'332'!OSRRefE21_8x_1</vt:lpstr>
      <vt:lpstr>'333'!OSRRefE21_8x_1</vt:lpstr>
      <vt:lpstr>'405'!OSRRefE21_8x_1</vt:lpstr>
      <vt:lpstr>'411'!OSRRefE21_8x_1</vt:lpstr>
      <vt:lpstr>'415'!OSRRefE21_8x_1</vt:lpstr>
      <vt:lpstr>'418'!OSRRefE21_8x_1</vt:lpstr>
      <vt:lpstr>'430'!OSRRefE21_8x_1</vt:lpstr>
      <vt:lpstr>'433'!OSRRefE21_8x_1</vt:lpstr>
      <vt:lpstr>'444'!OSRRefE21_8x_1</vt:lpstr>
      <vt:lpstr>'450'!OSRRefE21_8x_1</vt:lpstr>
      <vt:lpstr>'491'!OSRRefE21_8x_1</vt:lpstr>
      <vt:lpstr>'492'!OSRRefE21_8x_1</vt:lpstr>
      <vt:lpstr>'501'!OSRRefE21_8x_1</vt:lpstr>
      <vt:lpstr>'Div 2'!OSRRefE21_8x_1</vt:lpstr>
      <vt:lpstr>'Div 3'!OSRRefE21_8x_1</vt:lpstr>
      <vt:lpstr>'Div 4'!OSRRefE21_8x_1</vt:lpstr>
      <vt:lpstr>'Div 5'!OSRRefE21_8x_1</vt:lpstr>
      <vt:lpstr>'Div 6'!OSRRefE21_8x_1</vt:lpstr>
      <vt:lpstr>Summary!OSRRefE21_8x_1</vt:lpstr>
      <vt:lpstr>'201'!OSRRefE21_9_0x</vt:lpstr>
      <vt:lpstr>'202'!OSRRefE21_9_0x</vt:lpstr>
      <vt:lpstr>'203'!OSRRefE21_9_0x</vt:lpstr>
      <vt:lpstr>'300'!OSRRefE21_9_0x</vt:lpstr>
      <vt:lpstr>'300 &amp; 317'!OSRRefE21_9_0x</vt:lpstr>
      <vt:lpstr>'301'!OSRRefE21_9_0x</vt:lpstr>
      <vt:lpstr>'307'!OSRRefE21_9_0x</vt:lpstr>
      <vt:lpstr>'308'!OSRRefE21_9_0x</vt:lpstr>
      <vt:lpstr>'309'!OSRRefE21_9_0x</vt:lpstr>
      <vt:lpstr>'310'!OSRRefE21_9_0x</vt:lpstr>
      <vt:lpstr>'310 &amp; 491'!OSRRefE21_9_0x</vt:lpstr>
      <vt:lpstr>'311'!OSRRefE21_9_0x</vt:lpstr>
      <vt:lpstr>'315'!OSRRefE21_9_0x</vt:lpstr>
      <vt:lpstr>'316'!OSRRefE21_9_0x</vt:lpstr>
      <vt:lpstr>'317'!OSRRefE21_9_0x</vt:lpstr>
      <vt:lpstr>'321'!OSRRefE21_9_0x</vt:lpstr>
      <vt:lpstr>'325'!OSRRefE21_9_0x</vt:lpstr>
      <vt:lpstr>'326'!OSRRefE21_9_0x</vt:lpstr>
      <vt:lpstr>'331'!OSRRefE21_9_0x</vt:lpstr>
      <vt:lpstr>'332'!OSRRefE21_9_0x</vt:lpstr>
      <vt:lpstr>'333'!OSRRefE21_9_0x</vt:lpstr>
      <vt:lpstr>'405'!OSRRefE21_9_0x</vt:lpstr>
      <vt:lpstr>'411'!OSRRefE21_9_0x</vt:lpstr>
      <vt:lpstr>'415'!OSRRefE21_9_0x</vt:lpstr>
      <vt:lpstr>'418'!OSRRefE21_9_0x</vt:lpstr>
      <vt:lpstr>'433'!OSRRefE21_9_0x</vt:lpstr>
      <vt:lpstr>'444'!OSRRefE21_9_0x</vt:lpstr>
      <vt:lpstr>'450'!OSRRefE21_9_0x</vt:lpstr>
      <vt:lpstr>'491'!OSRRefE21_9_0x</vt:lpstr>
      <vt:lpstr>'492'!OSRRefE21_9_0x</vt:lpstr>
      <vt:lpstr>'501'!OSRRefE21_9_0x</vt:lpstr>
      <vt:lpstr>'Div 2'!OSRRefE21_9_0x</vt:lpstr>
      <vt:lpstr>'Div 3'!OSRRefE21_9_0x</vt:lpstr>
      <vt:lpstr>'Div 4'!OSRRefE21_9_0x</vt:lpstr>
      <vt:lpstr>'Div 5'!OSRRefE21_9_0x</vt:lpstr>
      <vt:lpstr>'Div 6'!OSRRefE21_9_0x</vt:lpstr>
      <vt:lpstr>Summary!OSRRefE21_9_0x</vt:lpstr>
      <vt:lpstr>'201'!OSRRefE21_9_1x</vt:lpstr>
      <vt:lpstr>'202'!OSRRefE21_9_1x</vt:lpstr>
      <vt:lpstr>'203'!OSRRefE21_9_1x</vt:lpstr>
      <vt:lpstr>'307'!OSRRefE21_9_1x</vt:lpstr>
      <vt:lpstr>'308'!OSRRefE21_9_1x</vt:lpstr>
      <vt:lpstr>'309'!OSRRefE21_9_1x</vt:lpstr>
      <vt:lpstr>'311'!OSRRefE21_9_1x</vt:lpstr>
      <vt:lpstr>'317'!OSRRefE21_9_1x</vt:lpstr>
      <vt:lpstr>'321'!OSRRefE21_9_1x</vt:lpstr>
      <vt:lpstr>'405'!OSRRefE21_9_1x</vt:lpstr>
      <vt:lpstr>'411'!OSRRefE21_9_1x</vt:lpstr>
      <vt:lpstr>'418'!OSRRefE21_9_1x</vt:lpstr>
      <vt:lpstr>'501'!OSRRefE21_9_1x</vt:lpstr>
      <vt:lpstr>'Div 5'!OSRRefE21_9_1x</vt:lpstr>
      <vt:lpstr>'Div 6'!OSRRefE21_9_1x</vt:lpstr>
      <vt:lpstr>'201'!OSRRefE21_9_2x</vt:lpstr>
      <vt:lpstr>'308'!OSRRefE21_9_2x</vt:lpstr>
      <vt:lpstr>'311'!OSRRefE21_9_2x</vt:lpstr>
      <vt:lpstr>'321'!OSRRefE21_9_2x</vt:lpstr>
      <vt:lpstr>'418'!OSRRefE21_9_2x</vt:lpstr>
      <vt:lpstr>'501'!OSRRefE21_9_2x</vt:lpstr>
      <vt:lpstr>'Div 5'!OSRRefE21_9_2x</vt:lpstr>
      <vt:lpstr>'201'!OSRRefE21_9x_0</vt:lpstr>
      <vt:lpstr>'202'!OSRRefE21_9x_0</vt:lpstr>
      <vt:lpstr>'203'!OSRRefE21_9x_0</vt:lpstr>
      <vt:lpstr>'300'!OSRRefE21_9x_0</vt:lpstr>
      <vt:lpstr>'300 &amp; 317'!OSRRefE21_9x_0</vt:lpstr>
      <vt:lpstr>'301'!OSRRefE21_9x_0</vt:lpstr>
      <vt:lpstr>'307'!OSRRefE21_9x_0</vt:lpstr>
      <vt:lpstr>'308'!OSRRefE21_9x_0</vt:lpstr>
      <vt:lpstr>'309'!OSRRefE21_9x_0</vt:lpstr>
      <vt:lpstr>'310'!OSRRefE21_9x_0</vt:lpstr>
      <vt:lpstr>'310 &amp; 491'!OSRRefE21_9x_0</vt:lpstr>
      <vt:lpstr>'311'!OSRRefE21_9x_0</vt:lpstr>
      <vt:lpstr>'315'!OSRRefE21_9x_0</vt:lpstr>
      <vt:lpstr>'316'!OSRRefE21_9x_0</vt:lpstr>
      <vt:lpstr>'317'!OSRRefE21_9x_0</vt:lpstr>
      <vt:lpstr>'321'!OSRRefE21_9x_0</vt:lpstr>
      <vt:lpstr>'325'!OSRRefE21_9x_0</vt:lpstr>
      <vt:lpstr>'326'!OSRRefE21_9x_0</vt:lpstr>
      <vt:lpstr>'331'!OSRRefE21_9x_0</vt:lpstr>
      <vt:lpstr>'332'!OSRRefE21_9x_0</vt:lpstr>
      <vt:lpstr>'333'!OSRRefE21_9x_0</vt:lpstr>
      <vt:lpstr>'405'!OSRRefE21_9x_0</vt:lpstr>
      <vt:lpstr>'411'!OSRRefE21_9x_0</vt:lpstr>
      <vt:lpstr>'415'!OSRRefE21_9x_0</vt:lpstr>
      <vt:lpstr>'418'!OSRRefE21_9x_0</vt:lpstr>
      <vt:lpstr>'433'!OSRRefE21_9x_0</vt:lpstr>
      <vt:lpstr>'444'!OSRRefE21_9x_0</vt:lpstr>
      <vt:lpstr>'450'!OSRRefE21_9x_0</vt:lpstr>
      <vt:lpstr>'491'!OSRRefE21_9x_0</vt:lpstr>
      <vt:lpstr>'492'!OSRRefE21_9x_0</vt:lpstr>
      <vt:lpstr>'501'!OSRRefE21_9x_0</vt:lpstr>
      <vt:lpstr>'Div 2'!OSRRefE21_9x_0</vt:lpstr>
      <vt:lpstr>'Div 3'!OSRRefE21_9x_0</vt:lpstr>
      <vt:lpstr>'Div 4'!OSRRefE21_9x_0</vt:lpstr>
      <vt:lpstr>'Div 5'!OSRRefE21_9x_0</vt:lpstr>
      <vt:lpstr>'Div 6'!OSRRefE21_9x_0</vt:lpstr>
      <vt:lpstr>Summary!OSRRefE21_9x_0</vt:lpstr>
      <vt:lpstr>'201'!OSRRefE21_9x_1</vt:lpstr>
      <vt:lpstr>'202'!OSRRefE21_9x_1</vt:lpstr>
      <vt:lpstr>'203'!OSRRefE21_9x_1</vt:lpstr>
      <vt:lpstr>'300'!OSRRefE21_9x_1</vt:lpstr>
      <vt:lpstr>'300 &amp; 317'!OSRRefE21_9x_1</vt:lpstr>
      <vt:lpstr>'301'!OSRRefE21_9x_1</vt:lpstr>
      <vt:lpstr>'307'!OSRRefE21_9x_1</vt:lpstr>
      <vt:lpstr>'308'!OSRRefE21_9x_1</vt:lpstr>
      <vt:lpstr>'309'!OSRRefE21_9x_1</vt:lpstr>
      <vt:lpstr>'310'!OSRRefE21_9x_1</vt:lpstr>
      <vt:lpstr>'310 &amp; 491'!OSRRefE21_9x_1</vt:lpstr>
      <vt:lpstr>'311'!OSRRefE21_9x_1</vt:lpstr>
      <vt:lpstr>'315'!OSRRefE21_9x_1</vt:lpstr>
      <vt:lpstr>'316'!OSRRefE21_9x_1</vt:lpstr>
      <vt:lpstr>'317'!OSRRefE21_9x_1</vt:lpstr>
      <vt:lpstr>'321'!OSRRefE21_9x_1</vt:lpstr>
      <vt:lpstr>'325'!OSRRefE21_9x_1</vt:lpstr>
      <vt:lpstr>'326'!OSRRefE21_9x_1</vt:lpstr>
      <vt:lpstr>'331'!OSRRefE21_9x_1</vt:lpstr>
      <vt:lpstr>'332'!OSRRefE21_9x_1</vt:lpstr>
      <vt:lpstr>'333'!OSRRefE21_9x_1</vt:lpstr>
      <vt:lpstr>'405'!OSRRefE21_9x_1</vt:lpstr>
      <vt:lpstr>'411'!OSRRefE21_9x_1</vt:lpstr>
      <vt:lpstr>'415'!OSRRefE21_9x_1</vt:lpstr>
      <vt:lpstr>'418'!OSRRefE21_9x_1</vt:lpstr>
      <vt:lpstr>'433'!OSRRefE21_9x_1</vt:lpstr>
      <vt:lpstr>'444'!OSRRefE21_9x_1</vt:lpstr>
      <vt:lpstr>'450'!OSRRefE21_9x_1</vt:lpstr>
      <vt:lpstr>'491'!OSRRefE21_9x_1</vt:lpstr>
      <vt:lpstr>'492'!OSRRefE21_9x_1</vt:lpstr>
      <vt:lpstr>'501'!OSRRefE21_9x_1</vt:lpstr>
      <vt:lpstr>'Div 2'!OSRRefE21_9x_1</vt:lpstr>
      <vt:lpstr>'Div 3'!OSRRefE21_9x_1</vt:lpstr>
      <vt:lpstr>'Div 4'!OSRRefE21_9x_1</vt:lpstr>
      <vt:lpstr>'Div 5'!OSRRefE21_9x_1</vt:lpstr>
      <vt:lpstr>'Div 6'!OSRRefE21_9x_1</vt:lpstr>
      <vt:lpstr>Summary!OSRRefE21_9x_1</vt:lpstr>
      <vt:lpstr>'100'!OSRRefE23_0x</vt:lpstr>
      <vt:lpstr>'200'!OSRRefE23_0x</vt:lpstr>
      <vt:lpstr>'201'!OSRRefE23_0x</vt:lpstr>
      <vt:lpstr>'202'!OSRRefE23_0x</vt:lpstr>
      <vt:lpstr>'203'!OSRRefE23_0x</vt:lpstr>
      <vt:lpstr>'204'!OSRRefE23_0x</vt:lpstr>
      <vt:lpstr>'205'!OSRRefE23_0x</vt:lpstr>
      <vt:lpstr>'206'!OSRRefE23_0x</vt:lpstr>
      <vt:lpstr>'300'!OSRRefE23_0x</vt:lpstr>
      <vt:lpstr>'300 &amp; 317'!OSRRefE23_0x</vt:lpstr>
      <vt:lpstr>'301'!OSRRefE23_0x</vt:lpstr>
      <vt:lpstr>'307'!OSRRefE23_0x</vt:lpstr>
      <vt:lpstr>'308'!OSRRefE23_0x</vt:lpstr>
      <vt:lpstr>'309'!OSRRefE23_0x</vt:lpstr>
      <vt:lpstr>'310'!OSRRefE23_0x</vt:lpstr>
      <vt:lpstr>'310 &amp; 491'!OSRRefE23_0x</vt:lpstr>
      <vt:lpstr>'311'!OSRRefE23_0x</vt:lpstr>
      <vt:lpstr>'313'!OSRRefE23_0x</vt:lpstr>
      <vt:lpstr>'315'!OSRRefE23_0x</vt:lpstr>
      <vt:lpstr>'316'!OSRRefE23_0x</vt:lpstr>
      <vt:lpstr>'317'!OSRRefE23_0x</vt:lpstr>
      <vt:lpstr>'321'!OSRRefE23_0x</vt:lpstr>
      <vt:lpstr>'322'!OSRRefE23_0x</vt:lpstr>
      <vt:lpstr>'324'!OSRRefE23_0x</vt:lpstr>
      <vt:lpstr>'325'!OSRRefE23_0x</vt:lpstr>
      <vt:lpstr>'326'!OSRRefE23_0x</vt:lpstr>
      <vt:lpstr>'327'!OSRRefE23_0x</vt:lpstr>
      <vt:lpstr>'331'!OSRRefE23_0x</vt:lpstr>
      <vt:lpstr>'332'!OSRRefE23_0x</vt:lpstr>
      <vt:lpstr>'333'!OSRRefE23_0x</vt:lpstr>
      <vt:lpstr>'405'!OSRRefE23_0x</vt:lpstr>
      <vt:lpstr>'406'!OSRRefE23_0x</vt:lpstr>
      <vt:lpstr>'411'!OSRRefE23_0x</vt:lpstr>
      <vt:lpstr>'412'!OSRRefE23_0x</vt:lpstr>
      <vt:lpstr>'413'!OSRRefE23_0x</vt:lpstr>
      <vt:lpstr>'414'!OSRRefE23_0x</vt:lpstr>
      <vt:lpstr>'415'!OSRRefE23_0x</vt:lpstr>
      <vt:lpstr>'418'!OSRRefE23_0x</vt:lpstr>
      <vt:lpstr>'423'!OSRRefE23_0x</vt:lpstr>
      <vt:lpstr>'424'!OSRRefE23_0x</vt:lpstr>
      <vt:lpstr>'425'!OSRRefE23_0x</vt:lpstr>
      <vt:lpstr>'430'!OSRRefE23_0x</vt:lpstr>
      <vt:lpstr>'433'!OSRRefE23_0x</vt:lpstr>
      <vt:lpstr>'435'!OSRRefE23_0x</vt:lpstr>
      <vt:lpstr>'444'!OSRRefE23_0x</vt:lpstr>
      <vt:lpstr>'450'!OSRRefE23_0x</vt:lpstr>
      <vt:lpstr>'455'!OSRRefE23_0x</vt:lpstr>
      <vt:lpstr>'491'!OSRRefE23_0x</vt:lpstr>
      <vt:lpstr>'492'!OSRRefE23_0x</vt:lpstr>
      <vt:lpstr>'501'!OSRRefE23_0x</vt:lpstr>
      <vt:lpstr>'Div 1'!OSRRefE23_0x</vt:lpstr>
      <vt:lpstr>'Div 2'!OSRRefE23_0x</vt:lpstr>
      <vt:lpstr>'Div 3'!OSRRefE23_0x</vt:lpstr>
      <vt:lpstr>'Div 4'!OSRRefE23_0x</vt:lpstr>
      <vt:lpstr>'Div 5'!OSRRefE23_0x</vt:lpstr>
      <vt:lpstr>'Div 6'!OSRRefE23_0x</vt:lpstr>
      <vt:lpstr>Summary!OSRRefE23_0x</vt:lpstr>
      <vt:lpstr>'100'!OSRRefE28_0x</vt:lpstr>
      <vt:lpstr>'200'!OSRRefE28_0x</vt:lpstr>
      <vt:lpstr>'201'!OSRRefE28_0x</vt:lpstr>
      <vt:lpstr>'202'!OSRRefE28_0x</vt:lpstr>
      <vt:lpstr>'203'!OSRRefE28_0x</vt:lpstr>
      <vt:lpstr>'204'!OSRRefE28_0x</vt:lpstr>
      <vt:lpstr>'205'!OSRRefE28_0x</vt:lpstr>
      <vt:lpstr>'206'!OSRRefE28_0x</vt:lpstr>
      <vt:lpstr>'300'!OSRRefE28_0x</vt:lpstr>
      <vt:lpstr>'300 &amp; 317'!OSRRefE28_0x</vt:lpstr>
      <vt:lpstr>'301'!OSRRefE28_0x</vt:lpstr>
      <vt:lpstr>'307'!OSRRefE28_0x</vt:lpstr>
      <vt:lpstr>'308'!OSRRefE28_0x</vt:lpstr>
      <vt:lpstr>'309'!OSRRefE28_0x</vt:lpstr>
      <vt:lpstr>'310'!OSRRefE28_0x</vt:lpstr>
      <vt:lpstr>'310 &amp; 491'!OSRRefE28_0x</vt:lpstr>
      <vt:lpstr>'311'!OSRRefE28_0x</vt:lpstr>
      <vt:lpstr>'313'!OSRRefE28_0x</vt:lpstr>
      <vt:lpstr>'315'!OSRRefE28_0x</vt:lpstr>
      <vt:lpstr>'316'!OSRRefE28_0x</vt:lpstr>
      <vt:lpstr>'317'!OSRRefE28_0x</vt:lpstr>
      <vt:lpstr>'321'!OSRRefE28_0x</vt:lpstr>
      <vt:lpstr>'322'!OSRRefE28_0x</vt:lpstr>
      <vt:lpstr>'324'!OSRRefE28_0x</vt:lpstr>
      <vt:lpstr>'325'!OSRRefE28_0x</vt:lpstr>
      <vt:lpstr>'326'!OSRRefE28_0x</vt:lpstr>
      <vt:lpstr>'327'!OSRRefE28_0x</vt:lpstr>
      <vt:lpstr>'331'!OSRRefE28_0x</vt:lpstr>
      <vt:lpstr>'332'!OSRRefE28_0x</vt:lpstr>
      <vt:lpstr>'333'!OSRRefE28_0x</vt:lpstr>
      <vt:lpstr>'405'!OSRRefE28_0x</vt:lpstr>
      <vt:lpstr>'406'!OSRRefE28_0x</vt:lpstr>
      <vt:lpstr>'411'!OSRRefE28_0x</vt:lpstr>
      <vt:lpstr>'412'!OSRRefE28_0x</vt:lpstr>
      <vt:lpstr>'413'!OSRRefE28_0x</vt:lpstr>
      <vt:lpstr>'414'!OSRRefE28_0x</vt:lpstr>
      <vt:lpstr>'415'!OSRRefE28_0x</vt:lpstr>
      <vt:lpstr>'418'!OSRRefE28_0x</vt:lpstr>
      <vt:lpstr>'423'!OSRRefE28_0x</vt:lpstr>
      <vt:lpstr>'424'!OSRRefE28_0x</vt:lpstr>
      <vt:lpstr>'425'!OSRRefE28_0x</vt:lpstr>
      <vt:lpstr>'430'!OSRRefE28_0x</vt:lpstr>
      <vt:lpstr>'433'!OSRRefE28_0x</vt:lpstr>
      <vt:lpstr>'435'!OSRRefE28_0x</vt:lpstr>
      <vt:lpstr>'444'!OSRRefE28_0x</vt:lpstr>
      <vt:lpstr>'450'!OSRRefE28_0x</vt:lpstr>
      <vt:lpstr>'455'!OSRRefE28_0x</vt:lpstr>
      <vt:lpstr>'491'!OSRRefE28_0x</vt:lpstr>
      <vt:lpstr>'492'!OSRRefE28_0x</vt:lpstr>
      <vt:lpstr>'501'!OSRRefE28_0x</vt:lpstr>
      <vt:lpstr>'Div 3'!OSRRefE28_0x</vt:lpstr>
      <vt:lpstr>'Div 4'!OSRRefE28_0x</vt:lpstr>
      <vt:lpstr>'Div 5'!OSRRefE28_0x</vt:lpstr>
      <vt:lpstr>'Div 6'!OSRRefE28_0x</vt:lpstr>
      <vt:lpstr>Summary!OSRRefE28_0x</vt:lpstr>
      <vt:lpstr>'100'!OSRRefE33_0x</vt:lpstr>
      <vt:lpstr>'Div 1'!OSRRefE33_0x</vt:lpstr>
      <vt:lpstr>Summary!OSRRefE33_0x</vt:lpstr>
      <vt:lpstr>'100'!OSRRefE34_0x</vt:lpstr>
      <vt:lpstr>'Div 1'!OSRRefE34_0x</vt:lpstr>
      <vt:lpstr>Summary!OSRRefE34_0x</vt:lpstr>
      <vt:lpstr>'300'!OSRRefG11x</vt:lpstr>
      <vt:lpstr>'300 &amp; 317'!OSRRefG11x</vt:lpstr>
      <vt:lpstr>'307'!OSRRefG11x</vt:lpstr>
      <vt:lpstr>'308'!OSRRefG11x</vt:lpstr>
      <vt:lpstr>'309'!OSRRefG11x</vt:lpstr>
      <vt:lpstr>'310'!OSRRefG11x</vt:lpstr>
      <vt:lpstr>'310 &amp; 491'!OSRRefG11x</vt:lpstr>
      <vt:lpstr>'311'!OSRRefG11x</vt:lpstr>
      <vt:lpstr>'315'!OSRRefG11x</vt:lpstr>
      <vt:lpstr>'316'!OSRRefG11x</vt:lpstr>
      <vt:lpstr>'317'!OSRRefG11x</vt:lpstr>
      <vt:lpstr>'321'!OSRRefG11x</vt:lpstr>
      <vt:lpstr>'324'!OSRRefG11x</vt:lpstr>
      <vt:lpstr>'325'!OSRRefG11x</vt:lpstr>
      <vt:lpstr>'326'!OSRRefG11x</vt:lpstr>
      <vt:lpstr>'327'!OSRRefG11x</vt:lpstr>
      <vt:lpstr>'331'!OSRRefG11x</vt:lpstr>
      <vt:lpstr>'332'!OSRRefG11x</vt:lpstr>
      <vt:lpstr>'333'!OSRRefG11x</vt:lpstr>
      <vt:lpstr>'405'!OSRRefG11x</vt:lpstr>
      <vt:lpstr>'415'!OSRRefG11x</vt:lpstr>
      <vt:lpstr>'418'!OSRRefG11x</vt:lpstr>
      <vt:lpstr>'425'!OSRRefG11x</vt:lpstr>
      <vt:lpstr>'433'!OSRRefG11x</vt:lpstr>
      <vt:lpstr>'435'!OSRRefG11x</vt:lpstr>
      <vt:lpstr>'444'!OSRRefG11x</vt:lpstr>
      <vt:lpstr>'450'!OSRRefG11x</vt:lpstr>
      <vt:lpstr>'491'!OSRRefG11x</vt:lpstr>
      <vt:lpstr>'492'!OSRRefG11x</vt:lpstr>
      <vt:lpstr>'501'!OSRRefG11x</vt:lpstr>
      <vt:lpstr>'Div 3'!OSRRefG11x</vt:lpstr>
      <vt:lpstr>'Div 4'!OSRRefG11x</vt:lpstr>
      <vt:lpstr>'Div 5'!OSRRefG11x</vt:lpstr>
      <vt:lpstr>'Div 6'!OSRRefG11x</vt:lpstr>
      <vt:lpstr>Summary!OSRRefG11x</vt:lpstr>
      <vt:lpstr>'300'!OSRRefG14x</vt:lpstr>
      <vt:lpstr>'300 &amp; 317'!OSRRefG14x</vt:lpstr>
      <vt:lpstr>'301'!OSRRefG14x</vt:lpstr>
      <vt:lpstr>'307'!OSRRefG14x</vt:lpstr>
      <vt:lpstr>'308'!OSRRefG14x</vt:lpstr>
      <vt:lpstr>'309'!OSRRefG14x</vt:lpstr>
      <vt:lpstr>'310'!OSRRefG14x</vt:lpstr>
      <vt:lpstr>'310 &amp; 491'!OSRRefG14x</vt:lpstr>
      <vt:lpstr>'311'!OSRRefG14x</vt:lpstr>
      <vt:lpstr>'315'!OSRRefG14x</vt:lpstr>
      <vt:lpstr>'316'!OSRRefG14x</vt:lpstr>
      <vt:lpstr>'317'!OSRRefG14x</vt:lpstr>
      <vt:lpstr>'321'!OSRRefG14x</vt:lpstr>
      <vt:lpstr>'324'!OSRRefG14x</vt:lpstr>
      <vt:lpstr>'325'!OSRRefG14x</vt:lpstr>
      <vt:lpstr>'326'!OSRRefG14x</vt:lpstr>
      <vt:lpstr>'327'!OSRRefG14x</vt:lpstr>
      <vt:lpstr>'331'!OSRRefG14x</vt:lpstr>
      <vt:lpstr>'332'!OSRRefG14x</vt:lpstr>
      <vt:lpstr>'333'!OSRRefG14x</vt:lpstr>
      <vt:lpstr>'405'!OSRRefG14x</vt:lpstr>
      <vt:lpstr>'415'!OSRRefG14x</vt:lpstr>
      <vt:lpstr>'418'!OSRRefG14x</vt:lpstr>
      <vt:lpstr>'425'!OSRRefG14x</vt:lpstr>
      <vt:lpstr>'433'!OSRRefG14x</vt:lpstr>
      <vt:lpstr>'435'!OSRRefG14x</vt:lpstr>
      <vt:lpstr>'444'!OSRRefG14x</vt:lpstr>
      <vt:lpstr>'450'!OSRRefG14x</vt:lpstr>
      <vt:lpstr>'491'!OSRRefG14x</vt:lpstr>
      <vt:lpstr>'492'!OSRRefG14x</vt:lpstr>
      <vt:lpstr>'Div 3'!OSRRefG14x</vt:lpstr>
      <vt:lpstr>'Div 4'!OSRRefG14x</vt:lpstr>
      <vt:lpstr>'Div 6'!OSRRefG14x</vt:lpstr>
      <vt:lpstr>Summary!OSRRefG14x</vt:lpstr>
      <vt:lpstr>'200'!OSRRefG20x</vt:lpstr>
      <vt:lpstr>'201'!OSRRefG20x</vt:lpstr>
      <vt:lpstr>'202'!OSRRefG20x</vt:lpstr>
      <vt:lpstr>'203'!OSRRefG20x</vt:lpstr>
      <vt:lpstr>'204'!OSRRefG20x</vt:lpstr>
      <vt:lpstr>'205'!OSRRefG20x</vt:lpstr>
      <vt:lpstr>'206'!OSRRefG20x</vt:lpstr>
      <vt:lpstr>'300'!OSRRefG20x</vt:lpstr>
      <vt:lpstr>'300 &amp; 317'!OSRRefG20x</vt:lpstr>
      <vt:lpstr>'301'!OSRRefG20x</vt:lpstr>
      <vt:lpstr>'307'!OSRRefG20x</vt:lpstr>
      <vt:lpstr>'308'!OSRRefG20x</vt:lpstr>
      <vt:lpstr>'309'!OSRRefG20x</vt:lpstr>
      <vt:lpstr>'310'!OSRRefG20x</vt:lpstr>
      <vt:lpstr>'310 &amp; 491'!OSRRefG20x</vt:lpstr>
      <vt:lpstr>'311'!OSRRefG20x</vt:lpstr>
      <vt:lpstr>'313'!OSRRefG20x</vt:lpstr>
      <vt:lpstr>'315'!OSRRefG20x</vt:lpstr>
      <vt:lpstr>'316'!OSRRefG20x</vt:lpstr>
      <vt:lpstr>'317'!OSRRefG20x</vt:lpstr>
      <vt:lpstr>'321'!OSRRefG20x</vt:lpstr>
      <vt:lpstr>'322'!OSRRefG20x</vt:lpstr>
      <vt:lpstr>'325'!OSRRefG20x</vt:lpstr>
      <vt:lpstr>'326'!OSRRefG20x</vt:lpstr>
      <vt:lpstr>'327'!OSRRefG20x</vt:lpstr>
      <vt:lpstr>'331'!OSRRefG20x</vt:lpstr>
      <vt:lpstr>'332'!OSRRefG20x</vt:lpstr>
      <vt:lpstr>'333'!OSRRefG20x</vt:lpstr>
      <vt:lpstr>'405'!OSRRefG20x</vt:lpstr>
      <vt:lpstr>'406'!OSRRefG20x</vt:lpstr>
      <vt:lpstr>'411'!OSRRefG20x</vt:lpstr>
      <vt:lpstr>'412'!OSRRefG20x</vt:lpstr>
      <vt:lpstr>'413'!OSRRefG20x</vt:lpstr>
      <vt:lpstr>'414'!OSRRefG20x</vt:lpstr>
      <vt:lpstr>'415'!OSRRefG20x</vt:lpstr>
      <vt:lpstr>'418'!OSRRefG20x</vt:lpstr>
      <vt:lpstr>'423'!OSRRefG20x</vt:lpstr>
      <vt:lpstr>'424'!OSRRefG20x</vt:lpstr>
      <vt:lpstr>'425'!OSRRefG20x</vt:lpstr>
      <vt:lpstr>'430'!OSRRefG20x</vt:lpstr>
      <vt:lpstr>'433'!OSRRefG20x</vt:lpstr>
      <vt:lpstr>'435'!OSRRefG20x</vt:lpstr>
      <vt:lpstr>'444'!OSRRefG20x</vt:lpstr>
      <vt:lpstr>'450'!OSRRefG20x</vt:lpstr>
      <vt:lpstr>'491'!OSRRefG20x</vt:lpstr>
      <vt:lpstr>'492'!OSRRefG20x</vt:lpstr>
      <vt:lpstr>'501'!OSRRefG20x</vt:lpstr>
      <vt:lpstr>'Div 2'!OSRRefG20x</vt:lpstr>
      <vt:lpstr>'Div 3'!OSRRefG20x</vt:lpstr>
      <vt:lpstr>'Div 4'!OSRRefG20x</vt:lpstr>
      <vt:lpstr>'Div 5'!OSRRefG20x</vt:lpstr>
      <vt:lpstr>'Div 6'!OSRRefG20x</vt:lpstr>
      <vt:lpstr>Summary!OSRRefG20x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'315'!Print_Area</vt:lpstr>
      <vt:lpstr>'316'!Print_Area</vt:lpstr>
      <vt:lpstr>'317'!Print_Area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'331'!Print_Area</vt:lpstr>
      <vt:lpstr>'332'!Print_Area</vt:lpstr>
      <vt:lpstr>'333'!Print_Area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OSR_300_IYZXI6!Print_Area</vt:lpstr>
      <vt:lpstr>OSR_308_UAWDAG!Print_Area</vt:lpstr>
      <vt:lpstr>'OSR_310 &amp; 49...7615ada9_1PJ8EDG'!Print_Area</vt:lpstr>
      <vt:lpstr>'OSR_310 &amp; 49...76bf5af7_1A2901X'!Print_Area</vt:lpstr>
      <vt:lpstr>'OSR_310 &amp; 491...c23f2d59_X1JXXU'!Print_Area</vt:lpstr>
      <vt:lpstr>'OSR_310 &amp; 491_1NGRCS9'!Print_Area</vt:lpstr>
      <vt:lpstr>OSR_310_1CMTOSB!Print_Area</vt:lpstr>
      <vt:lpstr>OSR_331_10VKQAJ!Print_Area</vt:lpstr>
      <vt:lpstr>OSR_332_6NDVBW!Print_Area</vt:lpstr>
      <vt:lpstr>OSR_333_69UF5U!Print_Area</vt:lpstr>
      <vt:lpstr>OSR_491_9Z9JH5!Print_Area</vt:lpstr>
      <vt:lpstr>OSR_492_943FP1!Print_Area</vt:lpstr>
      <vt:lpstr>'OSR_Current ...69b7dd8c_1IEQKFK'!Print_Area</vt:lpstr>
      <vt:lpstr>'OSR_Dept (2)_...dd5b15a0_2T6PUA'!Print_Area</vt:lpstr>
      <vt:lpstr>OSR_Dept_Y0WUKY!Print_Area</vt:lpstr>
      <vt:lpstr>'OSR_Div 1 (1...42fef80a_1JUNUIZ'!Print_Area</vt:lpstr>
      <vt:lpstr>'OSR_Div 1 (10...e834aaf2_4B2R3Z'!Print_Area</vt:lpstr>
      <vt:lpstr>'OSR_Div 1 (2...9b2bdc94_1Y8VZ4A'!Print_Area</vt:lpstr>
      <vt:lpstr>'OSR_Div 1 (3...74ea2e91_1YANJVT'!Print_Area</vt:lpstr>
      <vt:lpstr>'OSR_Div 1 (4)...cdd6f638_NQSRHK'!Print_Area</vt:lpstr>
      <vt:lpstr>'OSR_Div 1 (5)...14c61d9ac_RUIH7'!Print_Area</vt:lpstr>
      <vt:lpstr>'OSR_Div 1 (6)...754b1b2a_ZV1FUK'!Print_Area</vt:lpstr>
      <vt:lpstr>'OSR_Div 1 (7)...77c4adfc_YECVQC'!Print_Area</vt:lpstr>
      <vt:lpstr>'OSR_Div 1 (8...54681dd8_1N56J6G'!Print_Area</vt:lpstr>
      <vt:lpstr>'OSR_Div 1 (9)...81df0cf4_TBZUNU'!Print_Area</vt:lpstr>
      <vt:lpstr>'OSR_Div 1_7H47HR'!Print_Area</vt:lpstr>
      <vt:lpstr>'OSR_Div 2_1PQ800A'!Print_Area</vt:lpstr>
      <vt:lpstr>'OSR_Div 3_18723PH'!Print_Area</vt:lpstr>
      <vt:lpstr>'OSR_Div 4 (2)...a8a8204b_XPPX5M'!Print_Area</vt:lpstr>
      <vt:lpstr>'OSR_Div 4_1740TMT'!Print_Area</vt:lpstr>
      <vt:lpstr>'OSR_Div 5 (2...bac05800_1LZIM8H'!Print_Area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'315'!Print_Titles</vt:lpstr>
      <vt:lpstr>'316'!Print_Titles</vt:lpstr>
      <vt:lpstr>'317'!Print_Titles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'331'!Print_Titles</vt:lpstr>
      <vt:lpstr>'332'!Print_Titles</vt:lpstr>
      <vt:lpstr>'333'!Print_Titles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OSR_300_IYZXI6!Print_Titles</vt:lpstr>
      <vt:lpstr>OSR_308_UAWDAG!Print_Titles</vt:lpstr>
      <vt:lpstr>'OSR_310 &amp; 49...7615ada9_1PJ8EDG'!Print_Titles</vt:lpstr>
      <vt:lpstr>'OSR_310 &amp; 49...76bf5af7_1A2901X'!Print_Titles</vt:lpstr>
      <vt:lpstr>'OSR_310 &amp; 491...c23f2d59_X1JXXU'!Print_Titles</vt:lpstr>
      <vt:lpstr>'OSR_310 &amp; 491_1NGRCS9'!Print_Titles</vt:lpstr>
      <vt:lpstr>OSR_310_1CMTOSB!Print_Titles</vt:lpstr>
      <vt:lpstr>OSR_331_10VKQAJ!Print_Titles</vt:lpstr>
      <vt:lpstr>OSR_332_6NDVBW!Print_Titles</vt:lpstr>
      <vt:lpstr>OSR_333_69UF5U!Print_Titles</vt:lpstr>
      <vt:lpstr>OSR_491_9Z9JH5!Print_Titles</vt:lpstr>
      <vt:lpstr>OSR_492_943FP1!Print_Titles</vt:lpstr>
      <vt:lpstr>'OSR_Current ...69b7dd8c_1IEQKFK'!Print_Titles</vt:lpstr>
      <vt:lpstr>'OSR_Dept (2)_...dd5b15a0_2T6PUA'!Print_Titles</vt:lpstr>
      <vt:lpstr>OSR_Dept_Y0WUKY!Print_Titles</vt:lpstr>
      <vt:lpstr>'OSR_Div 1 (1...42fef80a_1JUNUIZ'!Print_Titles</vt:lpstr>
      <vt:lpstr>'OSR_Div 1 (10...e834aaf2_4B2R3Z'!Print_Titles</vt:lpstr>
      <vt:lpstr>'OSR_Div 1 (2...9b2bdc94_1Y8VZ4A'!Print_Titles</vt:lpstr>
      <vt:lpstr>'OSR_Div 1 (3...74ea2e91_1YANJVT'!Print_Titles</vt:lpstr>
      <vt:lpstr>'OSR_Div 1 (4)...cdd6f638_NQSRHK'!Print_Titles</vt:lpstr>
      <vt:lpstr>'OSR_Div 1 (5)...14c61d9ac_RUIH7'!Print_Titles</vt:lpstr>
      <vt:lpstr>'OSR_Div 1 (6)...754b1b2a_ZV1FUK'!Print_Titles</vt:lpstr>
      <vt:lpstr>'OSR_Div 1 (7)...77c4adfc_YECVQC'!Print_Titles</vt:lpstr>
      <vt:lpstr>'OSR_Div 1 (8...54681dd8_1N56J6G'!Print_Titles</vt:lpstr>
      <vt:lpstr>'OSR_Div 1 (9)...81df0cf4_TBZUNU'!Print_Titles</vt:lpstr>
      <vt:lpstr>'OSR_Div 1_7H47HR'!Print_Titles</vt:lpstr>
      <vt:lpstr>'OSR_Div 2_1PQ800A'!Print_Titles</vt:lpstr>
      <vt:lpstr>'OSR_Div 3_18723PH'!Print_Titles</vt:lpstr>
      <vt:lpstr>'OSR_Div 4 (2)...a8a8204b_XPPX5M'!Print_Titles</vt:lpstr>
      <vt:lpstr>'OSR_Div 4_1740TMT'!Print_Titles</vt:lpstr>
      <vt:lpstr>'OSR_Div 5 (2...bac05800_1LZIM8H'!Print_Titles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Tess Monzon</dc:creator>
  <cp:lastModifiedBy>Tess Monzon</cp:lastModifiedBy>
  <dcterms:created xsi:type="dcterms:W3CDTF">2022-05-13T21:27:19Z</dcterms:created>
  <dcterms:modified xsi:type="dcterms:W3CDTF">2022-05-13T22:16:18Z</dcterms:modified>
</cp:coreProperties>
</file>